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ura\AppData\Local\Microsoft\Windows\INetCache\Content.Outlook\8XRJMH4G\"/>
    </mc:Choice>
  </mc:AlternateContent>
  <xr:revisionPtr revIDLastSave="0" documentId="13_ncr:1_{44D7AAAC-37DA-4BAF-B9F7-20D0350ABE70}" xr6:coauthVersionLast="47" xr6:coauthVersionMax="47" xr10:uidLastSave="{00000000-0000-0000-0000-000000000000}"/>
  <bookViews>
    <workbookView xWindow="-108" yWindow="-108" windowWidth="23256" windowHeight="12720" tabRatio="645" activeTab="3" xr2:uid="{00000000-000D-0000-FFFF-FFFF00000000}"/>
  </bookViews>
  <sheets>
    <sheet name="ODSPrice" sheetId="24" r:id="rId1"/>
    <sheet name="CP-HCFC" sheetId="17" r:id="rId2"/>
    <sheet name="LatestCP-HCFCSectoral" sheetId="18" r:id="rId3"/>
    <sheet name="CPConsumption(ODP)" sheetId="15" r:id="rId4"/>
    <sheet name="HFC-Consumption(MTvsCO2Equi)" sheetId="29" r:id="rId5"/>
    <sheet name="HFC-23Generation" sheetId="30" r:id="rId6"/>
    <sheet name="HFC-23Emission" sheetId="31" r:id="rId7"/>
  </sheets>
  <definedNames>
    <definedName name="_xlnm._FilterDatabase" localSheetId="3" hidden="1">'CPConsumption(ODP)'!$A$1:$AD$856</definedName>
    <definedName name="OLE_LINK1" localSheetId="3">'CPConsumption(ODP)'!#REF!</definedName>
    <definedName name="_xlnm.Print_Area" localSheetId="3">'CPConsumption(ODP)'!$A$1:$AD$986</definedName>
    <definedName name="_xlnm.Print_Titles" localSheetId="3">'CPConsumption(ODP)'!$1:$1</definedName>
    <definedName name="_xlnm.Print_Titles" localSheetId="1">'CP-HCFC'!$1:$1</definedName>
    <definedName name="_xlnm.Print_Titles" localSheetId="2">'LatestCP-HCFCSectoral'!$1:$1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1" i="17" l="1"/>
  <c r="J107" i="18"/>
  <c r="AD138" i="15"/>
  <c r="AD79" i="17"/>
  <c r="J63" i="18"/>
  <c r="AD82" i="15"/>
  <c r="AD673" i="17" l="1"/>
  <c r="AD677" i="17"/>
  <c r="AD679" i="17"/>
  <c r="P571" i="18"/>
  <c r="P569" i="18"/>
  <c r="P567" i="18"/>
  <c r="J567" i="18"/>
  <c r="G571" i="18"/>
  <c r="F569" i="18"/>
  <c r="AD727" i="15"/>
  <c r="AD726" i="15"/>
  <c r="AD169" i="17"/>
  <c r="P139" i="18"/>
  <c r="J139" i="18"/>
  <c r="AD180" i="15"/>
  <c r="AC163" i="17" l="1"/>
  <c r="J134" i="18"/>
  <c r="AC173" i="15" l="1"/>
  <c r="Y536" i="17" l="1"/>
  <c r="Y572" i="15"/>
  <c r="Z536" i="17"/>
  <c r="Z572" i="15"/>
  <c r="AA922" i="17"/>
  <c r="AA1013" i="15"/>
  <c r="AA804" i="17"/>
  <c r="AA880" i="15"/>
  <c r="AA798" i="17"/>
  <c r="AA873" i="15"/>
  <c r="AA536" i="17"/>
  <c r="AA572" i="15"/>
  <c r="AB920" i="17"/>
  <c r="AB1014" i="15"/>
  <c r="AB804" i="17"/>
  <c r="AB880" i="15"/>
  <c r="AB793" i="17"/>
  <c r="AB797" i="17"/>
  <c r="AB798" i="17"/>
  <c r="AB873" i="15"/>
  <c r="AC919" i="17"/>
  <c r="AC922" i="17"/>
  <c r="F775" i="18"/>
  <c r="H774" i="18"/>
  <c r="J774" i="18"/>
  <c r="I774" i="18"/>
  <c r="AC1013" i="15"/>
  <c r="H691" i="18"/>
  <c r="O695" i="18"/>
  <c r="O694" i="18"/>
  <c r="O693" i="18"/>
  <c r="O692" i="18"/>
  <c r="O691" i="18"/>
  <c r="AC798" i="17"/>
  <c r="Q667" i="18"/>
  <c r="P667" i="18"/>
  <c r="AC873" i="15"/>
  <c r="AC804" i="17"/>
  <c r="P674" i="18"/>
  <c r="J674" i="18"/>
  <c r="AC880" i="15"/>
  <c r="AC747" i="17"/>
  <c r="AC810" i="15"/>
  <c r="AC811" i="17"/>
  <c r="P679" i="18"/>
  <c r="J679" i="18"/>
  <c r="AC887" i="15"/>
  <c r="J522" i="18"/>
  <c r="I522" i="18"/>
  <c r="F524" i="18"/>
  <c r="F523" i="18"/>
  <c r="AC572" i="17"/>
  <c r="AC574" i="17"/>
  <c r="P481" i="18"/>
  <c r="P479" i="18"/>
  <c r="AC615" i="15"/>
  <c r="AC614" i="15"/>
  <c r="AB536" i="17"/>
  <c r="AB572" i="15"/>
  <c r="AC536" i="17"/>
  <c r="P448" i="18"/>
  <c r="J448" i="18"/>
  <c r="AC572" i="15"/>
  <c r="AC449" i="17"/>
  <c r="AC448" i="17"/>
  <c r="AC447" i="17"/>
  <c r="AC450" i="17"/>
  <c r="P377" i="18"/>
  <c r="P376" i="18"/>
  <c r="P375" i="18"/>
  <c r="P374" i="18"/>
  <c r="H379" i="18"/>
  <c r="J379" i="18"/>
  <c r="J378" i="18"/>
  <c r="J374" i="18"/>
  <c r="I374" i="18"/>
  <c r="F377" i="18"/>
  <c r="F376" i="18"/>
  <c r="F375" i="18"/>
  <c r="F374" i="18"/>
  <c r="AC482" i="15"/>
  <c r="AC481" i="15"/>
  <c r="AC391" i="17"/>
  <c r="P323" i="18"/>
  <c r="J323" i="18"/>
  <c r="AC418" i="15"/>
  <c r="AC328" i="17"/>
  <c r="P270" i="18"/>
  <c r="AC348" i="15"/>
  <c r="AC258" i="17"/>
  <c r="J211" i="18"/>
  <c r="AC271" i="15"/>
  <c r="AC252" i="17"/>
  <c r="P206" i="18"/>
  <c r="J206" i="18"/>
  <c r="AC264" i="15"/>
  <c r="AC205" i="17" l="1"/>
  <c r="P171" i="18"/>
  <c r="H171" i="18"/>
  <c r="J171" i="18"/>
  <c r="AC215" i="15"/>
  <c r="AC151" i="17"/>
  <c r="K123" i="18"/>
  <c r="J123" i="18"/>
  <c r="AC166" i="15"/>
  <c r="AC137" i="17"/>
  <c r="P112" i="18"/>
  <c r="J112" i="18"/>
  <c r="AC145" i="15"/>
  <c r="AC131" i="17"/>
  <c r="AC138" i="15"/>
  <c r="AC31" i="17"/>
  <c r="P23" i="18"/>
  <c r="H23" i="18"/>
  <c r="J23" i="18"/>
  <c r="AC33" i="15"/>
  <c r="Y846" i="17" l="1"/>
  <c r="Y922" i="15"/>
  <c r="Y25" i="17"/>
  <c r="Y26" i="15"/>
  <c r="Y72" i="17"/>
  <c r="Y73" i="17"/>
  <c r="Y75" i="15"/>
  <c r="Z846" i="17"/>
  <c r="Z922" i="15"/>
  <c r="Z25" i="17"/>
  <c r="Z26" i="15"/>
  <c r="AA846" i="17"/>
  <c r="AA922" i="15"/>
  <c r="AA427" i="17"/>
  <c r="AA460" i="15"/>
  <c r="AC178" i="17" l="1"/>
  <c r="AC179" i="17"/>
  <c r="AC183" i="17"/>
  <c r="AC181" i="17"/>
  <c r="AC184" i="17"/>
  <c r="Q154" i="18"/>
  <c r="R155" i="18"/>
  <c r="Q155" i="18"/>
  <c r="R154" i="18"/>
  <c r="R153" i="18"/>
  <c r="Q153" i="18"/>
  <c r="R152" i="18"/>
  <c r="Q152" i="18"/>
  <c r="R151" i="18"/>
  <c r="Q151" i="18"/>
  <c r="K152" i="18"/>
  <c r="J155" i="18"/>
  <c r="J154" i="18"/>
  <c r="J153" i="18"/>
  <c r="J151" i="18"/>
  <c r="I154" i="18"/>
  <c r="I153" i="18"/>
  <c r="I151" i="18"/>
  <c r="F153" i="18"/>
  <c r="F152" i="18"/>
  <c r="F151" i="18"/>
  <c r="AC194" i="15"/>
  <c r="AC192" i="15"/>
  <c r="AC464" i="17"/>
  <c r="P386" i="18"/>
  <c r="J386" i="18"/>
  <c r="AC495" i="15"/>
  <c r="AB73" i="17" l="1"/>
  <c r="AB75" i="15"/>
  <c r="AC778" i="17"/>
  <c r="J651" i="18"/>
  <c r="AC845" i="15"/>
  <c r="AC671" i="17" l="1"/>
  <c r="P562" i="18"/>
  <c r="J562" i="18"/>
  <c r="AC719" i="15"/>
  <c r="AC393" i="17"/>
  <c r="AC398" i="17"/>
  <c r="P333" i="18"/>
  <c r="R329" i="18"/>
  <c r="Q329" i="18"/>
  <c r="J333" i="18"/>
  <c r="J329" i="18"/>
  <c r="I329" i="18"/>
  <c r="G333" i="18"/>
  <c r="AC425" i="15"/>
  <c r="AC935" i="17" l="1"/>
  <c r="AC934" i="17"/>
  <c r="AC933" i="17"/>
  <c r="AC936" i="17"/>
  <c r="P790" i="18"/>
  <c r="P789" i="18"/>
  <c r="P788" i="18"/>
  <c r="P787" i="18"/>
  <c r="J790" i="18"/>
  <c r="J788" i="18"/>
  <c r="J787" i="18"/>
  <c r="I787" i="18"/>
  <c r="F789" i="18"/>
  <c r="AC1028" i="15"/>
  <c r="AC1027" i="15"/>
  <c r="AC878" i="17"/>
  <c r="P738" i="18"/>
  <c r="J738" i="18"/>
  <c r="AC958" i="15"/>
  <c r="AC870" i="17"/>
  <c r="AC872" i="17"/>
  <c r="P734" i="18"/>
  <c r="P732" i="18"/>
  <c r="F734" i="18"/>
  <c r="J732" i="18"/>
  <c r="AC951" i="15"/>
  <c r="AC950" i="15"/>
  <c r="AC793" i="17"/>
  <c r="P671" i="18"/>
  <c r="J671" i="18"/>
  <c r="J667" i="18"/>
  <c r="AC789" i="17"/>
  <c r="AC791" i="17"/>
  <c r="P663" i="18"/>
  <c r="P661" i="18"/>
  <c r="J661" i="18"/>
  <c r="F663" i="18"/>
  <c r="AC867" i="15"/>
  <c r="AC866" i="15"/>
  <c r="AC784" i="17"/>
  <c r="P656" i="18"/>
  <c r="J656" i="18"/>
  <c r="AC859" i="15"/>
  <c r="AC428" i="17"/>
  <c r="AC430" i="17"/>
  <c r="P359" i="18"/>
  <c r="P357" i="18"/>
  <c r="J357" i="18"/>
  <c r="F359" i="18"/>
  <c r="AC460" i="15"/>
  <c r="AC461" i="15"/>
  <c r="AC310" i="17" l="1"/>
  <c r="J254" i="18"/>
  <c r="AC327" i="15"/>
  <c r="AC73" i="17"/>
  <c r="J58" i="18"/>
  <c r="AC75" i="15"/>
  <c r="AC6" i="17" l="1"/>
  <c r="P2" i="18"/>
  <c r="J2" i="18"/>
  <c r="AC5" i="15"/>
  <c r="AC942" i="17" l="1"/>
  <c r="P793" i="18"/>
  <c r="J793" i="18"/>
  <c r="AC1034" i="15"/>
  <c r="AC905" i="17"/>
  <c r="AC904" i="17"/>
  <c r="AC907" i="17"/>
  <c r="AC906" i="17"/>
  <c r="AC909" i="17"/>
  <c r="P768" i="18"/>
  <c r="P767" i="18"/>
  <c r="P765" i="18"/>
  <c r="P764" i="18"/>
  <c r="P763" i="18"/>
  <c r="J768" i="18"/>
  <c r="J767" i="18"/>
  <c r="J764" i="18"/>
  <c r="J763" i="18"/>
  <c r="I763" i="18"/>
  <c r="G767" i="18"/>
  <c r="F765" i="18"/>
  <c r="AC999" i="15"/>
  <c r="AC1000" i="15"/>
  <c r="AC896" i="17"/>
  <c r="P753" i="18"/>
  <c r="J753" i="18"/>
  <c r="AC978" i="15"/>
  <c r="AC902" i="17" l="1"/>
  <c r="P758" i="18"/>
  <c r="J758" i="18"/>
  <c r="AC992" i="15"/>
  <c r="AC817" i="17"/>
  <c r="J686" i="18"/>
  <c r="I686" i="18"/>
  <c r="AC894" i="15"/>
  <c r="AC765" i="17"/>
  <c r="AC766" i="17"/>
  <c r="P643" i="18"/>
  <c r="P641" i="18"/>
  <c r="H643" i="18"/>
  <c r="J643" i="18"/>
  <c r="J641" i="18"/>
  <c r="AC831" i="15"/>
  <c r="AC760" i="17"/>
  <c r="J636" i="18"/>
  <c r="AC824" i="15"/>
  <c r="AC717" i="17"/>
  <c r="P599" i="18"/>
  <c r="J599" i="18"/>
  <c r="AC775" i="15"/>
  <c r="AC739" i="15" l="1"/>
  <c r="AC645" i="17"/>
  <c r="P539" i="18"/>
  <c r="J539" i="18"/>
  <c r="AC691" i="15"/>
  <c r="AC612" i="17"/>
  <c r="J511" i="18"/>
  <c r="AC656" i="15"/>
  <c r="AC587" i="17" l="1"/>
  <c r="P490" i="18"/>
  <c r="J490" i="18"/>
  <c r="AC628" i="15"/>
  <c r="AC607" i="15"/>
  <c r="AC334" i="17"/>
  <c r="J275" i="18"/>
  <c r="AC355" i="15"/>
  <c r="AC111" i="17"/>
  <c r="J90" i="18"/>
  <c r="AC117" i="15"/>
  <c r="AC33" i="17"/>
  <c r="AC38" i="17"/>
  <c r="AC37" i="17"/>
  <c r="AC36" i="17"/>
  <c r="AC40" i="17"/>
  <c r="Q32" i="18"/>
  <c r="P32" i="18"/>
  <c r="P31" i="18"/>
  <c r="Q30" i="18"/>
  <c r="P30" i="18"/>
  <c r="P29" i="18"/>
  <c r="R28" i="18"/>
  <c r="P28" i="18"/>
  <c r="J33" i="18"/>
  <c r="J32" i="18"/>
  <c r="J31" i="18"/>
  <c r="J29" i="18"/>
  <c r="J28" i="18"/>
  <c r="I28" i="18"/>
  <c r="G32" i="18"/>
  <c r="F30" i="18"/>
  <c r="F29" i="18"/>
  <c r="F28" i="18"/>
  <c r="E29" i="18"/>
  <c r="E28" i="18"/>
  <c r="AC42" i="15"/>
  <c r="AC41" i="15"/>
  <c r="AC40" i="15"/>
  <c r="AC25" i="17"/>
  <c r="J18" i="18"/>
  <c r="P18" i="18"/>
  <c r="AC26" i="15"/>
  <c r="AC215" i="17" l="1"/>
  <c r="AC218" i="17"/>
  <c r="P182" i="18"/>
  <c r="P181" i="18"/>
  <c r="J182" i="18"/>
  <c r="J181" i="18"/>
  <c r="AC229" i="15"/>
  <c r="AC157" i="17"/>
  <c r="AC152" i="15"/>
  <c r="AC62" i="17"/>
  <c r="AC65" i="17"/>
  <c r="AC67" i="17"/>
  <c r="P56" i="18"/>
  <c r="P54" i="18"/>
  <c r="P52" i="18"/>
  <c r="J56" i="18"/>
  <c r="J52" i="18"/>
  <c r="I52" i="18"/>
  <c r="F54" i="18"/>
  <c r="AC68" i="15"/>
  <c r="AC69" i="15"/>
  <c r="AC851" i="17" l="1"/>
  <c r="AC852" i="17"/>
  <c r="P718" i="18"/>
  <c r="P716" i="18"/>
  <c r="H718" i="18"/>
  <c r="J718" i="18"/>
  <c r="J716" i="18"/>
  <c r="AC929" i="15"/>
  <c r="AC924" i="17" l="1"/>
  <c r="AC927" i="17"/>
  <c r="AC929" i="17"/>
  <c r="P784" i="18"/>
  <c r="P782" i="18"/>
  <c r="P780" i="18"/>
  <c r="J784" i="18"/>
  <c r="H784" i="18" s="1"/>
  <c r="J780" i="18"/>
  <c r="I780" i="18"/>
  <c r="F782" i="18"/>
  <c r="AC1021" i="15"/>
  <c r="AC1020" i="15"/>
  <c r="AC915" i="17"/>
  <c r="P769" i="18"/>
  <c r="H769" i="18"/>
  <c r="I769" i="18"/>
  <c r="AC1006" i="15"/>
  <c r="AC884" i="17"/>
  <c r="J743" i="18"/>
  <c r="AC964" i="15"/>
  <c r="AC858" i="17"/>
  <c r="P721" i="18"/>
  <c r="J721" i="18"/>
  <c r="AC936" i="15"/>
  <c r="AC832" i="17"/>
  <c r="AC835" i="17"/>
  <c r="AC834" i="17"/>
  <c r="AC838" i="17"/>
  <c r="P706" i="18"/>
  <c r="P704" i="18"/>
  <c r="P703" i="18"/>
  <c r="Q702" i="18"/>
  <c r="P702" i="18"/>
  <c r="K703" i="18"/>
  <c r="J706" i="18"/>
  <c r="J702" i="18"/>
  <c r="I702" i="18"/>
  <c r="G706" i="18"/>
  <c r="F704" i="18"/>
  <c r="F703" i="18"/>
  <c r="AC916" i="15"/>
  <c r="AC915" i="15"/>
  <c r="AC741" i="17"/>
  <c r="P620" i="18"/>
  <c r="J620" i="18"/>
  <c r="AC803" i="15"/>
  <c r="AC729" i="17"/>
  <c r="P610" i="18"/>
  <c r="J610" i="18"/>
  <c r="AC789" i="15"/>
  <c r="AC649" i="17"/>
  <c r="AC652" i="17"/>
  <c r="P546" i="18"/>
  <c r="P545" i="18"/>
  <c r="J545" i="18"/>
  <c r="I545" i="18"/>
  <c r="F546" i="18"/>
  <c r="F545" i="18"/>
  <c r="AC698" i="15"/>
  <c r="AC658" i="17" l="1"/>
  <c r="J551" i="18"/>
  <c r="AC705" i="15"/>
  <c r="J533" i="18"/>
  <c r="AC483" i="17"/>
  <c r="J403" i="18"/>
  <c r="AC516" i="15"/>
  <c r="AC623" i="17" l="1"/>
  <c r="AC622" i="17"/>
  <c r="AC625" i="17"/>
  <c r="AC671" i="15"/>
  <c r="AC670" i="15"/>
  <c r="AC605" i="17"/>
  <c r="P506" i="18"/>
  <c r="J506" i="18"/>
  <c r="AC649" i="15"/>
  <c r="AC710" i="17"/>
  <c r="P594" i="18"/>
  <c r="AC761" i="15"/>
  <c r="AC552" i="17"/>
  <c r="AC555" i="17"/>
  <c r="P468" i="18"/>
  <c r="P464" i="18"/>
  <c r="H464" i="18"/>
  <c r="J468" i="18"/>
  <c r="H468" i="18" s="1"/>
  <c r="J464" i="18"/>
  <c r="AC593" i="15"/>
  <c r="AC489" i="17"/>
  <c r="AC487" i="17"/>
  <c r="J408" i="18"/>
  <c r="F409" i="18"/>
  <c r="AC523" i="15"/>
  <c r="AC303" i="17"/>
  <c r="J249" i="18"/>
  <c r="AC320" i="15"/>
  <c r="AC544" i="17" l="1"/>
  <c r="AC548" i="17"/>
  <c r="AC546" i="17"/>
  <c r="AC549" i="17"/>
  <c r="Q462" i="18"/>
  <c r="P462" i="18"/>
  <c r="Q461" i="18"/>
  <c r="Q459" i="18"/>
  <c r="P459" i="18"/>
  <c r="R458" i="18"/>
  <c r="Q458" i="18"/>
  <c r="P458" i="18"/>
  <c r="J458" i="18"/>
  <c r="G462" i="18"/>
  <c r="O462" i="18" s="1"/>
  <c r="F459" i="18"/>
  <c r="AC586" i="15"/>
  <c r="AC584" i="15"/>
  <c r="AC542" i="17"/>
  <c r="P453" i="18"/>
  <c r="J453" i="18"/>
  <c r="AC579" i="15"/>
  <c r="AC504" i="17"/>
  <c r="AC507" i="17"/>
  <c r="AC510" i="17"/>
  <c r="P426" i="18"/>
  <c r="Q424" i="18"/>
  <c r="P424" i="18"/>
  <c r="Q423" i="18"/>
  <c r="P423" i="18"/>
  <c r="K424" i="18"/>
  <c r="J426" i="18"/>
  <c r="J423" i="18"/>
  <c r="F424" i="18"/>
  <c r="AC544" i="15"/>
  <c r="AC244" i="17"/>
  <c r="AC246" i="17"/>
  <c r="P202" i="18"/>
  <c r="R201" i="18"/>
  <c r="P201" i="18"/>
  <c r="F202" i="18"/>
  <c r="J201" i="18"/>
  <c r="I201" i="18"/>
  <c r="AC257" i="15"/>
  <c r="AC443" i="17" l="1"/>
  <c r="P369" i="18"/>
  <c r="J369" i="18"/>
  <c r="AC474" i="15"/>
  <c r="AC437" i="17"/>
  <c r="P363" i="18"/>
  <c r="J363" i="18"/>
  <c r="AC467" i="15"/>
  <c r="AC400" i="17"/>
  <c r="AC403" i="17"/>
  <c r="AC402" i="17"/>
  <c r="AC404" i="17"/>
  <c r="P338" i="18"/>
  <c r="P337" i="18"/>
  <c r="P336" i="18"/>
  <c r="P335" i="18"/>
  <c r="J338" i="18"/>
  <c r="H337" i="18"/>
  <c r="J337" i="18"/>
  <c r="J335" i="18"/>
  <c r="G338" i="18"/>
  <c r="F336" i="18"/>
  <c r="AC434" i="15"/>
  <c r="AC432" i="15"/>
  <c r="AC384" i="17"/>
  <c r="P318" i="18"/>
  <c r="J318" i="18"/>
  <c r="AC411" i="15"/>
  <c r="AC378" i="17"/>
  <c r="P313" i="18"/>
  <c r="J313" i="18"/>
  <c r="AC404" i="15"/>
  <c r="AC366" i="17"/>
  <c r="P303" i="18"/>
  <c r="J303" i="18"/>
  <c r="AC390" i="15"/>
  <c r="AC345" i="17"/>
  <c r="AC346" i="17"/>
  <c r="J288" i="18"/>
  <c r="J286" i="18"/>
  <c r="AC369" i="15"/>
  <c r="AC322" i="17"/>
  <c r="Q265" i="18"/>
  <c r="P265" i="18"/>
  <c r="J265" i="18"/>
  <c r="AC341" i="15"/>
  <c r="AC287" i="17" l="1"/>
  <c r="AC291" i="17"/>
  <c r="P242" i="18"/>
  <c r="P239" i="18"/>
  <c r="J242" i="18"/>
  <c r="J239" i="18"/>
  <c r="AC306" i="15"/>
  <c r="AC264" i="17"/>
  <c r="P216" i="18"/>
  <c r="E216" i="18"/>
  <c r="AC278" i="15"/>
  <c r="AC172" i="17"/>
  <c r="AC171" i="17"/>
  <c r="AC176" i="17"/>
  <c r="AC187" i="15"/>
  <c r="P149" i="18"/>
  <c r="Q148" i="18"/>
  <c r="P148" i="18"/>
  <c r="P144" i="18"/>
  <c r="H149" i="18"/>
  <c r="J149" i="18"/>
  <c r="H148" i="18"/>
  <c r="J148" i="18"/>
  <c r="J144" i="18"/>
  <c r="AC352" i="17" l="1"/>
  <c r="P291" i="18"/>
  <c r="J291" i="18"/>
  <c r="AC376" i="15"/>
  <c r="AC240" i="17"/>
  <c r="J195" i="18"/>
  <c r="AC250" i="15"/>
  <c r="AC188" i="17" l="1"/>
  <c r="AC193" i="17"/>
  <c r="P164" i="18"/>
  <c r="P160" i="18"/>
  <c r="J164" i="18"/>
  <c r="J160" i="18"/>
  <c r="G164" i="18"/>
  <c r="AC201" i="15"/>
  <c r="AC115" i="17"/>
  <c r="AC114" i="17"/>
  <c r="AC116" i="17"/>
  <c r="AC119" i="17"/>
  <c r="P100" i="18"/>
  <c r="P99" i="18"/>
  <c r="P96" i="18"/>
  <c r="Q95" i="18"/>
  <c r="P95" i="18"/>
  <c r="J100" i="18"/>
  <c r="J99" i="18"/>
  <c r="K96" i="18"/>
  <c r="J95" i="18"/>
  <c r="I95" i="18"/>
  <c r="AC123" i="15"/>
  <c r="AC124" i="15"/>
  <c r="AC96" i="17"/>
  <c r="AC95" i="17"/>
  <c r="AC98" i="17"/>
  <c r="P80" i="18"/>
  <c r="P79" i="18"/>
  <c r="P78" i="18"/>
  <c r="J79" i="18"/>
  <c r="J78" i="18"/>
  <c r="F80" i="18"/>
  <c r="AC104" i="15"/>
  <c r="AC103" i="15"/>
  <c r="AC860" i="17" l="1"/>
  <c r="AC865" i="17"/>
  <c r="P730" i="18"/>
  <c r="Q726" i="18"/>
  <c r="P726" i="18"/>
  <c r="J730" i="18"/>
  <c r="J726" i="18"/>
  <c r="AC943" i="15"/>
  <c r="AC942" i="15"/>
  <c r="AC846" i="17"/>
  <c r="P711" i="18"/>
  <c r="J711" i="18"/>
  <c r="AC922" i="15"/>
  <c r="AC829" i="17"/>
  <c r="AC827" i="17"/>
  <c r="AC830" i="17"/>
  <c r="P699" i="18"/>
  <c r="P697" i="18"/>
  <c r="P696" i="18"/>
  <c r="J697" i="18"/>
  <c r="J696" i="18"/>
  <c r="I696" i="18"/>
  <c r="F699" i="18"/>
  <c r="F697" i="18"/>
  <c r="F696" i="18"/>
  <c r="AC908" i="15"/>
  <c r="AC673" i="17"/>
  <c r="AC677" i="17"/>
  <c r="AC679" i="17"/>
  <c r="AC727" i="15"/>
  <c r="AC726" i="15"/>
  <c r="AC47" i="17" l="1"/>
  <c r="P35" i="18"/>
  <c r="J35" i="18"/>
  <c r="AC47" i="15"/>
  <c r="AC19" i="17"/>
  <c r="AC17" i="17"/>
  <c r="P12" i="18"/>
  <c r="J12" i="18"/>
  <c r="I12" i="18"/>
  <c r="AC19" i="15"/>
  <c r="AC20" i="15"/>
  <c r="AC561" i="17" l="1"/>
  <c r="P469" i="18"/>
  <c r="J469" i="18"/>
  <c r="AC600" i="15"/>
  <c r="AC144" i="17"/>
  <c r="P117" i="18"/>
  <c r="J117" i="18"/>
  <c r="AC159" i="15"/>
  <c r="AC12" i="17"/>
  <c r="P7" i="18"/>
  <c r="J7" i="18"/>
  <c r="AC12" i="15"/>
  <c r="AC753" i="17" l="1"/>
  <c r="P630" i="18"/>
  <c r="J630" i="18"/>
  <c r="I630" i="18"/>
  <c r="AC817" i="15"/>
  <c r="AC704" i="17"/>
  <c r="P588" i="18"/>
  <c r="J588" i="18"/>
  <c r="AC747" i="15"/>
  <c r="AC471" i="17"/>
  <c r="P392" i="18"/>
  <c r="J392" i="18"/>
  <c r="I392" i="18"/>
  <c r="AC502" i="15"/>
  <c r="AC340" i="17"/>
  <c r="J281" i="18"/>
  <c r="AC362" i="15"/>
  <c r="AC60" i="17" l="1"/>
  <c r="P46" i="18"/>
  <c r="J46" i="18"/>
  <c r="I46" i="18"/>
  <c r="F48" i="18"/>
  <c r="AC61" i="15"/>
  <c r="AC77" i="17"/>
  <c r="AC79" i="17"/>
  <c r="AC82" i="15"/>
  <c r="AC593" i="17" l="1"/>
  <c r="P496" i="18"/>
  <c r="J496" i="18"/>
  <c r="AC635" i="15"/>
  <c r="AC665" i="17" l="1"/>
  <c r="J556" i="18"/>
  <c r="AC712" i="15"/>
  <c r="AC567" i="17"/>
  <c r="P474" i="18"/>
  <c r="J474" i="18"/>
  <c r="AC408" i="17"/>
  <c r="AC410" i="17"/>
  <c r="P342" i="18"/>
  <c r="P341" i="18"/>
  <c r="J341" i="18"/>
  <c r="I342" i="18"/>
  <c r="I341" i="18"/>
  <c r="F342" i="18"/>
  <c r="F341" i="18"/>
  <c r="AC439" i="15"/>
  <c r="AC297" i="17"/>
  <c r="P244" i="18"/>
  <c r="J244" i="18"/>
  <c r="AC313" i="15"/>
  <c r="AC121" i="17"/>
  <c r="AC125" i="17"/>
  <c r="H105" i="18"/>
  <c r="P105" i="18"/>
  <c r="J105" i="18"/>
  <c r="P102" i="18"/>
  <c r="J102" i="18"/>
  <c r="AC131" i="15"/>
  <c r="AC91" i="17"/>
  <c r="P73" i="18"/>
  <c r="J73" i="18"/>
  <c r="AC96" i="15"/>
  <c r="AC690" i="17" l="1"/>
  <c r="AC692" i="17"/>
  <c r="AC695" i="17"/>
  <c r="P584" i="18"/>
  <c r="P581" i="18"/>
  <c r="P580" i="18"/>
  <c r="G584" i="18"/>
  <c r="J584" i="18"/>
  <c r="J581" i="18"/>
  <c r="J580" i="18"/>
  <c r="I580" i="18"/>
  <c r="AC740" i="15"/>
  <c r="AC580" i="17"/>
  <c r="P485" i="18"/>
  <c r="J485" i="18"/>
  <c r="AC621" i="15"/>
  <c r="AC476" i="17"/>
  <c r="AC477" i="17"/>
  <c r="H400" i="18"/>
  <c r="J400" i="18"/>
  <c r="J398" i="18"/>
  <c r="AC509" i="15"/>
  <c r="AC53" i="17"/>
  <c r="P41" i="18"/>
  <c r="J41" i="18"/>
  <c r="AC54" i="15"/>
  <c r="AC85" i="17"/>
  <c r="P68" i="18"/>
  <c r="J68" i="18"/>
  <c r="AC89" i="15"/>
  <c r="AC618" i="17" l="1"/>
  <c r="P517" i="18"/>
  <c r="J517" i="18"/>
  <c r="AC663" i="15"/>
  <c r="AC518" i="17" l="1"/>
  <c r="P433" i="18"/>
  <c r="J433" i="18"/>
  <c r="AC551" i="15"/>
  <c r="AC356" i="17"/>
  <c r="AC359" i="17"/>
  <c r="P297" i="18"/>
  <c r="P296" i="18"/>
  <c r="J297" i="18"/>
  <c r="J296" i="18"/>
  <c r="AC383" i="15"/>
  <c r="AC316" i="17" l="1"/>
  <c r="P260" i="18"/>
  <c r="J260" i="18"/>
  <c r="AC334" i="15"/>
  <c r="AC274" i="17"/>
  <c r="AC277" i="17"/>
  <c r="AC276" i="17"/>
  <c r="AC278" i="17"/>
  <c r="P232" i="18"/>
  <c r="P230" i="18"/>
  <c r="P229" i="18"/>
  <c r="P227" i="18"/>
  <c r="O229" i="18"/>
  <c r="J232" i="18"/>
  <c r="J230" i="18"/>
  <c r="J227" i="18"/>
  <c r="AC292" i="15"/>
  <c r="AC293" i="15"/>
  <c r="AC199" i="17"/>
  <c r="P166" i="18"/>
  <c r="J166" i="18"/>
  <c r="AC208" i="15"/>
  <c r="AC949" i="17" l="1"/>
  <c r="J798" i="18"/>
  <c r="AC1041" i="15"/>
  <c r="AC681" i="17"/>
  <c r="AC685" i="17"/>
  <c r="AC684" i="17"/>
  <c r="AC686" i="17"/>
  <c r="P577" i="18"/>
  <c r="P576" i="18"/>
  <c r="P575" i="18"/>
  <c r="P573" i="18"/>
  <c r="J577" i="18"/>
  <c r="J576" i="18"/>
  <c r="H576" i="18" s="1"/>
  <c r="J573" i="18"/>
  <c r="F575" i="18"/>
  <c r="AC733" i="15"/>
  <c r="AC734" i="15"/>
  <c r="AC416" i="17"/>
  <c r="P346" i="18"/>
  <c r="J346" i="18"/>
  <c r="I346" i="18"/>
  <c r="AC446" i="15"/>
  <c r="AC372" i="17"/>
  <c r="P308" i="18"/>
  <c r="J308" i="18"/>
  <c r="AC397" i="15"/>
  <c r="AC285" i="17"/>
  <c r="AC284" i="17"/>
  <c r="AC281" i="17"/>
  <c r="AC280" i="17"/>
  <c r="P238" i="18"/>
  <c r="P237" i="18"/>
  <c r="Q236" i="18"/>
  <c r="P236" i="18"/>
  <c r="Q233" i="18"/>
  <c r="P233" i="18"/>
  <c r="H236" i="18"/>
  <c r="J236" i="18"/>
  <c r="AC299" i="15"/>
  <c r="J238" i="18"/>
  <c r="H238" i="18" s="1"/>
  <c r="H237" i="18"/>
  <c r="J237" i="18"/>
  <c r="J233" i="18"/>
  <c r="I233" i="18"/>
  <c r="F236" i="18"/>
  <c r="F233" i="18"/>
  <c r="AC227" i="17"/>
  <c r="P189" i="18"/>
  <c r="J189" i="18"/>
  <c r="AC236" i="15"/>
  <c r="AC735" i="17" l="1"/>
  <c r="J615" i="18"/>
  <c r="AC796" i="15"/>
  <c r="AC723" i="17"/>
  <c r="P605" i="18"/>
  <c r="J605" i="18"/>
  <c r="AC782" i="15"/>
  <c r="AC501" i="17"/>
  <c r="P418" i="18"/>
  <c r="J418" i="18"/>
  <c r="AC537" i="15"/>
  <c r="AC495" i="17"/>
  <c r="J413" i="18"/>
  <c r="AC530" i="15"/>
  <c r="AC423" i="17"/>
  <c r="J351" i="18"/>
  <c r="AC453" i="15"/>
  <c r="AC271" i="17" l="1"/>
  <c r="AC266" i="17"/>
  <c r="P225" i="18"/>
  <c r="J225" i="18"/>
  <c r="P221" i="18"/>
  <c r="J221" i="18"/>
  <c r="AC285" i="15"/>
  <c r="AC169" i="17"/>
  <c r="AC180" i="15"/>
  <c r="AB919" i="17" l="1"/>
  <c r="AB922" i="17"/>
  <c r="AB1013" i="15"/>
  <c r="AB846" i="17"/>
  <c r="AB922" i="15"/>
  <c r="AB823" i="17" l="1"/>
  <c r="AB901" i="15"/>
  <c r="AB875" i="15"/>
  <c r="H646" i="18"/>
  <c r="AB723" i="17"/>
  <c r="AB782" i="15"/>
  <c r="AB587" i="17"/>
  <c r="AB628" i="15"/>
  <c r="H448" i="18"/>
  <c r="AB524" i="17"/>
  <c r="J438" i="18"/>
  <c r="AB558" i="15"/>
  <c r="AB366" i="17" l="1"/>
  <c r="AB390" i="15"/>
  <c r="AB236" i="17"/>
  <c r="AB239" i="17"/>
  <c r="AB240" i="17"/>
  <c r="AB250" i="15"/>
  <c r="AB249" i="15"/>
  <c r="AB227" i="17" l="1"/>
  <c r="AB236" i="15"/>
  <c r="AB163" i="17"/>
  <c r="AB173" i="15"/>
  <c r="AB284" i="17" l="1"/>
  <c r="AB285" i="17"/>
  <c r="AB299" i="15" l="1"/>
  <c r="AB789" i="17" l="1"/>
  <c r="AB867" i="15" l="1"/>
  <c r="AB896" i="17" l="1"/>
  <c r="AB978" i="15"/>
  <c r="AB612" i="17"/>
  <c r="AB656" i="15"/>
  <c r="AB111" i="17"/>
  <c r="AB117" i="15"/>
  <c r="AB468" i="17" l="1"/>
  <c r="AB471" i="17"/>
  <c r="AB502" i="15"/>
  <c r="AB67" i="17"/>
  <c r="AB62" i="17"/>
  <c r="AB65" i="17"/>
  <c r="AB69" i="15"/>
  <c r="AB68" i="15"/>
  <c r="AB91" i="17"/>
  <c r="AB96" i="15"/>
  <c r="V19" i="15" l="1"/>
  <c r="Z729" i="17"/>
  <c r="Z789" i="15"/>
  <c r="AB179" i="17" l="1"/>
  <c r="AB178" i="17"/>
  <c r="AB183" i="17"/>
  <c r="AB181" i="17"/>
  <c r="AB184" i="17"/>
  <c r="AB194" i="15"/>
  <c r="AB580" i="17" l="1"/>
  <c r="AB621" i="15"/>
  <c r="AB393" i="17"/>
  <c r="AB398" i="17"/>
  <c r="H333" i="18"/>
  <c r="AB425" i="15"/>
  <c r="AB905" i="17" l="1"/>
  <c r="AB904" i="17"/>
  <c r="AB908" i="17"/>
  <c r="AB907" i="17"/>
  <c r="AB906" i="17"/>
  <c r="AB909" i="17"/>
  <c r="AB1000" i="15"/>
  <c r="AB999" i="15"/>
  <c r="AB878" i="17"/>
  <c r="AB958" i="15"/>
  <c r="AB817" i="17"/>
  <c r="AB894" i="15"/>
  <c r="AB811" i="17"/>
  <c r="AB887" i="15"/>
  <c r="AB791" i="17"/>
  <c r="AB866" i="15"/>
  <c r="AB618" i="17"/>
  <c r="AB663" i="15"/>
  <c r="AB572" i="17" l="1"/>
  <c r="AB574" i="17"/>
  <c r="AB614" i="15"/>
  <c r="AB615" i="15"/>
  <c r="AB428" i="17"/>
  <c r="AB430" i="17"/>
  <c r="I357" i="18"/>
  <c r="AB461" i="15"/>
  <c r="AB460" i="15"/>
  <c r="AB258" i="17"/>
  <c r="AB271" i="15"/>
  <c r="AB33" i="17"/>
  <c r="AB38" i="17"/>
  <c r="AB37" i="17"/>
  <c r="AB36" i="17"/>
  <c r="AB40" i="17"/>
  <c r="H33" i="18"/>
  <c r="AB40" i="15"/>
  <c r="AB41" i="15"/>
  <c r="AB42" i="15"/>
  <c r="AB544" i="17" l="1"/>
  <c r="AB546" i="17"/>
  <c r="AB549" i="17"/>
  <c r="AB586" i="15"/>
  <c r="V935" i="17"/>
  <c r="V934" i="17"/>
  <c r="V933" i="17"/>
  <c r="V936" i="17"/>
  <c r="V1027" i="15"/>
  <c r="V1028" i="15"/>
  <c r="W935" i="17"/>
  <c r="W934" i="17"/>
  <c r="W933" i="17"/>
  <c r="W936" i="17"/>
  <c r="W1027" i="15"/>
  <c r="W1028" i="15"/>
  <c r="X935" i="17"/>
  <c r="X934" i="17"/>
  <c r="X933" i="17"/>
  <c r="X936" i="17"/>
  <c r="X1027" i="15"/>
  <c r="X1028" i="15"/>
  <c r="Y935" i="17"/>
  <c r="Y934" i="17"/>
  <c r="Y933" i="17"/>
  <c r="Y936" i="17"/>
  <c r="Y1028" i="15"/>
  <c r="Y1027" i="15"/>
  <c r="Z935" i="17"/>
  <c r="Z934" i="17"/>
  <c r="Z933" i="17"/>
  <c r="Z936" i="17"/>
  <c r="Z1028" i="15"/>
  <c r="Z1027" i="15"/>
  <c r="AA935" i="17"/>
  <c r="AA934" i="17"/>
  <c r="AA933" i="17"/>
  <c r="AA936" i="17"/>
  <c r="AA1028" i="15"/>
  <c r="AA1027" i="15"/>
  <c r="AB935" i="17"/>
  <c r="AB934" i="17"/>
  <c r="AB933" i="17"/>
  <c r="AB936" i="17"/>
  <c r="AB1028" i="15"/>
  <c r="AB1027" i="15"/>
  <c r="AB927" i="17"/>
  <c r="AB929" i="17"/>
  <c r="AB1021" i="15"/>
  <c r="AB1020" i="15"/>
  <c r="AB851" i="17"/>
  <c r="AB852" i="17"/>
  <c r="AB929" i="15"/>
  <c r="AB717" i="17"/>
  <c r="AB775" i="15"/>
  <c r="AB702" i="17"/>
  <c r="AB704" i="17"/>
  <c r="AB748" i="15"/>
  <c r="AB747" i="15"/>
  <c r="AB605" i="17"/>
  <c r="AB649" i="15"/>
  <c r="AB483" i="17"/>
  <c r="AB516" i="15"/>
  <c r="AB244" i="17"/>
  <c r="AB246" i="17"/>
  <c r="AB257" i="15"/>
  <c r="AB322" i="17"/>
  <c r="AB341" i="15"/>
  <c r="AB464" i="17"/>
  <c r="AB495" i="15"/>
  <c r="AB449" i="17"/>
  <c r="AB448" i="17"/>
  <c r="AB447" i="17"/>
  <c r="AB450" i="17"/>
  <c r="AB482" i="15"/>
  <c r="AB481" i="15"/>
  <c r="AB372" i="17"/>
  <c r="AB397" i="15"/>
  <c r="AB328" i="17"/>
  <c r="AB348" i="15"/>
  <c r="AB316" i="17"/>
  <c r="AB334" i="15"/>
  <c r="AB310" i="17"/>
  <c r="AB327" i="15"/>
  <c r="AB252" i="17"/>
  <c r="AB264" i="15"/>
  <c r="AB205" i="17"/>
  <c r="AB215" i="15"/>
  <c r="AB115" i="17"/>
  <c r="AB114" i="17"/>
  <c r="AB116" i="17"/>
  <c r="AB119" i="17"/>
  <c r="AB124" i="15"/>
  <c r="AB123" i="15"/>
  <c r="AB60" i="17"/>
  <c r="AB61" i="15"/>
  <c r="AB47" i="17"/>
  <c r="AB47" i="15"/>
  <c r="AB77" i="17"/>
  <c r="O64" i="18"/>
  <c r="O69" i="18"/>
  <c r="AB82" i="15"/>
  <c r="X811" i="17"/>
  <c r="X887" i="15"/>
  <c r="Y806" i="17"/>
  <c r="Y811" i="17"/>
  <c r="Y887" i="15"/>
  <c r="Z811" i="17"/>
  <c r="Z887" i="15"/>
  <c r="AB542" i="17"/>
  <c r="AB579" i="15"/>
  <c r="AB137" i="17"/>
  <c r="AB145" i="15"/>
  <c r="AB671" i="17"/>
  <c r="AB719" i="15"/>
  <c r="AB264" i="17"/>
  <c r="AB278" i="15"/>
  <c r="AB829" i="17"/>
  <c r="AB827" i="17"/>
  <c r="AB830" i="17"/>
  <c r="AB908" i="15"/>
  <c r="AB766" i="17"/>
  <c r="AB831" i="15"/>
  <c r="AB830" i="15"/>
  <c r="AB651" i="17"/>
  <c r="AB650" i="17"/>
  <c r="AB649" i="17"/>
  <c r="AB652" i="17"/>
  <c r="O547" i="18"/>
  <c r="AB698" i="15"/>
  <c r="AB699" i="15"/>
  <c r="AB169" i="17"/>
  <c r="AB180" i="15"/>
  <c r="AB151" i="17"/>
  <c r="AB166" i="15"/>
  <c r="AB384" i="17"/>
  <c r="AB411" i="15"/>
  <c r="AB584" i="15"/>
  <c r="AB518" i="17"/>
  <c r="AB551" i="15"/>
  <c r="AB510" i="17"/>
  <c r="AB511" i="17"/>
  <c r="AB504" i="17"/>
  <c r="AB507" i="17"/>
  <c r="AB544" i="15"/>
  <c r="AB543" i="15"/>
  <c r="AB188" i="17"/>
  <c r="AB191" i="17"/>
  <c r="AB190" i="17"/>
  <c r="AB193" i="17"/>
  <c r="H160" i="18"/>
  <c r="AB202" i="15"/>
  <c r="AB201" i="15"/>
  <c r="AB747" i="17"/>
  <c r="P625" i="18"/>
  <c r="J625" i="18"/>
  <c r="AB810" i="15"/>
  <c r="AB867" i="17"/>
  <c r="AB872" i="17"/>
  <c r="AB950" i="15"/>
  <c r="AB884" i="17"/>
  <c r="AB964" i="15"/>
  <c r="AB753" i="17"/>
  <c r="AB817" i="15"/>
  <c r="AB495" i="17"/>
  <c r="AB530" i="15"/>
  <c r="AB352" i="17"/>
  <c r="AB376" i="15"/>
  <c r="AB297" i="17"/>
  <c r="AB313" i="15"/>
  <c r="AB890" i="17"/>
  <c r="AB971" i="15"/>
  <c r="AB858" i="17"/>
  <c r="AB936" i="15"/>
  <c r="AB658" i="17"/>
  <c r="AB705" i="15"/>
  <c r="AB378" i="17"/>
  <c r="AB404" i="15"/>
  <c r="AB171" i="17"/>
  <c r="AB175" i="17"/>
  <c r="AB176" i="17"/>
  <c r="AB187" i="15"/>
  <c r="AB131" i="17"/>
  <c r="AB138" i="15"/>
  <c r="AB53" i="17"/>
  <c r="AB54" i="15"/>
  <c r="AB31" i="17"/>
  <c r="AB33" i="15"/>
  <c r="AB23" i="17"/>
  <c r="AB25" i="17"/>
  <c r="O19" i="18"/>
  <c r="AB26" i="15"/>
  <c r="AB6" i="17"/>
  <c r="AB5" i="15"/>
  <c r="AB354" i="17"/>
  <c r="AB356" i="17"/>
  <c r="AB359" i="17"/>
  <c r="AB383" i="15"/>
  <c r="AB942" i="17"/>
  <c r="AB1034" i="15"/>
  <c r="AB860" i="17"/>
  <c r="AB865" i="17"/>
  <c r="AB942" i="15"/>
  <c r="AB943" i="15"/>
  <c r="AB741" i="17"/>
  <c r="AB803" i="15"/>
  <c r="AB638" i="17"/>
  <c r="AB684" i="15"/>
  <c r="AB567" i="17"/>
  <c r="AB607" i="15"/>
  <c r="AB443" i="17"/>
  <c r="H369" i="18"/>
  <c r="O369" i="18" s="1"/>
  <c r="AB474" i="15"/>
  <c r="AB839" i="17"/>
  <c r="AB832" i="17"/>
  <c r="AB835" i="17"/>
  <c r="AB834" i="17"/>
  <c r="AB838" i="17"/>
  <c r="AB916" i="15"/>
  <c r="AB915" i="15"/>
  <c r="AB729" i="17"/>
  <c r="AB789" i="15"/>
  <c r="AB623" i="17"/>
  <c r="AB622" i="17"/>
  <c r="AB625" i="17"/>
  <c r="AB671" i="15"/>
  <c r="AB670" i="15"/>
  <c r="AB487" i="17"/>
  <c r="AB489" i="17"/>
  <c r="AB523" i="15"/>
  <c r="AB423" i="17"/>
  <c r="AB453" i="15"/>
  <c r="AB400" i="17"/>
  <c r="AB402" i="17"/>
  <c r="AB404" i="17"/>
  <c r="AB432" i="15"/>
  <c r="AB345" i="17"/>
  <c r="AB346" i="17"/>
  <c r="AB369" i="15"/>
  <c r="AB104" i="17"/>
  <c r="AB105" i="17"/>
  <c r="O87" i="18"/>
  <c r="AB110" i="15"/>
  <c r="AB96" i="17"/>
  <c r="AB95" i="17"/>
  <c r="AB98" i="17"/>
  <c r="AB104" i="15"/>
  <c r="AB103" i="15"/>
  <c r="AB12" i="17"/>
  <c r="AB12" i="15"/>
  <c r="AB340" i="17"/>
  <c r="AB362" i="15"/>
  <c r="AB287" i="17"/>
  <c r="AB291" i="17"/>
  <c r="H242" i="18"/>
  <c r="AB306" i="15"/>
  <c r="AB17" i="17"/>
  <c r="AB19" i="17"/>
  <c r="AB20" i="15"/>
  <c r="AB19" i="15"/>
  <c r="AB948" i="17"/>
  <c r="AB949" i="17"/>
  <c r="AB1041" i="15"/>
  <c r="AB784" i="17"/>
  <c r="AB859" i="15"/>
  <c r="AB760" i="17"/>
  <c r="AB824" i="15"/>
  <c r="AB437" i="17"/>
  <c r="AB467" i="15"/>
  <c r="AB690" i="17"/>
  <c r="AB692" i="17"/>
  <c r="AB695" i="17"/>
  <c r="AB740" i="15"/>
  <c r="AB739" i="15"/>
  <c r="AB85" i="17"/>
  <c r="AB89" i="15"/>
  <c r="AB673" i="17"/>
  <c r="AB677" i="17"/>
  <c r="AB679" i="17"/>
  <c r="AB726" i="15"/>
  <c r="AB727" i="15"/>
  <c r="AB665" i="17"/>
  <c r="AB712" i="15"/>
  <c r="AB561" i="17"/>
  <c r="AB600" i="15"/>
  <c r="AB408" i="17"/>
  <c r="AB410" i="17"/>
  <c r="AB439" i="15"/>
  <c r="AB125" i="17"/>
  <c r="AB131" i="15"/>
  <c r="AB593" i="17"/>
  <c r="AB635" i="15"/>
  <c r="AB477" i="17"/>
  <c r="AB509" i="15"/>
  <c r="AB391" i="17"/>
  <c r="AB418" i="15"/>
  <c r="AB501" i="17"/>
  <c r="AB537" i="15"/>
  <c r="AB274" i="17"/>
  <c r="AB273" i="17"/>
  <c r="AB277" i="17"/>
  <c r="AB276" i="17"/>
  <c r="AB278" i="17"/>
  <c r="H232" i="18"/>
  <c r="O232" i="18" s="1"/>
  <c r="H230" i="18"/>
  <c r="AB293" i="15"/>
  <c r="AB292" i="15"/>
  <c r="AB266" i="17"/>
  <c r="AB271" i="17"/>
  <c r="H225" i="18"/>
  <c r="AB285" i="15"/>
  <c r="AB157" i="17"/>
  <c r="P129" i="18"/>
  <c r="J129" i="18"/>
  <c r="H129" i="18" s="1"/>
  <c r="AB152" i="15"/>
  <c r="AB645" i="17"/>
  <c r="AB691" i="15"/>
  <c r="AB199" i="17"/>
  <c r="AB208" i="15"/>
  <c r="AB902" i="17"/>
  <c r="AB992" i="15"/>
  <c r="AB778" i="17"/>
  <c r="AB845" i="15"/>
  <c r="AB303" i="17"/>
  <c r="AB320" i="15"/>
  <c r="AB735" i="17"/>
  <c r="AB796" i="15"/>
  <c r="AB681" i="17"/>
  <c r="AB686" i="17"/>
  <c r="H577" i="18"/>
  <c r="AB733" i="15"/>
  <c r="AB710" i="17"/>
  <c r="AB761" i="15"/>
  <c r="AB416" i="17"/>
  <c r="AB446" i="15"/>
  <c r="AB334" i="17"/>
  <c r="AB355" i="15"/>
  <c r="AB216" i="17"/>
  <c r="AB215" i="17"/>
  <c r="AB218" i="17"/>
  <c r="AB230" i="15"/>
  <c r="AB229" i="15"/>
  <c r="AB144" i="17"/>
  <c r="AB159" i="15"/>
  <c r="AB79" i="17"/>
  <c r="Z17" i="17"/>
  <c r="Z20" i="15"/>
  <c r="AA464" i="17"/>
  <c r="AA91" i="17"/>
  <c r="AA96" i="15"/>
  <c r="AA17" i="17"/>
  <c r="AA19" i="17"/>
  <c r="P14" i="18"/>
  <c r="H12" i="18"/>
  <c r="O12" i="18" s="1"/>
  <c r="F14" i="18"/>
  <c r="AA20" i="15"/>
  <c r="AA19" i="15"/>
  <c r="Y437" i="17"/>
  <c r="Y467" i="15"/>
  <c r="Z437" i="17"/>
  <c r="Z467" i="15"/>
  <c r="AA851" i="17"/>
  <c r="AA852" i="17"/>
  <c r="AA929" i="15"/>
  <c r="AA823" i="17"/>
  <c r="AA901" i="15"/>
  <c r="AA791" i="17"/>
  <c r="AA866" i="15"/>
  <c r="AA723" i="17"/>
  <c r="AA782" i="15"/>
  <c r="AA622" i="17"/>
  <c r="AA671" i="15"/>
  <c r="AA670" i="15"/>
  <c r="AA572" i="17"/>
  <c r="AA574" i="17"/>
  <c r="AA615" i="15"/>
  <c r="AA614" i="15"/>
  <c r="AA524" i="17"/>
  <c r="AA558" i="15"/>
  <c r="AA513" i="17"/>
  <c r="AA512" i="17"/>
  <c r="AA504" i="17"/>
  <c r="AA507" i="17"/>
  <c r="AA510" i="17"/>
  <c r="AA544" i="15"/>
  <c r="AA446" i="17"/>
  <c r="AA445" i="17"/>
  <c r="AA449" i="17"/>
  <c r="AA448" i="17"/>
  <c r="AA447" i="17"/>
  <c r="AA450" i="17"/>
  <c r="H378" i="18"/>
  <c r="O378" i="18" s="1"/>
  <c r="AA481" i="15"/>
  <c r="AA482" i="15"/>
  <c r="AA328" i="17"/>
  <c r="AA348" i="15"/>
  <c r="AA264" i="17"/>
  <c r="AA278" i="15"/>
  <c r="AA258" i="17"/>
  <c r="AA271" i="15"/>
  <c r="AA227" i="17"/>
  <c r="AA236" i="15"/>
  <c r="AY563" i="24"/>
  <c r="AZ563" i="24"/>
  <c r="AA205" i="17"/>
  <c r="AA215" i="15"/>
  <c r="AA84" i="17"/>
  <c r="AA85" i="17"/>
  <c r="AA89" i="15"/>
  <c r="AA62" i="17"/>
  <c r="AA66" i="17"/>
  <c r="AA67" i="17"/>
  <c r="AA68" i="15"/>
  <c r="AA163" i="17"/>
  <c r="AA173" i="15"/>
  <c r="AA393" i="17"/>
  <c r="AA395" i="17"/>
  <c r="AA398" i="17"/>
  <c r="AA425" i="15"/>
  <c r="AA187" i="17"/>
  <c r="AA186" i="17"/>
  <c r="AA179" i="17"/>
  <c r="AA178" i="17"/>
  <c r="AA183" i="17"/>
  <c r="AA181" i="17"/>
  <c r="AA184" i="17"/>
  <c r="AA194" i="15"/>
  <c r="W858" i="17"/>
  <c r="W936" i="15"/>
  <c r="W784" i="17"/>
  <c r="W859" i="15"/>
  <c r="W605" i="17"/>
  <c r="W649" i="15"/>
  <c r="W464" i="17"/>
  <c r="W495" i="15"/>
  <c r="W419" i="17"/>
  <c r="W423" i="17"/>
  <c r="W453" i="15"/>
  <c r="X884" i="17"/>
  <c r="X964" i="15"/>
  <c r="X858" i="17"/>
  <c r="X936" i="15"/>
  <c r="X784" i="17"/>
  <c r="X859" i="15"/>
  <c r="X605" i="17"/>
  <c r="X649" i="15"/>
  <c r="X418" i="17"/>
  <c r="X423" i="17"/>
  <c r="X453" i="15"/>
  <c r="Y858" i="17"/>
  <c r="Y936" i="15"/>
  <c r="Y784" i="17"/>
  <c r="Y859" i="15"/>
  <c r="Y605" i="17"/>
  <c r="Y649" i="15"/>
  <c r="Y423" i="17"/>
  <c r="Y453" i="15"/>
  <c r="Z858" i="17"/>
  <c r="Z936" i="15"/>
  <c r="Z464" i="17"/>
  <c r="Z495" i="15"/>
  <c r="Z423" i="17"/>
  <c r="Z453" i="15"/>
  <c r="Z118" i="17"/>
  <c r="Z124" i="15"/>
  <c r="AA896" i="17"/>
  <c r="AA978" i="15"/>
  <c r="AA345" i="17"/>
  <c r="AA346" i="17"/>
  <c r="AA369" i="15"/>
  <c r="H151" i="18"/>
  <c r="AA192" i="15"/>
  <c r="AA815" i="17"/>
  <c r="AA817" i="17"/>
  <c r="AA894" i="15"/>
  <c r="AA778" i="17"/>
  <c r="AA845" i="15"/>
  <c r="O646" i="18"/>
  <c r="O592" i="18"/>
  <c r="AA605" i="17"/>
  <c r="AA649" i="15"/>
  <c r="AA428" i="17"/>
  <c r="AA430" i="17"/>
  <c r="AA461" i="15"/>
  <c r="AA378" i="17"/>
  <c r="AA404" i="15"/>
  <c r="AA157" i="17"/>
  <c r="AA152" i="15"/>
  <c r="AA109" i="17"/>
  <c r="AA111" i="17"/>
  <c r="AA117" i="15"/>
  <c r="AA53" i="17"/>
  <c r="AA54" i="15"/>
  <c r="O670" i="18"/>
  <c r="AA875" i="15"/>
  <c r="AA580" i="17"/>
  <c r="AA621" i="15"/>
  <c r="AA704" i="17"/>
  <c r="AA747" i="15"/>
  <c r="AA710" i="17"/>
  <c r="AA761" i="15"/>
  <c r="AA555" i="17"/>
  <c r="AA593" i="15"/>
  <c r="AA297" i="17"/>
  <c r="AA313" i="15"/>
  <c r="AA252" i="17"/>
  <c r="AA264" i="15"/>
  <c r="AA811" i="17"/>
  <c r="AA887" i="15"/>
  <c r="AA621" i="17"/>
  <c r="AA623" i="17"/>
  <c r="AA625" i="17"/>
  <c r="AA618" i="17"/>
  <c r="AA663" i="15"/>
  <c r="AA612" i="17"/>
  <c r="AA656" i="15"/>
  <c r="AA310" i="17"/>
  <c r="AA327" i="15"/>
  <c r="AA169" i="17"/>
  <c r="AA180" i="15"/>
  <c r="AA151" i="17"/>
  <c r="AA166" i="15"/>
  <c r="AA137" i="17"/>
  <c r="H112" i="18"/>
  <c r="AA145" i="15"/>
  <c r="AA699" i="17"/>
  <c r="AA702" i="17"/>
  <c r="AA748" i="15"/>
  <c r="AA114" i="17"/>
  <c r="AA115" i="17"/>
  <c r="AA118" i="17"/>
  <c r="AA116" i="17"/>
  <c r="AA119" i="17"/>
  <c r="AA124" i="15"/>
  <c r="AA123" i="15"/>
  <c r="AA908" i="17"/>
  <c r="AA905" i="17"/>
  <c r="AA904" i="17"/>
  <c r="AA907" i="17"/>
  <c r="AA906" i="17"/>
  <c r="AA909" i="17"/>
  <c r="AA999" i="15"/>
  <c r="AA1000" i="15"/>
  <c r="AA131" i="17"/>
  <c r="AA138" i="15"/>
  <c r="AA495" i="17"/>
  <c r="AA530" i="15"/>
  <c r="AA246" i="17"/>
  <c r="AA244" i="17"/>
  <c r="AA257" i="15"/>
  <c r="AA930" i="17"/>
  <c r="AA924" i="17"/>
  <c r="AA927" i="17"/>
  <c r="AA929" i="17"/>
  <c r="AA1020" i="15"/>
  <c r="AA1021" i="15"/>
  <c r="AA753" i="17"/>
  <c r="AA817" i="15"/>
  <c r="AA468" i="17"/>
  <c r="AA471" i="17"/>
  <c r="AA502" i="15"/>
  <c r="AA948" i="17"/>
  <c r="AA949" i="17"/>
  <c r="AA1041" i="15"/>
  <c r="AA698" i="17"/>
  <c r="AA697" i="17"/>
  <c r="AA690" i="17"/>
  <c r="AA692" i="17"/>
  <c r="AA695" i="17"/>
  <c r="AA740" i="15"/>
  <c r="AA739" i="15"/>
  <c r="AA391" i="17"/>
  <c r="H323" i="18"/>
  <c r="O323" i="18" s="1"/>
  <c r="AA418" i="15"/>
  <c r="AA25" i="17"/>
  <c r="AA26" i="15"/>
  <c r="AA372" i="17"/>
  <c r="AA397" i="15"/>
  <c r="AA303" i="17"/>
  <c r="AA320" i="15"/>
  <c r="AA878" i="17"/>
  <c r="AA958" i="15"/>
  <c r="AA902" i="17"/>
  <c r="AA992" i="15"/>
  <c r="O431" i="18"/>
  <c r="O430" i="18"/>
  <c r="AA6" i="17"/>
  <c r="AA5" i="15"/>
  <c r="AA172" i="17"/>
  <c r="AA171" i="17"/>
  <c r="AA175" i="17"/>
  <c r="AA174" i="17"/>
  <c r="AA173" i="17"/>
  <c r="AA176" i="17"/>
  <c r="AA187" i="15"/>
  <c r="AA188" i="15"/>
  <c r="AA384" i="17"/>
  <c r="AA411" i="15"/>
  <c r="AA860" i="17"/>
  <c r="AA865" i="17"/>
  <c r="AA943" i="15"/>
  <c r="AA942" i="15"/>
  <c r="AA841" i="17"/>
  <c r="AA840" i="17"/>
  <c r="AA839" i="17"/>
  <c r="AA832" i="17"/>
  <c r="AA835" i="17"/>
  <c r="AA834" i="17"/>
  <c r="AA838" i="17"/>
  <c r="AA915" i="15"/>
  <c r="AA916" i="15"/>
  <c r="AA729" i="17"/>
  <c r="AA789" i="15"/>
  <c r="AA658" i="17"/>
  <c r="AA705" i="15"/>
  <c r="AA443" i="17"/>
  <c r="AA474" i="15"/>
  <c r="AA280" i="17"/>
  <c r="AA284" i="17"/>
  <c r="AA282" i="17"/>
  <c r="AA285" i="17"/>
  <c r="AA299" i="15"/>
  <c r="AA188" i="17"/>
  <c r="AA191" i="17"/>
  <c r="AA190" i="17"/>
  <c r="AA193" i="17"/>
  <c r="AA201" i="15"/>
  <c r="AA202" i="15"/>
  <c r="AA73" i="17"/>
  <c r="AA75" i="15"/>
  <c r="AA12" i="17"/>
  <c r="AA12" i="15"/>
  <c r="AA867" i="17"/>
  <c r="AA870" i="17"/>
  <c r="AA869" i="17"/>
  <c r="AA872" i="17"/>
  <c r="AA950" i="15"/>
  <c r="AA951" i="15"/>
  <c r="AA858" i="17"/>
  <c r="AA936" i="15"/>
  <c r="AA829" i="17"/>
  <c r="AA827" i="17"/>
  <c r="AA830" i="17"/>
  <c r="AA908" i="15"/>
  <c r="AA671" i="17"/>
  <c r="AA719" i="15"/>
  <c r="AA716" i="15"/>
  <c r="AA542" i="17"/>
  <c r="AA579" i="15"/>
  <c r="AA593" i="17"/>
  <c r="AA635" i="15"/>
  <c r="AA587" i="17"/>
  <c r="AA628" i="15"/>
  <c r="AA437" i="17"/>
  <c r="AA467" i="15"/>
  <c r="AA352" i="17"/>
  <c r="AA376" i="15"/>
  <c r="AA334" i="17"/>
  <c r="AA355" i="15"/>
  <c r="AA47" i="17"/>
  <c r="AA47" i="15"/>
  <c r="AA105" i="17"/>
  <c r="AA110" i="15"/>
  <c r="AA58" i="17"/>
  <c r="AA57" i="17"/>
  <c r="AA60" i="17"/>
  <c r="AA61" i="15"/>
  <c r="AA62" i="15"/>
  <c r="AA321" i="17"/>
  <c r="AA322" i="17"/>
  <c r="AA341" i="15"/>
  <c r="AA405" i="17"/>
  <c r="AA400" i="17"/>
  <c r="AA403" i="17"/>
  <c r="AA402" i="17"/>
  <c r="AA404" i="17"/>
  <c r="AA432" i="15"/>
  <c r="AA354" i="17"/>
  <c r="AA356" i="17"/>
  <c r="AA359" i="17"/>
  <c r="AA383" i="15"/>
  <c r="AA93" i="17"/>
  <c r="AA96" i="17"/>
  <c r="AA95" i="17"/>
  <c r="AA98" i="17"/>
  <c r="AA104" i="15"/>
  <c r="AA103" i="15"/>
  <c r="AA40" i="17"/>
  <c r="AA33" i="17"/>
  <c r="AA38" i="17"/>
  <c r="AA37" i="17"/>
  <c r="AA36" i="17"/>
  <c r="AA41" i="15"/>
  <c r="AA40" i="15"/>
  <c r="AA42" i="15"/>
  <c r="AA912" i="17"/>
  <c r="AA914" i="17"/>
  <c r="AA915" i="17"/>
  <c r="AA1006" i="15"/>
  <c r="AA784" i="17"/>
  <c r="AA859" i="15"/>
  <c r="AA741" i="17"/>
  <c r="AA803" i="15"/>
  <c r="AA638" i="17"/>
  <c r="AA684" i="15"/>
  <c r="AA495" i="15"/>
  <c r="AA340" i="17"/>
  <c r="AA362" i="15"/>
  <c r="AA291" i="17"/>
  <c r="AA306" i="15"/>
  <c r="AA544" i="17"/>
  <c r="AA548" i="17"/>
  <c r="AA546" i="17"/>
  <c r="AA549" i="17"/>
  <c r="AA586" i="15"/>
  <c r="AA584" i="15"/>
  <c r="AA735" i="17"/>
  <c r="AA796" i="15"/>
  <c r="AA366" i="17"/>
  <c r="AA390" i="15"/>
  <c r="AA477" i="17"/>
  <c r="AA509" i="15"/>
  <c r="AA125" i="17"/>
  <c r="AA131" i="15"/>
  <c r="AA130" i="15"/>
  <c r="AA717" i="17"/>
  <c r="AA775" i="15"/>
  <c r="AA271" i="17"/>
  <c r="H221" i="18"/>
  <c r="O221" i="18" s="1"/>
  <c r="AA285" i="15"/>
  <c r="AA236" i="17"/>
  <c r="AA239" i="17"/>
  <c r="AA240" i="17"/>
  <c r="O200" i="18"/>
  <c r="O198" i="18"/>
  <c r="AA250" i="15"/>
  <c r="AA762" i="17"/>
  <c r="AA765" i="17"/>
  <c r="AA764" i="17"/>
  <c r="AA766" i="17"/>
  <c r="AA831" i="15"/>
  <c r="AA830" i="15"/>
  <c r="AA884" i="17"/>
  <c r="AA964" i="15"/>
  <c r="Z875" i="15"/>
  <c r="AA139" i="17"/>
  <c r="AA144" i="17"/>
  <c r="O121" i="18"/>
  <c r="AA159" i="15"/>
  <c r="AA316" i="17"/>
  <c r="AA334" i="15"/>
  <c r="Z699" i="17"/>
  <c r="Z703" i="17"/>
  <c r="Z701" i="17"/>
  <c r="Z704" i="17"/>
  <c r="O589" i="18"/>
  <c r="Z747" i="15"/>
  <c r="AA760" i="17"/>
  <c r="H636" i="18"/>
  <c r="AA824" i="15"/>
  <c r="AA673" i="17"/>
  <c r="AA677" i="17"/>
  <c r="AA679" i="17"/>
  <c r="AA727" i="15"/>
  <c r="AA726" i="15"/>
  <c r="AA651" i="17"/>
  <c r="AA649" i="17"/>
  <c r="AA652" i="17"/>
  <c r="O546" i="18"/>
  <c r="AA698" i="15"/>
  <c r="AA487" i="17"/>
  <c r="AA489" i="17"/>
  <c r="H408" i="18"/>
  <c r="O408" i="18"/>
  <c r="AA523" i="15"/>
  <c r="AA457" i="17"/>
  <c r="AA488" i="15"/>
  <c r="AA518" i="17"/>
  <c r="AA551" i="15"/>
  <c r="AA663" i="17"/>
  <c r="AA665" i="17"/>
  <c r="AA713" i="15"/>
  <c r="AA712" i="15"/>
  <c r="AA77" i="17"/>
  <c r="AA79" i="17"/>
  <c r="AA82" i="15"/>
  <c r="AA561" i="17"/>
  <c r="AA600" i="15"/>
  <c r="AA567" i="17"/>
  <c r="AA607" i="15"/>
  <c r="AA942" i="17"/>
  <c r="AA1034" i="15"/>
  <c r="AA483" i="17"/>
  <c r="AA516" i="15"/>
  <c r="AA640" i="17"/>
  <c r="AA645" i="17"/>
  <c r="O543" i="18"/>
  <c r="AA691" i="15"/>
  <c r="AA747" i="17"/>
  <c r="AA810" i="15"/>
  <c r="AA685" i="17"/>
  <c r="AA684" i="17"/>
  <c r="AA686" i="17"/>
  <c r="AA733" i="15"/>
  <c r="AA734" i="15"/>
  <c r="AA501" i="17"/>
  <c r="AA537" i="15"/>
  <c r="AA423" i="17"/>
  <c r="H351" i="18"/>
  <c r="O351" i="18" s="1"/>
  <c r="AA453" i="15"/>
  <c r="AA416" i="17"/>
  <c r="AA446" i="15"/>
  <c r="AA408" i="17"/>
  <c r="AA410" i="17"/>
  <c r="AA439" i="15"/>
  <c r="AA273" i="17"/>
  <c r="AA276" i="17"/>
  <c r="AA275" i="17"/>
  <c r="AA278" i="17"/>
  <c r="O231" i="18"/>
  <c r="AA293" i="15"/>
  <c r="AA292" i="15"/>
  <c r="AA216" i="17"/>
  <c r="AA215" i="17"/>
  <c r="AA218" i="17"/>
  <c r="AA230" i="15"/>
  <c r="AA229" i="15"/>
  <c r="AA199" i="17"/>
  <c r="H166" i="18"/>
  <c r="O166" i="18" s="1"/>
  <c r="AA208" i="15"/>
  <c r="Z930" i="17"/>
  <c r="Z929" i="17"/>
  <c r="Z1020" i="15"/>
  <c r="Z449" i="17"/>
  <c r="Z448" i="17"/>
  <c r="Z447" i="17"/>
  <c r="Z450" i="17"/>
  <c r="Z443" i="17"/>
  <c r="Z482" i="15"/>
  <c r="Z481" i="15"/>
  <c r="Z252" i="17"/>
  <c r="Z264" i="15"/>
  <c r="Z205" i="17"/>
  <c r="Z215" i="15"/>
  <c r="Z169" i="17"/>
  <c r="Z180" i="15"/>
  <c r="Z163" i="17"/>
  <c r="Z173" i="15"/>
  <c r="Z85" i="17"/>
  <c r="Z89" i="15"/>
  <c r="Y924" i="17"/>
  <c r="Y930" i="17"/>
  <c r="Y929" i="17"/>
  <c r="Y1020" i="15"/>
  <c r="Y430" i="17"/>
  <c r="Y460" i="15"/>
  <c r="X930" i="17"/>
  <c r="X929" i="17"/>
  <c r="X1020" i="15"/>
  <c r="X460" i="15"/>
  <c r="X430" i="17"/>
  <c r="Z673" i="17"/>
  <c r="Z726" i="15"/>
  <c r="Z544" i="15"/>
  <c r="Z511" i="17"/>
  <c r="Z507" i="17"/>
  <c r="Z510" i="17"/>
  <c r="Z580" i="17"/>
  <c r="H485" i="18"/>
  <c r="O485" i="18" s="1"/>
  <c r="Z621" i="15"/>
  <c r="Z284" i="17"/>
  <c r="Z285" i="17"/>
  <c r="Z299" i="15"/>
  <c r="Z384" i="17"/>
  <c r="Z411" i="15"/>
  <c r="Z905" i="17"/>
  <c r="Z904" i="17"/>
  <c r="Z908" i="17"/>
  <c r="Z907" i="17"/>
  <c r="Z906" i="17"/>
  <c r="Z909" i="17"/>
  <c r="O766" i="18"/>
  <c r="H767" i="18"/>
  <c r="O767" i="18" s="1"/>
  <c r="H764" i="18"/>
  <c r="O764" i="18" s="1"/>
  <c r="Z1000" i="15"/>
  <c r="Z999" i="15"/>
  <c r="Z804" i="17"/>
  <c r="Z880" i="15"/>
  <c r="Z723" i="17"/>
  <c r="Z782" i="15"/>
  <c r="Z753" i="17"/>
  <c r="Z817" i="15"/>
  <c r="Z671" i="17"/>
  <c r="Z719" i="15"/>
  <c r="Z151" i="17"/>
  <c r="Z166" i="15"/>
  <c r="Z19" i="17"/>
  <c r="Z19" i="15"/>
  <c r="Z171" i="17"/>
  <c r="Z175" i="17"/>
  <c r="Z174" i="17"/>
  <c r="Z173" i="17"/>
  <c r="Z176" i="17"/>
  <c r="Z188" i="15"/>
  <c r="Z187" i="15"/>
  <c r="Y428" i="17"/>
  <c r="Y461" i="15"/>
  <c r="U430" i="17"/>
  <c r="U460" i="15"/>
  <c r="Z896" i="17"/>
  <c r="H753" i="18"/>
  <c r="O753" i="18" s="1"/>
  <c r="Z978" i="15"/>
  <c r="Z823" i="17"/>
  <c r="Z901" i="15"/>
  <c r="Z793" i="17"/>
  <c r="Z797" i="17"/>
  <c r="Z798" i="17"/>
  <c r="Z873" i="15"/>
  <c r="Z716" i="17"/>
  <c r="Z714" i="17"/>
  <c r="Z717" i="17"/>
  <c r="Z775" i="15"/>
  <c r="Z428" i="17"/>
  <c r="Z430" i="17"/>
  <c r="Z461" i="15"/>
  <c r="Z460" i="15"/>
  <c r="Z393" i="17"/>
  <c r="Z395" i="17"/>
  <c r="Z398" i="17"/>
  <c r="Z425" i="15"/>
  <c r="Z183" i="17"/>
  <c r="Z187" i="17"/>
  <c r="Z186" i="17"/>
  <c r="Z179" i="17"/>
  <c r="Z178" i="17"/>
  <c r="Z181" i="17"/>
  <c r="Z184" i="17"/>
  <c r="O159" i="18"/>
  <c r="O158" i="18"/>
  <c r="O157" i="18"/>
  <c r="H155" i="18"/>
  <c r="O155" i="18" s="1"/>
  <c r="H154" i="18"/>
  <c r="O154" i="18" s="1"/>
  <c r="H153" i="18"/>
  <c r="O153" i="18" s="1"/>
  <c r="O152" i="18"/>
  <c r="O151" i="18"/>
  <c r="Z196" i="15"/>
  <c r="Z194" i="15"/>
  <c r="Z684" i="15"/>
  <c r="Z489" i="17"/>
  <c r="Z487" i="17"/>
  <c r="Z523" i="15"/>
  <c r="Z303" i="17"/>
  <c r="Z320" i="15"/>
  <c r="Z297" i="17"/>
  <c r="Z313" i="15"/>
  <c r="Z264" i="17"/>
  <c r="Z278" i="15"/>
  <c r="Z137" i="17"/>
  <c r="Z145" i="15"/>
  <c r="Z125" i="17"/>
  <c r="Z131" i="15"/>
  <c r="Z42" i="15"/>
  <c r="Z574" i="17"/>
  <c r="Z572" i="17"/>
  <c r="Z615" i="15"/>
  <c r="Z614" i="15"/>
  <c r="Z561" i="17"/>
  <c r="Z600" i="15"/>
  <c r="Z495" i="17"/>
  <c r="Z530" i="15"/>
  <c r="Z476" i="17"/>
  <c r="Z477" i="17"/>
  <c r="Z509" i="15"/>
  <c r="H363" i="18"/>
  <c r="O363" i="18" s="1"/>
  <c r="Z366" i="17"/>
  <c r="Z390" i="15"/>
  <c r="Z328" i="17"/>
  <c r="Z348" i="15"/>
  <c r="Z316" i="17"/>
  <c r="Z334" i="15"/>
  <c r="Z240" i="17"/>
  <c r="Z250" i="15"/>
  <c r="Z213" i="17"/>
  <c r="Z229" i="15"/>
  <c r="Z109" i="17"/>
  <c r="Z111" i="17"/>
  <c r="O91" i="18"/>
  <c r="Z117" i="15"/>
  <c r="Z6" i="17"/>
  <c r="H2" i="18"/>
  <c r="O2" i="18" s="1"/>
  <c r="Z5" i="15"/>
  <c r="AD423" i="24"/>
  <c r="T163" i="17"/>
  <c r="T173" i="15"/>
  <c r="Z310" i="17"/>
  <c r="H254" i="18"/>
  <c r="O254" i="18" s="1"/>
  <c r="Z327" i="15"/>
  <c r="AG423" i="24"/>
  <c r="U163" i="17"/>
  <c r="U173" i="15"/>
  <c r="T103" i="17"/>
  <c r="T105" i="17"/>
  <c r="T110" i="15"/>
  <c r="Z948" i="17"/>
  <c r="Z949" i="17"/>
  <c r="H798" i="18"/>
  <c r="O798" i="18" s="1"/>
  <c r="Z1041" i="15"/>
  <c r="Z942" i="17"/>
  <c r="Z1034" i="15"/>
  <c r="Z924" i="17"/>
  <c r="Z927" i="17"/>
  <c r="O784" i="18"/>
  <c r="Z1021" i="15"/>
  <c r="Z922" i="17"/>
  <c r="O775" i="18"/>
  <c r="Z1013" i="15"/>
  <c r="Z915" i="17"/>
  <c r="Z1006" i="15"/>
  <c r="Z890" i="17"/>
  <c r="Z971" i="15"/>
  <c r="Z884" i="17"/>
  <c r="Z964" i="15"/>
  <c r="Z878" i="17"/>
  <c r="Z958" i="15"/>
  <c r="Z839" i="17"/>
  <c r="Z832" i="17"/>
  <c r="Z835" i="17"/>
  <c r="Z834" i="17"/>
  <c r="Z838" i="17"/>
  <c r="H706" i="18"/>
  <c r="O706" i="18" s="1"/>
  <c r="Z916" i="15"/>
  <c r="Z915" i="15"/>
  <c r="Z902" i="17"/>
  <c r="Z992" i="15"/>
  <c r="Z829" i="17"/>
  <c r="Z827" i="17"/>
  <c r="Z830" i="17"/>
  <c r="Z908" i="15"/>
  <c r="H679" i="18"/>
  <c r="O679" i="18" s="1"/>
  <c r="Z791" i="17"/>
  <c r="Z866" i="15"/>
  <c r="Z778" i="17"/>
  <c r="Z845" i="15"/>
  <c r="Z765" i="17"/>
  <c r="Z764" i="17"/>
  <c r="Z766" i="17"/>
  <c r="Z831" i="15"/>
  <c r="Z747" i="17"/>
  <c r="Z810" i="15"/>
  <c r="H610" i="18"/>
  <c r="O610" i="18" s="1"/>
  <c r="Z698" i="17"/>
  <c r="Z697" i="17"/>
  <c r="Z690" i="17"/>
  <c r="Z692" i="17"/>
  <c r="Z695" i="17"/>
  <c r="O587" i="18"/>
  <c r="H580" i="18"/>
  <c r="O580" i="18" s="1"/>
  <c r="Z740" i="15"/>
  <c r="Z651" i="17"/>
  <c r="Z649" i="17"/>
  <c r="Z652" i="17"/>
  <c r="Z698" i="15"/>
  <c r="Z621" i="17"/>
  <c r="Z620" i="17"/>
  <c r="Z623" i="17"/>
  <c r="Z622" i="17"/>
  <c r="Z625" i="17"/>
  <c r="O526" i="18"/>
  <c r="Z671" i="15"/>
  <c r="Z670" i="15"/>
  <c r="Z618" i="17"/>
  <c r="Z663" i="15"/>
  <c r="Z612" i="17"/>
  <c r="Z656" i="15"/>
  <c r="Z605" i="17"/>
  <c r="H506" i="18"/>
  <c r="O506" i="18" s="1"/>
  <c r="Z649" i="15"/>
  <c r="Z593" i="17"/>
  <c r="H496" i="18"/>
  <c r="Z635" i="15"/>
  <c r="Z585" i="17"/>
  <c r="Z587" i="17"/>
  <c r="H490" i="18"/>
  <c r="O490" i="18" s="1"/>
  <c r="O492" i="18"/>
  <c r="Z629" i="15"/>
  <c r="Z628" i="15"/>
  <c r="Z710" i="17"/>
  <c r="Z761" i="15"/>
  <c r="Z542" i="17"/>
  <c r="O456" i="18"/>
  <c r="Z579" i="15"/>
  <c r="Z524" i="17"/>
  <c r="Z558" i="15"/>
  <c r="Z518" i="17"/>
  <c r="Z551" i="15"/>
  <c r="Z483" i="17"/>
  <c r="Z516" i="15"/>
  <c r="Z468" i="17"/>
  <c r="Z471" i="17"/>
  <c r="Z502" i="15"/>
  <c r="Z244" i="17"/>
  <c r="Z246" i="17"/>
  <c r="Z257" i="15"/>
  <c r="Z352" i="17"/>
  <c r="Z376" i="15"/>
  <c r="Z334" i="17"/>
  <c r="Z355" i="15"/>
  <c r="Z115" i="17"/>
  <c r="Z114" i="17"/>
  <c r="Z116" i="17"/>
  <c r="Z119" i="17"/>
  <c r="O98" i="18"/>
  <c r="Z53" i="17"/>
  <c r="Z54" i="15"/>
  <c r="Z504" i="17"/>
  <c r="Z457" i="17"/>
  <c r="Z488" i="15"/>
  <c r="Z474" i="15"/>
  <c r="Z391" i="17"/>
  <c r="Z418" i="15"/>
  <c r="Z372" i="17"/>
  <c r="Z397" i="15"/>
  <c r="Z356" i="17"/>
  <c r="Z359" i="17"/>
  <c r="Z383" i="15"/>
  <c r="Z345" i="17"/>
  <c r="Z346" i="17"/>
  <c r="Z369" i="15"/>
  <c r="Z321" i="17"/>
  <c r="Z322" i="17"/>
  <c r="O267" i="18"/>
  <c r="Z341" i="15"/>
  <c r="Z291" i="17"/>
  <c r="Z306" i="15"/>
  <c r="Z258" i="17"/>
  <c r="Z271" i="15"/>
  <c r="Z227" i="17"/>
  <c r="Z236" i="15"/>
  <c r="Z131" i="17"/>
  <c r="H107" i="18"/>
  <c r="O107" i="18" s="1"/>
  <c r="Z138" i="15"/>
  <c r="Z104" i="17"/>
  <c r="Z105" i="17"/>
  <c r="Z110" i="15"/>
  <c r="Z96" i="17"/>
  <c r="Z95" i="17"/>
  <c r="Z98" i="17"/>
  <c r="Z104" i="15"/>
  <c r="Z103" i="15"/>
  <c r="Z91" i="17"/>
  <c r="H73" i="18"/>
  <c r="O73" i="18" s="1"/>
  <c r="Z96" i="15"/>
  <c r="Z77" i="17"/>
  <c r="Z79" i="17"/>
  <c r="Z82" i="15"/>
  <c r="Z31" i="17"/>
  <c r="O23" i="18"/>
  <c r="Z33" i="15"/>
  <c r="Z62" i="17"/>
  <c r="Z66" i="17"/>
  <c r="Z65" i="17"/>
  <c r="Z67" i="17"/>
  <c r="H56" i="18"/>
  <c r="O56" i="18" s="1"/>
  <c r="Z69" i="15"/>
  <c r="Z68" i="15"/>
  <c r="Z47" i="17"/>
  <c r="Z47" i="15"/>
  <c r="Z12" i="17"/>
  <c r="H7" i="18"/>
  <c r="O7" i="18"/>
  <c r="Z12" i="15"/>
  <c r="Y580" i="17"/>
  <c r="Y621" i="15"/>
  <c r="Z405" i="17"/>
  <c r="Z432" i="15"/>
  <c r="Z638" i="17"/>
  <c r="Z815" i="17"/>
  <c r="Z817" i="17"/>
  <c r="Z894" i="15"/>
  <c r="Z784" i="17"/>
  <c r="Z859" i="15"/>
  <c r="Z760" i="17"/>
  <c r="Z824" i="15"/>
  <c r="Z741" i="17"/>
  <c r="Z803" i="15"/>
  <c r="Z682" i="17"/>
  <c r="Z685" i="17"/>
  <c r="Z684" i="17"/>
  <c r="Z686" i="17"/>
  <c r="Z734" i="15"/>
  <c r="Z733" i="15"/>
  <c r="Z677" i="17"/>
  <c r="Z679" i="17"/>
  <c r="Z727" i="15"/>
  <c r="Z663" i="17"/>
  <c r="Z665" i="17"/>
  <c r="Z713" i="15"/>
  <c r="Z712" i="15"/>
  <c r="Z658" i="17"/>
  <c r="Z705" i="15"/>
  <c r="Z544" i="17"/>
  <c r="Z548" i="17"/>
  <c r="Z546" i="17"/>
  <c r="Z549" i="17"/>
  <c r="Z586" i="15"/>
  <c r="Z501" i="17"/>
  <c r="Z537" i="15"/>
  <c r="Z378" i="17"/>
  <c r="Z404" i="15"/>
  <c r="Z340" i="17"/>
  <c r="Z362" i="15"/>
  <c r="Z188" i="17"/>
  <c r="Z191" i="17"/>
  <c r="Z190" i="17"/>
  <c r="Z193" i="17"/>
  <c r="Z202" i="15"/>
  <c r="Z201" i="15"/>
  <c r="Z142" i="17"/>
  <c r="Z144" i="17"/>
  <c r="Z160" i="15"/>
  <c r="Z159" i="15"/>
  <c r="Z73" i="17"/>
  <c r="H58" i="18"/>
  <c r="O58" i="18" s="1"/>
  <c r="Z75" i="15"/>
  <c r="Z58" i="17"/>
  <c r="Z57" i="17"/>
  <c r="Z60" i="17"/>
  <c r="O48" i="18"/>
  <c r="Z62" i="15"/>
  <c r="Z61" i="15"/>
  <c r="Z40" i="17"/>
  <c r="Z33" i="17"/>
  <c r="Z38" i="17"/>
  <c r="Z37" i="17"/>
  <c r="Z36" i="17"/>
  <c r="H32" i="18"/>
  <c r="O32" i="18" s="1"/>
  <c r="H28" i="18"/>
  <c r="O28" i="18" s="1"/>
  <c r="Z41" i="15"/>
  <c r="Z40" i="15"/>
  <c r="Z860" i="17"/>
  <c r="Z865" i="17"/>
  <c r="H730" i="18"/>
  <c r="O730" i="18" s="1"/>
  <c r="H726" i="18"/>
  <c r="Z943" i="15"/>
  <c r="Z400" i="17"/>
  <c r="Z403" i="17"/>
  <c r="Z402" i="17"/>
  <c r="Z404" i="17"/>
  <c r="H338" i="18"/>
  <c r="O338" i="18" s="1"/>
  <c r="O336" i="18"/>
  <c r="Z280" i="17"/>
  <c r="Z282" i="17"/>
  <c r="O234" i="18"/>
  <c r="Z867" i="17"/>
  <c r="Z870" i="17"/>
  <c r="Z872" i="17"/>
  <c r="O734" i="18"/>
  <c r="O736" i="18"/>
  <c r="Z950" i="15"/>
  <c r="Z951" i="15"/>
  <c r="Z852" i="17"/>
  <c r="Z929" i="15"/>
  <c r="Z772" i="17"/>
  <c r="Z838" i="15"/>
  <c r="Z735" i="17"/>
  <c r="Z796" i="15"/>
  <c r="Z645" i="17"/>
  <c r="Z691" i="15"/>
  <c r="Z567" i="17"/>
  <c r="Z607" i="15"/>
  <c r="Z416" i="17"/>
  <c r="Z446" i="15"/>
  <c r="Z408" i="17"/>
  <c r="Z410" i="17"/>
  <c r="Z439" i="15"/>
  <c r="Z274" i="17"/>
  <c r="Z277" i="17"/>
  <c r="Z276" i="17"/>
  <c r="Z275" i="17"/>
  <c r="Z278" i="17"/>
  <c r="Z293" i="15"/>
  <c r="Z292" i="15"/>
  <c r="Z271" i="17"/>
  <c r="Z285" i="15"/>
  <c r="Z214" i="17"/>
  <c r="Z217" i="17"/>
  <c r="Z216" i="17"/>
  <c r="Z215" i="17"/>
  <c r="Z218" i="17"/>
  <c r="Z230" i="15"/>
  <c r="Z199" i="17"/>
  <c r="Z208" i="15"/>
  <c r="Z157" i="17"/>
  <c r="O129" i="18"/>
  <c r="Z152" i="15"/>
  <c r="Y839" i="17"/>
  <c r="Y832" i="17"/>
  <c r="Y834" i="17"/>
  <c r="Y838" i="17"/>
  <c r="Y915" i="15"/>
  <c r="Y804" i="17"/>
  <c r="Y880" i="15"/>
  <c r="O549" i="18"/>
  <c r="Y297" i="17"/>
  <c r="Y313" i="15"/>
  <c r="Y163" i="17"/>
  <c r="H134" i="18"/>
  <c r="O134" i="18" s="1"/>
  <c r="Y173" i="15"/>
  <c r="Y125" i="17"/>
  <c r="Y131" i="15"/>
  <c r="X829" i="17"/>
  <c r="X827" i="17"/>
  <c r="X908" i="15"/>
  <c r="U652" i="17"/>
  <c r="Y334" i="17"/>
  <c r="Y355" i="15"/>
  <c r="Y258" i="17"/>
  <c r="Y271" i="15"/>
  <c r="Y618" i="17"/>
  <c r="Y663" i="15"/>
  <c r="Y393" i="17"/>
  <c r="Y397" i="17"/>
  <c r="Y395" i="17"/>
  <c r="Y398" i="17"/>
  <c r="Y425" i="15"/>
  <c r="Y186" i="17"/>
  <c r="Y179" i="17"/>
  <c r="Y178" i="17"/>
  <c r="Y183" i="17"/>
  <c r="Y181" i="17"/>
  <c r="Y184" i="17"/>
  <c r="Y196" i="15"/>
  <c r="Y194" i="15"/>
  <c r="Y904" i="17"/>
  <c r="Y905" i="17"/>
  <c r="Y908" i="17"/>
  <c r="Y907" i="17"/>
  <c r="Y906" i="17"/>
  <c r="Y909" i="17"/>
  <c r="Y1000" i="15"/>
  <c r="Y999" i="15"/>
  <c r="Y878" i="17"/>
  <c r="Y958" i="15"/>
  <c r="Y902" i="17"/>
  <c r="Y992" i="15"/>
  <c r="Y310" i="17"/>
  <c r="Y327" i="15"/>
  <c r="Y793" i="17"/>
  <c r="Y797" i="17"/>
  <c r="Y798" i="17"/>
  <c r="H671" i="18"/>
  <c r="O671" i="18" s="1"/>
  <c r="Y875" i="15"/>
  <c r="Y873" i="15"/>
  <c r="Y751" i="17"/>
  <c r="Y753" i="17"/>
  <c r="Y817" i="15"/>
  <c r="Y716" i="17"/>
  <c r="Y714" i="17"/>
  <c r="Y717" i="17"/>
  <c r="Y775" i="15"/>
  <c r="Y572" i="17"/>
  <c r="Y574" i="17"/>
  <c r="Y615" i="15"/>
  <c r="Y614" i="15"/>
  <c r="Y372" i="17"/>
  <c r="Y397" i="15"/>
  <c r="Y303" i="17"/>
  <c r="Y320" i="15"/>
  <c r="Y240" i="17"/>
  <c r="Y250" i="15"/>
  <c r="Y227" i="17"/>
  <c r="Y236" i="15"/>
  <c r="Y252" i="17"/>
  <c r="Y264" i="15"/>
  <c r="Y151" i="17"/>
  <c r="Y166" i="15"/>
  <c r="Y111" i="17"/>
  <c r="H90" i="18"/>
  <c r="Y117" i="15"/>
  <c r="W151" i="17"/>
  <c r="W166" i="15"/>
  <c r="X151" i="17"/>
  <c r="X166" i="15"/>
  <c r="Y104" i="17"/>
  <c r="Y105" i="17"/>
  <c r="Y110" i="15"/>
  <c r="Y47" i="17"/>
  <c r="Y47" i="15"/>
  <c r="Y405" i="17"/>
  <c r="Y432" i="15"/>
  <c r="Y384" i="17"/>
  <c r="Y411" i="15"/>
  <c r="Y869" i="17"/>
  <c r="Y872" i="17"/>
  <c r="Y950" i="15"/>
  <c r="Y829" i="17"/>
  <c r="Y827" i="17"/>
  <c r="Y830" i="17"/>
  <c r="H697" i="18"/>
  <c r="Y908" i="15"/>
  <c r="Y366" i="17"/>
  <c r="Y390" i="15"/>
  <c r="Y316" i="17"/>
  <c r="Y334" i="15"/>
  <c r="Y778" i="17"/>
  <c r="Y845" i="15"/>
  <c r="Y31" i="17"/>
  <c r="Y33" i="15"/>
  <c r="Y884" i="17"/>
  <c r="Y964" i="15"/>
  <c r="Y205" i="17"/>
  <c r="Y215" i="15"/>
  <c r="Y948" i="17"/>
  <c r="Y1041" i="15"/>
  <c r="Y815" i="17"/>
  <c r="Y817" i="17"/>
  <c r="Y894" i="15"/>
  <c r="Y791" i="17"/>
  <c r="Y866" i="15"/>
  <c r="Y703" i="17"/>
  <c r="Y701" i="17"/>
  <c r="Y704" i="17"/>
  <c r="Y747" i="15"/>
  <c r="Y645" i="17"/>
  <c r="Y691" i="15"/>
  <c r="Y612" i="17"/>
  <c r="Y656" i="15"/>
  <c r="Y244" i="17"/>
  <c r="Y246" i="17"/>
  <c r="Y257" i="15"/>
  <c r="Y391" i="17"/>
  <c r="Y418" i="15"/>
  <c r="Y376" i="17"/>
  <c r="Y378" i="17"/>
  <c r="Y404" i="15"/>
  <c r="Y340" i="17"/>
  <c r="Y362" i="15"/>
  <c r="Y328" i="17"/>
  <c r="Y348" i="15"/>
  <c r="Y264" i="17"/>
  <c r="Y278" i="15"/>
  <c r="Y157" i="17"/>
  <c r="Y152" i="15"/>
  <c r="Y131" i="17"/>
  <c r="Y138" i="15"/>
  <c r="Y96" i="17"/>
  <c r="Y95" i="17"/>
  <c r="Y98" i="17"/>
  <c r="H79" i="18"/>
  <c r="O79" i="18" s="1"/>
  <c r="Y103" i="15"/>
  <c r="Y104" i="15"/>
  <c r="Y53" i="17"/>
  <c r="Y54" i="15"/>
  <c r="Y34" i="17"/>
  <c r="Y33" i="17"/>
  <c r="Y38" i="17"/>
  <c r="Y37" i="17"/>
  <c r="Y36" i="17"/>
  <c r="Y40" i="17"/>
  <c r="Y42" i="15"/>
  <c r="Y41" i="15"/>
  <c r="Y40" i="15"/>
  <c r="X372" i="17"/>
  <c r="X397" i="15"/>
  <c r="X98" i="17"/>
  <c r="X103" i="15"/>
  <c r="W97" i="17"/>
  <c r="W98" i="17"/>
  <c r="W104" i="15"/>
  <c r="W103" i="15"/>
  <c r="V104" i="15"/>
  <c r="U104" i="15"/>
  <c r="T104" i="15"/>
  <c r="S104" i="15"/>
  <c r="V103" i="15"/>
  <c r="U103" i="15"/>
  <c r="T103" i="15"/>
  <c r="S103" i="15"/>
  <c r="V96" i="17"/>
  <c r="U96" i="17"/>
  <c r="U98" i="17"/>
  <c r="T97" i="17"/>
  <c r="T96" i="17"/>
  <c r="T98" i="17"/>
  <c r="S93" i="17"/>
  <c r="S97" i="17"/>
  <c r="S96" i="17"/>
  <c r="S98" i="17"/>
  <c r="O586" i="18"/>
  <c r="O585" i="18"/>
  <c r="H584" i="18"/>
  <c r="O584" i="18" s="1"/>
  <c r="O583" i="18"/>
  <c r="O582" i="18"/>
  <c r="H581" i="18"/>
  <c r="O581" i="18" s="1"/>
  <c r="Y942" i="17"/>
  <c r="Y1034" i="15"/>
  <c r="Y927" i="17"/>
  <c r="O786" i="18"/>
  <c r="Y1021" i="15"/>
  <c r="Y920" i="17"/>
  <c r="Y919" i="17"/>
  <c r="Y922" i="17"/>
  <c r="O776" i="18"/>
  <c r="Y1014" i="15"/>
  <c r="Y1013" i="15"/>
  <c r="Y915" i="17"/>
  <c r="O769" i="18"/>
  <c r="Y1006" i="15"/>
  <c r="Y860" i="17"/>
  <c r="Y863" i="17"/>
  <c r="Y865" i="17"/>
  <c r="Y944" i="15"/>
  <c r="Y943" i="15"/>
  <c r="H702" i="18"/>
  <c r="O702" i="18" s="1"/>
  <c r="Y823" i="17"/>
  <c r="Y901" i="15"/>
  <c r="Y762" i="17"/>
  <c r="Y765" i="17"/>
  <c r="Y764" i="17"/>
  <c r="Y766" i="17"/>
  <c r="O643" i="18"/>
  <c r="Y831" i="15"/>
  <c r="Y760" i="17"/>
  <c r="Y824" i="15"/>
  <c r="Y729" i="17"/>
  <c r="Y789" i="15"/>
  <c r="Y698" i="17"/>
  <c r="Y697" i="17"/>
  <c r="Y690" i="17"/>
  <c r="Y692" i="17"/>
  <c r="Y695" i="17"/>
  <c r="Y740" i="15"/>
  <c r="Y682" i="17"/>
  <c r="Y685" i="17"/>
  <c r="Y684" i="17"/>
  <c r="Y686" i="17"/>
  <c r="Y734" i="15"/>
  <c r="Y733" i="15"/>
  <c r="Y671" i="17"/>
  <c r="Y719" i="15"/>
  <c r="Y658" i="17"/>
  <c r="Y705" i="15"/>
  <c r="Y647" i="17"/>
  <c r="Y651" i="17"/>
  <c r="Y649" i="17"/>
  <c r="Y652" i="17"/>
  <c r="Y698" i="15"/>
  <c r="Y593" i="17"/>
  <c r="Y635" i="15"/>
  <c r="Y587" i="17"/>
  <c r="Y628" i="15"/>
  <c r="Y561" i="17"/>
  <c r="Y600" i="15"/>
  <c r="Y555" i="17"/>
  <c r="Y593" i="15"/>
  <c r="Y542" i="17"/>
  <c r="Y579" i="15"/>
  <c r="Y524" i="17"/>
  <c r="Y558" i="15"/>
  <c r="Y487" i="17"/>
  <c r="Y489" i="17"/>
  <c r="Y523" i="15"/>
  <c r="Y511" i="17"/>
  <c r="Y504" i="17"/>
  <c r="Y507" i="17"/>
  <c r="Y510" i="17"/>
  <c r="Y544" i="15"/>
  <c r="Y352" i="17"/>
  <c r="Y376" i="15"/>
  <c r="Y483" i="17"/>
  <c r="Y516" i="15"/>
  <c r="Y464" i="17"/>
  <c r="Y495" i="15"/>
  <c r="Y449" i="17"/>
  <c r="Y448" i="17"/>
  <c r="Y447" i="17"/>
  <c r="Y450" i="17"/>
  <c r="Y482" i="15"/>
  <c r="Y481" i="15"/>
  <c r="Y416" i="17"/>
  <c r="H346" i="18"/>
  <c r="O346" i="18" s="1"/>
  <c r="Y446" i="15"/>
  <c r="Y62" i="17"/>
  <c r="Y66" i="17"/>
  <c r="Y65" i="17"/>
  <c r="Y67" i="17"/>
  <c r="Y69" i="15"/>
  <c r="Y68" i="15"/>
  <c r="Y440" i="17"/>
  <c r="Y443" i="17"/>
  <c r="Y474" i="15"/>
  <c r="Y407" i="17"/>
  <c r="Y408" i="17"/>
  <c r="Y410" i="17"/>
  <c r="H342" i="18"/>
  <c r="O342" i="18" s="1"/>
  <c r="Y439" i="15"/>
  <c r="Y400" i="17"/>
  <c r="Y403" i="17"/>
  <c r="Y402" i="17"/>
  <c r="Y404" i="17"/>
  <c r="O337" i="18"/>
  <c r="Y287" i="17"/>
  <c r="Y291" i="17"/>
  <c r="Y306" i="15"/>
  <c r="Y188" i="17"/>
  <c r="Y192" i="17"/>
  <c r="Y191" i="17"/>
  <c r="Y190" i="17"/>
  <c r="Y193" i="17"/>
  <c r="O162" i="18"/>
  <c r="Y202" i="15"/>
  <c r="Y201" i="15"/>
  <c r="Y91" i="17"/>
  <c r="Y96" i="15"/>
  <c r="Y77" i="17"/>
  <c r="Y79" i="17"/>
  <c r="Y82" i="15"/>
  <c r="Y55" i="17"/>
  <c r="Y58" i="17"/>
  <c r="Y57" i="17"/>
  <c r="Y60" i="17"/>
  <c r="Y62" i="15"/>
  <c r="Y61" i="15"/>
  <c r="Y12" i="17"/>
  <c r="Y12" i="15"/>
  <c r="Y6" i="17"/>
  <c r="Y5" i="15"/>
  <c r="X449" i="17"/>
  <c r="X448" i="17"/>
  <c r="X447" i="17"/>
  <c r="X450" i="17"/>
  <c r="X482" i="15"/>
  <c r="X481" i="15"/>
  <c r="AM1426" i="24"/>
  <c r="W524" i="17"/>
  <c r="W558" i="15"/>
  <c r="Y567" i="17"/>
  <c r="Y607" i="15"/>
  <c r="Y354" i="17"/>
  <c r="Y357" i="17"/>
  <c r="Y356" i="17"/>
  <c r="Y359" i="17"/>
  <c r="H296" i="18"/>
  <c r="O296" i="18" s="1"/>
  <c r="Y384" i="15"/>
  <c r="Y383" i="15"/>
  <c r="Y115" i="17"/>
  <c r="Y114" i="17"/>
  <c r="Y118" i="17"/>
  <c r="Y116" i="17"/>
  <c r="Y119" i="17"/>
  <c r="H99" i="18"/>
  <c r="O99" i="18" s="1"/>
  <c r="Y124" i="15"/>
  <c r="Y673" i="17"/>
  <c r="Y677" i="17"/>
  <c r="Y679" i="17"/>
  <c r="Y727" i="15"/>
  <c r="Y726" i="15"/>
  <c r="Y621" i="17"/>
  <c r="Y623" i="17"/>
  <c r="Y622" i="17"/>
  <c r="Y625" i="17"/>
  <c r="O524" i="18"/>
  <c r="Y671" i="15"/>
  <c r="Y670" i="15"/>
  <c r="Y708" i="17"/>
  <c r="Y710" i="17"/>
  <c r="Y761" i="15"/>
  <c r="Y518" i="17"/>
  <c r="Y551" i="15"/>
  <c r="Y476" i="17"/>
  <c r="Y477" i="17"/>
  <c r="Y509" i="15"/>
  <c r="Y345" i="17"/>
  <c r="Y346" i="17"/>
  <c r="Y369" i="15"/>
  <c r="Y322" i="17"/>
  <c r="Y341" i="15"/>
  <c r="Y142" i="17"/>
  <c r="Y144" i="17"/>
  <c r="O119" i="18"/>
  <c r="Y160" i="15"/>
  <c r="Y159" i="15"/>
  <c r="Y17" i="17"/>
  <c r="Y19" i="17"/>
  <c r="Y20" i="15"/>
  <c r="Y19" i="15"/>
  <c r="X17" i="17"/>
  <c r="X19" i="17"/>
  <c r="X20" i="15"/>
  <c r="X19" i="15"/>
  <c r="Y638" i="17"/>
  <c r="Y684" i="15"/>
  <c r="O683" i="18"/>
  <c r="Y741" i="17"/>
  <c r="Y803" i="15"/>
  <c r="Y723" i="17"/>
  <c r="Y782" i="15"/>
  <c r="Y501" i="17"/>
  <c r="Y537" i="15"/>
  <c r="Y468" i="17"/>
  <c r="Y471" i="17"/>
  <c r="Y502" i="15"/>
  <c r="Y171" i="17"/>
  <c r="Y175" i="17"/>
  <c r="Y174" i="17"/>
  <c r="Y173" i="17"/>
  <c r="Y176" i="17"/>
  <c r="O148" i="18"/>
  <c r="O147" i="18"/>
  <c r="O146" i="18"/>
  <c r="Y188" i="15"/>
  <c r="Y187" i="15"/>
  <c r="W137" i="17"/>
  <c r="W145" i="15"/>
  <c r="T778" i="17"/>
  <c r="T845" i="15"/>
  <c r="Y949" i="17"/>
  <c r="Y852" i="17"/>
  <c r="Y929" i="15"/>
  <c r="Y545" i="17"/>
  <c r="Y544" i="17"/>
  <c r="Y548" i="17"/>
  <c r="Y546" i="17"/>
  <c r="Y549" i="17"/>
  <c r="H458" i="18"/>
  <c r="O458" i="18" s="1"/>
  <c r="O459" i="18"/>
  <c r="Y586" i="15"/>
  <c r="Y137" i="17"/>
  <c r="Y145" i="15"/>
  <c r="Y890" i="17"/>
  <c r="H748" i="18"/>
  <c r="O748" i="18" s="1"/>
  <c r="Y971" i="15"/>
  <c r="Y772" i="17"/>
  <c r="Y838" i="15"/>
  <c r="Y747" i="17"/>
  <c r="H625" i="18"/>
  <c r="Y810" i="15"/>
  <c r="Y660" i="17"/>
  <c r="Y663" i="17"/>
  <c r="Y665" i="17"/>
  <c r="O560" i="18"/>
  <c r="Y713" i="15"/>
  <c r="Y712" i="15"/>
  <c r="Y495" i="17"/>
  <c r="H413" i="18"/>
  <c r="O413" i="18" s="1"/>
  <c r="Y530" i="15"/>
  <c r="Y457" i="17"/>
  <c r="O380" i="18"/>
  <c r="Y488" i="15"/>
  <c r="Y281" i="17"/>
  <c r="Y280" i="17"/>
  <c r="Y284" i="17"/>
  <c r="Y283" i="17"/>
  <c r="Y282" i="17"/>
  <c r="Y285" i="17"/>
  <c r="O238" i="18"/>
  <c r="Y300" i="15"/>
  <c r="Y299" i="15"/>
  <c r="Y274" i="17"/>
  <c r="Y273" i="17"/>
  <c r="Y277" i="17"/>
  <c r="Y276" i="17"/>
  <c r="Y275" i="17"/>
  <c r="Y278" i="17"/>
  <c r="O228" i="18"/>
  <c r="Y292" i="15"/>
  <c r="Y293" i="15"/>
  <c r="Y266" i="17"/>
  <c r="Y271" i="17"/>
  <c r="Y285" i="15"/>
  <c r="Y214" i="17"/>
  <c r="Y217" i="17"/>
  <c r="Y216" i="17"/>
  <c r="Y215" i="17"/>
  <c r="Y218" i="17"/>
  <c r="H181" i="18"/>
  <c r="O181" i="18" s="1"/>
  <c r="Y230" i="15"/>
  <c r="Y229" i="15"/>
  <c r="Y199" i="17"/>
  <c r="Y208" i="15"/>
  <c r="Y169" i="17"/>
  <c r="Y180" i="15"/>
  <c r="Y85" i="17"/>
  <c r="Y89" i="15"/>
  <c r="X804" i="17"/>
  <c r="X880" i="15"/>
  <c r="X749" i="17"/>
  <c r="X751" i="17"/>
  <c r="X753" i="17"/>
  <c r="O631" i="18"/>
  <c r="X817" i="15"/>
  <c r="X572" i="17"/>
  <c r="X574" i="17"/>
  <c r="O481" i="18"/>
  <c r="X615" i="15"/>
  <c r="X614" i="15"/>
  <c r="X264" i="17"/>
  <c r="O216" i="18"/>
  <c r="X278" i="15"/>
  <c r="X258" i="17"/>
  <c r="X271" i="15"/>
  <c r="X227" i="17"/>
  <c r="X236" i="15"/>
  <c r="X205" i="17"/>
  <c r="X215" i="15"/>
  <c r="X53" i="17"/>
  <c r="X54" i="15"/>
  <c r="W72" i="17"/>
  <c r="W73" i="17"/>
  <c r="W75" i="15"/>
  <c r="U70" i="17"/>
  <c r="U72" i="17"/>
  <c r="U73" i="17"/>
  <c r="U75" i="15"/>
  <c r="Y735" i="17"/>
  <c r="Y796" i="15"/>
  <c r="T942" i="17"/>
  <c r="T1034" i="15"/>
  <c r="T346" i="17"/>
  <c r="T369" i="15"/>
  <c r="T227" i="17"/>
  <c r="T236" i="15"/>
  <c r="T137" i="17"/>
  <c r="T145" i="15"/>
  <c r="V692" i="17"/>
  <c r="V740" i="15"/>
  <c r="V284" i="17"/>
  <c r="V299" i="15"/>
  <c r="W284" i="17"/>
  <c r="W285" i="17"/>
  <c r="W299" i="15"/>
  <c r="W328" i="17"/>
  <c r="W348" i="15"/>
  <c r="X867" i="17"/>
  <c r="X872" i="17"/>
  <c r="H732" i="18"/>
  <c r="O732" i="18" s="1"/>
  <c r="X950" i="15"/>
  <c r="X823" i="17"/>
  <c r="X901" i="15"/>
  <c r="X815" i="17"/>
  <c r="X817" i="17"/>
  <c r="O687" i="18"/>
  <c r="X894" i="15"/>
  <c r="X797" i="17"/>
  <c r="X798" i="17"/>
  <c r="X873" i="15"/>
  <c r="X778" i="17"/>
  <c r="X845" i="15"/>
  <c r="X723" i="17"/>
  <c r="X782" i="15"/>
  <c r="X621" i="17"/>
  <c r="X624" i="17"/>
  <c r="X623" i="17"/>
  <c r="X622" i="17"/>
  <c r="X625" i="17"/>
  <c r="X671" i="15"/>
  <c r="X670" i="15"/>
  <c r="X393" i="17"/>
  <c r="X397" i="17"/>
  <c r="X395" i="17"/>
  <c r="X398" i="17"/>
  <c r="X425" i="15"/>
  <c r="X366" i="17"/>
  <c r="H303" i="18"/>
  <c r="O303" i="18" s="1"/>
  <c r="X390" i="15"/>
  <c r="X345" i="17"/>
  <c r="X346" i="17"/>
  <c r="X369" i="15"/>
  <c r="X266" i="17"/>
  <c r="X269" i="17"/>
  <c r="X268" i="17"/>
  <c r="X271" i="17"/>
  <c r="X286" i="15"/>
  <c r="X285" i="15"/>
  <c r="X186" i="17"/>
  <c r="X179" i="17"/>
  <c r="X178" i="17"/>
  <c r="X183" i="17"/>
  <c r="X181" i="17"/>
  <c r="X184" i="17"/>
  <c r="X194" i="15"/>
  <c r="X196" i="15"/>
  <c r="W621" i="17"/>
  <c r="W620" i="17"/>
  <c r="W624" i="17"/>
  <c r="W623" i="17"/>
  <c r="W622" i="17"/>
  <c r="W625" i="17"/>
  <c r="W671" i="15"/>
  <c r="W670" i="15"/>
  <c r="X921" i="17"/>
  <c r="X920" i="17"/>
  <c r="X919" i="17"/>
  <c r="X922" i="17"/>
  <c r="X1014" i="15"/>
  <c r="X1013" i="15"/>
  <c r="X878" i="17"/>
  <c r="X958" i="15"/>
  <c r="X902" i="17"/>
  <c r="X992" i="15"/>
  <c r="X830" i="17"/>
  <c r="X310" i="17"/>
  <c r="X327" i="15"/>
  <c r="X772" i="17"/>
  <c r="X838" i="15"/>
  <c r="X716" i="17"/>
  <c r="X715" i="17"/>
  <c r="X717" i="17"/>
  <c r="X776" i="15"/>
  <c r="X775" i="15"/>
  <c r="X692" i="17"/>
  <c r="X740" i="15"/>
  <c r="X671" i="17"/>
  <c r="X719" i="15"/>
  <c r="X618" i="17"/>
  <c r="X663" i="15"/>
  <c r="X608" i="17"/>
  <c r="X610" i="17"/>
  <c r="X609" i="17"/>
  <c r="X612" i="17"/>
  <c r="X657" i="15"/>
  <c r="X656" i="15"/>
  <c r="X599" i="17"/>
  <c r="X642" i="15"/>
  <c r="W591" i="17"/>
  <c r="W635" i="15"/>
  <c r="X580" i="17"/>
  <c r="X621" i="15"/>
  <c r="X567" i="17"/>
  <c r="X607" i="15"/>
  <c r="X536" i="17"/>
  <c r="W536" i="17"/>
  <c r="X572" i="15"/>
  <c r="W572" i="15"/>
  <c r="V163" i="17"/>
  <c r="V173" i="15"/>
  <c r="X530" i="17"/>
  <c r="X565" i="15"/>
  <c r="X524" i="17"/>
  <c r="X558" i="15"/>
  <c r="X437" i="17"/>
  <c r="X467" i="15"/>
  <c r="X428" i="17"/>
  <c r="X461" i="15"/>
  <c r="X405" i="17"/>
  <c r="X400" i="17"/>
  <c r="X403" i="17"/>
  <c r="X402" i="17"/>
  <c r="X404" i="17"/>
  <c r="X432" i="15"/>
  <c r="X316" i="17"/>
  <c r="X334" i="15"/>
  <c r="X352" i="17"/>
  <c r="X376" i="15"/>
  <c r="X334" i="17"/>
  <c r="H291" i="18"/>
  <c r="O291" i="18" s="1"/>
  <c r="O292" i="18"/>
  <c r="O293" i="18"/>
  <c r="O294" i="18"/>
  <c r="O295" i="18"/>
  <c r="H275" i="18"/>
  <c r="O275" i="18" s="1"/>
  <c r="X355" i="15"/>
  <c r="X321" i="17"/>
  <c r="X322" i="17"/>
  <c r="X341" i="15"/>
  <c r="X303" i="17"/>
  <c r="X320" i="15"/>
  <c r="X297" i="17"/>
  <c r="X313" i="15"/>
  <c r="X284" i="17"/>
  <c r="X285" i="17"/>
  <c r="X299" i="15"/>
  <c r="X240" i="17"/>
  <c r="X250" i="15"/>
  <c r="X163" i="17"/>
  <c r="X173" i="15"/>
  <c r="X109" i="17"/>
  <c r="X111" i="17"/>
  <c r="X117" i="15"/>
  <c r="X77" i="17"/>
  <c r="X79" i="17"/>
  <c r="X82" i="15"/>
  <c r="X62" i="17"/>
  <c r="X66" i="17"/>
  <c r="X65" i="17"/>
  <c r="X67" i="17"/>
  <c r="X69" i="15"/>
  <c r="X68" i="15"/>
  <c r="X47" i="17"/>
  <c r="X47" i="15"/>
  <c r="X31" i="17"/>
  <c r="X33" i="15"/>
  <c r="W580" i="17"/>
  <c r="W621" i="15"/>
  <c r="W366" i="17"/>
  <c r="W390" i="15"/>
  <c r="W163" i="17"/>
  <c r="W173" i="15"/>
  <c r="W31" i="17"/>
  <c r="W33" i="15"/>
  <c r="O237" i="18"/>
  <c r="O236" i="18"/>
  <c r="O235" i="18"/>
  <c r="X942" i="17"/>
  <c r="X1034" i="15"/>
  <c r="X924" i="17"/>
  <c r="X927" i="17"/>
  <c r="X1021" i="15"/>
  <c r="X905" i="17"/>
  <c r="X904" i="17"/>
  <c r="X908" i="17"/>
  <c r="X907" i="17"/>
  <c r="X909" i="17"/>
  <c r="O765" i="18"/>
  <c r="X1000" i="15"/>
  <c r="X999" i="15"/>
  <c r="X890" i="17"/>
  <c r="X971" i="15"/>
  <c r="X860" i="17"/>
  <c r="X865" i="17"/>
  <c r="X943" i="15"/>
  <c r="X846" i="17"/>
  <c r="X922" i="15"/>
  <c r="X839" i="17"/>
  <c r="X832" i="17"/>
  <c r="X834" i="17"/>
  <c r="X838" i="17"/>
  <c r="X916" i="15"/>
  <c r="X915" i="15"/>
  <c r="X791" i="17"/>
  <c r="X866" i="15"/>
  <c r="X762" i="17"/>
  <c r="X764" i="17"/>
  <c r="X766" i="17"/>
  <c r="X831" i="15"/>
  <c r="X760" i="17"/>
  <c r="X824" i="15"/>
  <c r="X741" i="17"/>
  <c r="X803" i="15"/>
  <c r="X729" i="17"/>
  <c r="X789" i="15"/>
  <c r="X698" i="17"/>
  <c r="X697" i="17"/>
  <c r="X690" i="17"/>
  <c r="X695" i="17"/>
  <c r="X699" i="17"/>
  <c r="X703" i="17"/>
  <c r="X701" i="17"/>
  <c r="X704" i="17"/>
  <c r="O591" i="18"/>
  <c r="H588" i="18"/>
  <c r="O588" i="18" s="1"/>
  <c r="X747" i="15"/>
  <c r="X658" i="17"/>
  <c r="X705" i="15"/>
  <c r="X587" i="17"/>
  <c r="X628" i="15"/>
  <c r="H474" i="18"/>
  <c r="X561" i="17"/>
  <c r="X600" i="15"/>
  <c r="X710" i="17"/>
  <c r="X761" i="15"/>
  <c r="X555" i="17"/>
  <c r="X593" i="15"/>
  <c r="X244" i="17"/>
  <c r="X246" i="17"/>
  <c r="X257" i="15"/>
  <c r="X34" i="17"/>
  <c r="X33" i="17"/>
  <c r="X38" i="17"/>
  <c r="X37" i="17"/>
  <c r="X36" i="17"/>
  <c r="X40" i="17"/>
  <c r="X42" i="15"/>
  <c r="X41" i="15"/>
  <c r="X40" i="15"/>
  <c r="X6" i="17"/>
  <c r="X5" i="15"/>
  <c r="X538" i="17"/>
  <c r="X542" i="17"/>
  <c r="X579" i="15"/>
  <c r="X511" i="17"/>
  <c r="X504" i="17"/>
  <c r="X507" i="17"/>
  <c r="X510" i="17"/>
  <c r="X544" i="15"/>
  <c r="X487" i="17"/>
  <c r="X489" i="17"/>
  <c r="X523" i="15"/>
  <c r="X464" i="17"/>
  <c r="X495" i="15"/>
  <c r="X443" i="17"/>
  <c r="X474" i="15"/>
  <c r="X455" i="15"/>
  <c r="X408" i="17"/>
  <c r="X410" i="17"/>
  <c r="X439" i="15"/>
  <c r="X384" i="17"/>
  <c r="X411" i="15"/>
  <c r="X378" i="17"/>
  <c r="X404" i="15"/>
  <c r="X340" i="17"/>
  <c r="X362" i="15"/>
  <c r="X287" i="17"/>
  <c r="X291" i="17"/>
  <c r="X306" i="15"/>
  <c r="X188" i="17"/>
  <c r="X191" i="17"/>
  <c r="X190" i="17"/>
  <c r="X193" i="17"/>
  <c r="O170" i="18"/>
  <c r="O169" i="18"/>
  <c r="O168" i="18"/>
  <c r="O167" i="18"/>
  <c r="X202" i="15"/>
  <c r="X201" i="15"/>
  <c r="X137" i="17"/>
  <c r="X145" i="15"/>
  <c r="X125" i="17"/>
  <c r="X131" i="15"/>
  <c r="X115" i="17"/>
  <c r="X114" i="17"/>
  <c r="X118" i="17"/>
  <c r="X117" i="17"/>
  <c r="X116" i="17"/>
  <c r="X119" i="17"/>
  <c r="X125" i="15"/>
  <c r="X124" i="15"/>
  <c r="X104" i="17"/>
  <c r="X105" i="17"/>
  <c r="X110" i="15"/>
  <c r="X55" i="17"/>
  <c r="X58" i="17"/>
  <c r="X57" i="17"/>
  <c r="X60" i="17"/>
  <c r="X62" i="15"/>
  <c r="X61" i="15"/>
  <c r="X12" i="17"/>
  <c r="X12" i="15"/>
  <c r="X651" i="17"/>
  <c r="X649" i="17"/>
  <c r="X652" i="17"/>
  <c r="X698" i="15"/>
  <c r="X457" i="17"/>
  <c r="X488" i="15"/>
  <c r="X354" i="17"/>
  <c r="X357" i="17"/>
  <c r="X356" i="17"/>
  <c r="X359" i="17"/>
  <c r="O300" i="18"/>
  <c r="X384" i="15"/>
  <c r="X383" i="15"/>
  <c r="X682" i="17"/>
  <c r="X681" i="17"/>
  <c r="X685" i="17"/>
  <c r="X684" i="17"/>
  <c r="X683" i="17"/>
  <c r="X686" i="17"/>
  <c r="X734" i="15"/>
  <c r="X733" i="15"/>
  <c r="X660" i="17"/>
  <c r="X663" i="17"/>
  <c r="X665" i="17"/>
  <c r="X713" i="15"/>
  <c r="X712" i="15"/>
  <c r="X643" i="17"/>
  <c r="X642" i="17"/>
  <c r="X645" i="17"/>
  <c r="X692" i="15"/>
  <c r="X691" i="15"/>
  <c r="X549" i="17"/>
  <c r="X545" i="17"/>
  <c r="X544" i="17"/>
  <c r="X548" i="17"/>
  <c r="X546" i="17"/>
  <c r="X586" i="15"/>
  <c r="X588" i="15"/>
  <c r="X638" i="17"/>
  <c r="X684" i="15"/>
  <c r="X483" i="17"/>
  <c r="X516" i="15"/>
  <c r="X252" i="17"/>
  <c r="H206" i="18"/>
  <c r="O206" i="18" s="1"/>
  <c r="X264" i="15"/>
  <c r="X85" i="17"/>
  <c r="X89" i="15"/>
  <c r="X852" i="17"/>
  <c r="X929" i="15"/>
  <c r="X495" i="17"/>
  <c r="X530" i="15"/>
  <c r="X476" i="17"/>
  <c r="X477" i="17"/>
  <c r="H398" i="18"/>
  <c r="O398" i="18" s="1"/>
  <c r="X509" i="15"/>
  <c r="X468" i="17"/>
  <c r="X471" i="17"/>
  <c r="H392" i="18"/>
  <c r="O392" i="18" s="1"/>
  <c r="X502" i="15"/>
  <c r="X389" i="17"/>
  <c r="X388" i="17"/>
  <c r="X391" i="17"/>
  <c r="X419" i="15"/>
  <c r="X418" i="15"/>
  <c r="X328" i="17"/>
  <c r="X348" i="15"/>
  <c r="X280" i="17"/>
  <c r="X283" i="17"/>
  <c r="X282" i="17"/>
  <c r="X300" i="15"/>
  <c r="X131" i="17"/>
  <c r="X138" i="15"/>
  <c r="X25" i="17"/>
  <c r="X26" i="15"/>
  <c r="W699" i="17"/>
  <c r="W703" i="17"/>
  <c r="W701" i="17"/>
  <c r="W704" i="17"/>
  <c r="O593" i="18"/>
  <c r="O590" i="18"/>
  <c r="W747" i="15"/>
  <c r="V699" i="17"/>
  <c r="V703" i="17"/>
  <c r="V701" i="17"/>
  <c r="V704" i="17"/>
  <c r="V747" i="15"/>
  <c r="X949" i="17"/>
  <c r="X1041" i="15"/>
  <c r="X747" i="17"/>
  <c r="X810" i="15"/>
  <c r="X518" i="17"/>
  <c r="X551" i="15"/>
  <c r="X501" i="17"/>
  <c r="X537" i="15"/>
  <c r="X144" i="17"/>
  <c r="X159" i="15"/>
  <c r="T511" i="17"/>
  <c r="T504" i="17"/>
  <c r="T510" i="17"/>
  <c r="T544" i="15"/>
  <c r="U511" i="17"/>
  <c r="U509" i="17"/>
  <c r="U544" i="15"/>
  <c r="V927" i="17"/>
  <c r="V1021" i="15"/>
  <c r="W804" i="17"/>
  <c r="H674" i="18"/>
  <c r="W880" i="15"/>
  <c r="W778" i="17"/>
  <c r="W845" i="15"/>
  <c r="W815" i="17"/>
  <c r="W817" i="17"/>
  <c r="W894" i="15"/>
  <c r="W510" i="17"/>
  <c r="O424" i="18"/>
  <c r="W544" i="15"/>
  <c r="X735" i="17"/>
  <c r="X796" i="15"/>
  <c r="X674" i="17"/>
  <c r="X673" i="17"/>
  <c r="X678" i="17"/>
  <c r="X677" i="17"/>
  <c r="X676" i="17"/>
  <c r="X679" i="17"/>
  <c r="X727" i="15"/>
  <c r="X726" i="15"/>
  <c r="X593" i="17"/>
  <c r="X635" i="15"/>
  <c r="X416" i="17"/>
  <c r="X446" i="15"/>
  <c r="X274" i="17"/>
  <c r="X273" i="17"/>
  <c r="X277" i="17"/>
  <c r="X276" i="17"/>
  <c r="X275" i="17"/>
  <c r="X278" i="17"/>
  <c r="H227" i="18"/>
  <c r="X293" i="15"/>
  <c r="X292" i="15"/>
  <c r="X214" i="17"/>
  <c r="X217" i="17"/>
  <c r="X216" i="17"/>
  <c r="X215" i="17"/>
  <c r="X218" i="17"/>
  <c r="X230" i="15"/>
  <c r="X229" i="15"/>
  <c r="X172" i="17"/>
  <c r="X171" i="17"/>
  <c r="X175" i="17"/>
  <c r="X174" i="17"/>
  <c r="X173" i="17"/>
  <c r="X176" i="17"/>
  <c r="X188" i="15"/>
  <c r="X187" i="15"/>
  <c r="X199" i="17"/>
  <c r="X208" i="15"/>
  <c r="X157" i="17"/>
  <c r="X152" i="15"/>
  <c r="X169" i="17"/>
  <c r="X180" i="15"/>
  <c r="X91" i="17"/>
  <c r="X96" i="15"/>
  <c r="X72" i="17"/>
  <c r="X73" i="17"/>
  <c r="X75" i="15"/>
  <c r="AO1336" i="24"/>
  <c r="AO1334" i="24"/>
  <c r="AO1331" i="24"/>
  <c r="AO1329" i="24"/>
  <c r="AO1327" i="24"/>
  <c r="AO1326" i="24"/>
  <c r="W483" i="17"/>
  <c r="W516" i="15"/>
  <c r="AO417" i="24"/>
  <c r="AO521" i="24"/>
  <c r="AO415" i="24"/>
  <c r="AO519" i="24"/>
  <c r="AO414" i="24"/>
  <c r="AO518" i="24"/>
  <c r="AO412" i="24"/>
  <c r="AO517" i="24"/>
  <c r="AO502" i="24"/>
  <c r="AO406" i="24"/>
  <c r="AO500" i="24"/>
  <c r="AO498" i="24"/>
  <c r="W187" i="17"/>
  <c r="W179" i="17"/>
  <c r="W178" i="17"/>
  <c r="W183" i="17"/>
  <c r="W181" i="17"/>
  <c r="W184" i="17"/>
  <c r="W196" i="15"/>
  <c r="W194" i="15"/>
  <c r="W157" i="17"/>
  <c r="W152" i="15"/>
  <c r="AO218" i="24"/>
  <c r="AO1930" i="24"/>
  <c r="W712" i="17"/>
  <c r="W716" i="17"/>
  <c r="W714" i="17"/>
  <c r="W717" i="17"/>
  <c r="H599" i="18"/>
  <c r="O599" i="18" s="1"/>
  <c r="W775" i="15"/>
  <c r="AO380" i="24"/>
  <c r="AO378" i="24"/>
  <c r="AO377" i="24"/>
  <c r="AO375" i="24"/>
  <c r="AO372" i="24"/>
  <c r="AL1369" i="24"/>
  <c r="AO371" i="24"/>
  <c r="AL1368" i="24"/>
  <c r="AO2421" i="24"/>
  <c r="AO1998" i="24"/>
  <c r="AO938" i="24"/>
  <c r="AO1642" i="24"/>
  <c r="AO130" i="24"/>
  <c r="AO1377" i="24"/>
  <c r="AO108" i="24"/>
  <c r="AO1685" i="24"/>
  <c r="AO1699" i="24"/>
  <c r="AO2085" i="24"/>
  <c r="AO810" i="24"/>
  <c r="AO1815" i="24"/>
  <c r="AO1517" i="24"/>
  <c r="AO2184" i="24"/>
  <c r="AO36" i="24"/>
  <c r="AO886" i="24"/>
  <c r="AO190" i="24"/>
  <c r="AO1922" i="24"/>
  <c r="AO1743" i="24"/>
  <c r="AO333" i="24"/>
  <c r="AO790" i="24"/>
  <c r="AO485" i="24"/>
  <c r="AO2459" i="24"/>
  <c r="AO2330" i="24"/>
  <c r="AO1891" i="24"/>
  <c r="AO617" i="24"/>
  <c r="AO275" i="24"/>
  <c r="AO2063" i="24"/>
  <c r="AO2390" i="24"/>
  <c r="AO852" i="24"/>
  <c r="AO544" i="24"/>
  <c r="AO761" i="24"/>
  <c r="AO1612" i="24"/>
  <c r="AO736" i="24"/>
  <c r="AO734" i="24"/>
  <c r="AO1300" i="24"/>
  <c r="AO1610" i="24"/>
  <c r="AO273" i="24"/>
  <c r="AO1142" i="24"/>
  <c r="AO1122" i="24"/>
  <c r="AO759" i="24"/>
  <c r="AO541" i="24"/>
  <c r="AO1797" i="24"/>
  <c r="AO2059" i="24"/>
  <c r="AO2374" i="24"/>
  <c r="AO2492" i="24"/>
  <c r="AO317" i="24"/>
  <c r="AO1839" i="24"/>
  <c r="AO1859" i="24"/>
  <c r="AO612" i="24"/>
  <c r="AO1563" i="24"/>
  <c r="AO1077" i="24"/>
  <c r="AO1889" i="24"/>
  <c r="AO1173" i="24"/>
  <c r="AO2328" i="24"/>
  <c r="AO2521" i="24"/>
  <c r="AO2457" i="24"/>
  <c r="AO478" i="24"/>
  <c r="AO2217" i="24"/>
  <c r="AO1741" i="24"/>
  <c r="AO1159" i="24"/>
  <c r="AO1317" i="24"/>
  <c r="AO188" i="24"/>
  <c r="AO142" i="24"/>
  <c r="AO884" i="24"/>
  <c r="AO805" i="24"/>
  <c r="AO154" i="24"/>
  <c r="AO331" i="24"/>
  <c r="AO850" i="24"/>
  <c r="AO1920" i="24"/>
  <c r="AO128" i="24"/>
  <c r="AO1681" i="24"/>
  <c r="AO2580" i="24"/>
  <c r="AO34" i="24"/>
  <c r="AO13" i="24"/>
  <c r="AO2388" i="24"/>
  <c r="AO788" i="24"/>
  <c r="AO62" i="24"/>
  <c r="AO2281" i="24"/>
  <c r="AO106" i="24"/>
  <c r="AO1507" i="24"/>
  <c r="AO954" i="24"/>
  <c r="AO1582" i="24"/>
  <c r="AO2402" i="24"/>
  <c r="AO2082" i="24"/>
  <c r="AO670" i="24"/>
  <c r="AO1375" i="24"/>
  <c r="AO1279" i="24"/>
  <c r="AO1061" i="24"/>
  <c r="AO2345" i="24"/>
  <c r="AO1697" i="24"/>
  <c r="AO571" i="24"/>
  <c r="AO1949" i="24"/>
  <c r="AO1446" i="24"/>
  <c r="AO1813" i="24"/>
  <c r="AO2182" i="24"/>
  <c r="AO1265" i="24"/>
  <c r="AO171" i="24"/>
  <c r="AO1996" i="24"/>
  <c r="AO1640" i="24"/>
  <c r="AO1212" i="24"/>
  <c r="AO936" i="24"/>
  <c r="AO1047" i="24"/>
  <c r="AO252" i="24"/>
  <c r="AO1548" i="24"/>
  <c r="AO1782" i="24"/>
  <c r="AO2472" i="24"/>
  <c r="AO2038" i="24"/>
  <c r="AO1962" i="24"/>
  <c r="AO708" i="24"/>
  <c r="AO1360" i="24"/>
  <c r="AO1531" i="24"/>
  <c r="AO2295" i="24"/>
  <c r="AO204" i="24"/>
  <c r="AO971" i="24"/>
  <c r="AO1225" i="24"/>
  <c r="AO1417" i="24"/>
  <c r="AO2117" i="24"/>
  <c r="AO587" i="24"/>
  <c r="AO2309" i="24"/>
  <c r="AO443" i="24"/>
  <c r="AO2419" i="24"/>
  <c r="AO1628" i="24"/>
  <c r="AO1977" i="24"/>
  <c r="AO2013" i="24"/>
  <c r="AO1976" i="24"/>
  <c r="AO1627" i="24"/>
  <c r="AO251" i="24"/>
  <c r="AO442" i="24"/>
  <c r="AO2418" i="24"/>
  <c r="AO586" i="24"/>
  <c r="AO2116" i="24"/>
  <c r="AO1781" i="24"/>
  <c r="AO970" i="24"/>
  <c r="AO1416" i="24"/>
  <c r="AO1961" i="24"/>
  <c r="AO2471" i="24"/>
  <c r="AO2294" i="24"/>
  <c r="AO1547" i="24"/>
  <c r="AO2037" i="24"/>
  <c r="AO1995" i="24"/>
  <c r="AO1211" i="24"/>
  <c r="AO170" i="24"/>
  <c r="AO1530" i="24"/>
  <c r="AO935" i="24"/>
  <c r="AO1581" i="24"/>
  <c r="AO1264" i="24"/>
  <c r="AO570" i="24"/>
  <c r="AO2181" i="24"/>
  <c r="AO1696" i="24"/>
  <c r="AO1374" i="24"/>
  <c r="AO1680" i="24"/>
  <c r="AO1060" i="24"/>
  <c r="AO127" i="24"/>
  <c r="AO1506" i="24"/>
  <c r="AO669" i="24"/>
  <c r="AO2344" i="24"/>
  <c r="AO61" i="24"/>
  <c r="AO2081" i="24"/>
  <c r="AO12" i="24"/>
  <c r="AO953" i="24"/>
  <c r="AO1359" i="24"/>
  <c r="AO2216" i="24"/>
  <c r="AO2280" i="24"/>
  <c r="AO785" i="24"/>
  <c r="AO33" i="24"/>
  <c r="AO2579" i="24"/>
  <c r="AO883" i="24"/>
  <c r="AO1919" i="24"/>
  <c r="AO105" i="24"/>
  <c r="AO330" i="24"/>
  <c r="AO187" i="24"/>
  <c r="AO153" i="24"/>
  <c r="AO2520" i="24"/>
  <c r="AO1158" i="24"/>
  <c r="AO1740" i="24"/>
  <c r="AO1076" i="24"/>
  <c r="AO477" i="24"/>
  <c r="AO2456" i="24"/>
  <c r="AO1172" i="24"/>
  <c r="AO1888" i="24"/>
  <c r="AO1562" i="24"/>
  <c r="AO1838" i="24"/>
  <c r="AO2327" i="24"/>
  <c r="AO2387" i="24"/>
  <c r="AO316" i="24"/>
  <c r="AO540" i="24"/>
  <c r="AO2373" i="24"/>
  <c r="AO2058" i="24"/>
  <c r="AO1121" i="24"/>
  <c r="AO272" i="24"/>
  <c r="AO2233" i="24"/>
  <c r="AO1609" i="24"/>
  <c r="AO1299" i="24"/>
  <c r="AO1975" i="24"/>
  <c r="AO1625" i="24"/>
  <c r="AO250" i="24"/>
  <c r="AO2416" i="24"/>
  <c r="AO440" i="24"/>
  <c r="AO585" i="24"/>
  <c r="AO1415" i="24"/>
  <c r="AO2115" i="24"/>
  <c r="AO1224" i="24"/>
  <c r="AO2306" i="24"/>
  <c r="AO1358" i="24"/>
  <c r="AO969" i="24"/>
  <c r="AO1948" i="24"/>
  <c r="AO1780" i="24"/>
  <c r="AO1045" i="24"/>
  <c r="AO2469" i="24"/>
  <c r="AO1075" i="24"/>
  <c r="AO2293" i="24"/>
  <c r="AO1545" i="24"/>
  <c r="AO1960" i="24"/>
  <c r="AO1529" i="24"/>
  <c r="AO2035" i="24"/>
  <c r="AO1994" i="24"/>
  <c r="AO1210" i="24"/>
  <c r="AO1808" i="24"/>
  <c r="AO2578" i="24"/>
  <c r="AO201" i="24"/>
  <c r="AO934" i="24"/>
  <c r="AO1263" i="24"/>
  <c r="AO1372" i="24"/>
  <c r="AO1639" i="24"/>
  <c r="AO2278" i="24"/>
  <c r="AO569" i="24"/>
  <c r="AO865" i="24"/>
  <c r="AO1695" i="24"/>
  <c r="AO169" i="24"/>
  <c r="AO914" i="24"/>
  <c r="AO2179" i="24"/>
  <c r="AO667" i="24"/>
  <c r="AO2079" i="24"/>
  <c r="AO952" i="24"/>
  <c r="AO1580" i="24"/>
  <c r="AO126" i="24"/>
  <c r="AO1505" i="24"/>
  <c r="AO783" i="24"/>
  <c r="AO2343" i="24"/>
  <c r="AO802" i="24"/>
  <c r="AO60" i="24"/>
  <c r="AO2490" i="24"/>
  <c r="AO103" i="24"/>
  <c r="AO31" i="24"/>
  <c r="AO2400" i="24"/>
  <c r="AO11" i="24"/>
  <c r="AO848" i="24"/>
  <c r="AO185" i="24"/>
  <c r="AO706" i="24"/>
  <c r="AO2214" i="24"/>
  <c r="AO1314" i="24"/>
  <c r="AO1837" i="24"/>
  <c r="AO2386" i="24"/>
  <c r="AO152" i="24"/>
  <c r="AO882" i="24"/>
  <c r="AO476" i="24"/>
  <c r="AO2518" i="24"/>
  <c r="AO1678" i="24"/>
  <c r="AO140" i="24"/>
  <c r="AO1918" i="24"/>
  <c r="AO1157" i="24"/>
  <c r="AO2555" i="24"/>
  <c r="AO1171" i="24"/>
  <c r="AO2455" i="24"/>
  <c r="AO1739" i="24"/>
  <c r="AO1886" i="24"/>
  <c r="AO609" i="24"/>
  <c r="AO1560" i="24"/>
  <c r="AO539" i="24"/>
  <c r="AO2325" i="24"/>
  <c r="AO1795" i="24"/>
  <c r="AO314" i="24"/>
  <c r="AO2057" i="24"/>
  <c r="AO2371" i="24"/>
  <c r="AO1119" i="24"/>
  <c r="AO270" i="24"/>
  <c r="AO757" i="24"/>
  <c r="AO1140" i="24"/>
  <c r="AO2232" i="24"/>
  <c r="AO1298" i="24"/>
  <c r="AO1608" i="24"/>
  <c r="AO731" i="24"/>
  <c r="AO1624" i="24"/>
  <c r="AO2577" i="24"/>
  <c r="AO1835" i="24"/>
  <c r="AO439" i="24"/>
  <c r="AO1357" i="24"/>
  <c r="AO1885" i="24"/>
  <c r="AO2292" i="24"/>
  <c r="AO1313" i="24"/>
  <c r="AO1074" i="24"/>
  <c r="AO1209" i="24"/>
  <c r="AO2415" i="24"/>
  <c r="AO2078" i="24"/>
  <c r="AO666" i="24"/>
  <c r="AO1170" i="24"/>
  <c r="AO1947" i="24"/>
  <c r="AO1261" i="24"/>
  <c r="AO1371" i="24"/>
  <c r="AO59" i="24"/>
  <c r="AO755" i="24"/>
  <c r="AO1959" i="24"/>
  <c r="AO847" i="24"/>
  <c r="AO782" i="24"/>
  <c r="AO2554" i="24"/>
  <c r="AO1504" i="24"/>
  <c r="AO625" i="24"/>
  <c r="AO438" i="24"/>
  <c r="AO122" i="24"/>
  <c r="AO1356" i="24"/>
  <c r="AO1073" i="24"/>
  <c r="AO1882" i="24"/>
  <c r="AO1312" i="24"/>
  <c r="AO2574" i="24"/>
  <c r="AO2291" i="24"/>
  <c r="AO932" i="24"/>
  <c r="AO1577" i="24"/>
  <c r="AO1543" i="24"/>
  <c r="AO1693" i="24"/>
  <c r="AO967" i="24"/>
  <c r="AO2076" i="24"/>
  <c r="AO99" i="24"/>
  <c r="AO1208" i="24"/>
  <c r="AO1043" i="24"/>
  <c r="AO1834" i="24"/>
  <c r="AO704" i="24"/>
  <c r="AO2414" i="24"/>
  <c r="AO1946" i="24"/>
  <c r="AO2033" i="24"/>
  <c r="AO2398" i="24"/>
  <c r="AO1259" i="24"/>
  <c r="AO1807" i="24"/>
  <c r="AO1370" i="24"/>
  <c r="AO216" i="24"/>
  <c r="AO167" i="24"/>
  <c r="AO2385" i="24"/>
  <c r="AO2453" i="24"/>
  <c r="AO780" i="24"/>
  <c r="AO58" i="24"/>
  <c r="AO1958" i="24"/>
  <c r="AO846" i="24"/>
  <c r="AO1916" i="24"/>
  <c r="AO2342" i="24"/>
  <c r="AO2553" i="24"/>
  <c r="AO1295" i="24"/>
  <c r="AL1253" i="24"/>
  <c r="AO1971" i="24"/>
  <c r="AO1755" i="24"/>
  <c r="AO247" i="24"/>
  <c r="AO831" i="24"/>
  <c r="AO1622" i="24"/>
  <c r="AO437" i="24"/>
  <c r="AO1222" i="24"/>
  <c r="AO580" i="24"/>
  <c r="AO1637" i="24"/>
  <c r="AO2412" i="24"/>
  <c r="AO1945" i="24"/>
  <c r="AO2111" i="24"/>
  <c r="AO1042" i="24"/>
  <c r="AO1778" i="24"/>
  <c r="AO2289" i="24"/>
  <c r="AO1412" i="24"/>
  <c r="AO964" i="24"/>
  <c r="AO2303" i="24"/>
  <c r="AO1806" i="24"/>
  <c r="AO1957" i="24"/>
  <c r="AO213" i="24"/>
  <c r="AO565" i="24"/>
  <c r="AO2466" i="24"/>
  <c r="AO1353" i="24"/>
  <c r="AO1525" i="24"/>
  <c r="AO930" i="24"/>
  <c r="AO1990" i="24"/>
  <c r="AO8" i="24"/>
  <c r="AO982" i="24"/>
  <c r="AO861" i="24"/>
  <c r="AO198" i="24"/>
  <c r="AO1253" i="24"/>
  <c r="AO1369" i="24"/>
  <c r="AO2274" i="24"/>
  <c r="AO1541" i="24"/>
  <c r="AO2397" i="24"/>
  <c r="AO2072" i="24"/>
  <c r="AO799" i="24"/>
  <c r="AO661" i="24"/>
  <c r="AO1057" i="24"/>
  <c r="AO1692" i="24"/>
  <c r="AO1070" i="24"/>
  <c r="AO2551" i="24"/>
  <c r="AO56" i="24"/>
  <c r="AO1206" i="24"/>
  <c r="AO1311" i="24"/>
  <c r="AO1575" i="24"/>
  <c r="AO2128" i="24"/>
  <c r="AO1087" i="24"/>
  <c r="AO2511" i="24"/>
  <c r="AO119" i="24"/>
  <c r="AO911" i="24"/>
  <c r="AO2173" i="24"/>
  <c r="AO1168" i="24"/>
  <c r="AO93" i="24"/>
  <c r="AO1490" i="24"/>
  <c r="AO948" i="24"/>
  <c r="AO1669" i="24"/>
  <c r="AO775" i="24"/>
  <c r="AO2571" i="24"/>
  <c r="AO137" i="24"/>
  <c r="AO2384" i="24"/>
  <c r="AO2486" i="24"/>
  <c r="AO180" i="24"/>
  <c r="AO877" i="24"/>
  <c r="AO151" i="24"/>
  <c r="AO1274" i="24"/>
  <c r="AO1913" i="24"/>
  <c r="AO26" i="24"/>
  <c r="AO1733" i="24"/>
  <c r="AO461" i="24"/>
  <c r="AO328" i="24"/>
  <c r="AO603" i="24"/>
  <c r="AO2210" i="24"/>
  <c r="AO2451" i="24"/>
  <c r="AO1557" i="24"/>
  <c r="AO1152" i="24"/>
  <c r="AO2340" i="24"/>
  <c r="AO703" i="24"/>
  <c r="AO844" i="24"/>
  <c r="AO1827" i="24"/>
  <c r="AO533" i="24"/>
  <c r="AO1874" i="24"/>
  <c r="AO1135" i="24"/>
  <c r="AO2228" i="24"/>
  <c r="AO1794" i="24"/>
  <c r="AO302" i="24"/>
  <c r="AO2051" i="24"/>
  <c r="AO2359" i="24"/>
  <c r="AO264" i="24"/>
  <c r="AO1103" i="24"/>
  <c r="AO1606" i="24"/>
  <c r="AO1291" i="24"/>
  <c r="AO748" i="24"/>
  <c r="AO729" i="24"/>
  <c r="AO2005" i="24"/>
  <c r="AO1970" i="24"/>
  <c r="AO1621" i="24"/>
  <c r="AO579" i="24"/>
  <c r="AO829" i="24"/>
  <c r="AO2302" i="24"/>
  <c r="AO1753" i="24"/>
  <c r="AO435" i="24"/>
  <c r="AO1221" i="24"/>
  <c r="AO1989" i="24"/>
  <c r="AO981" i="24"/>
  <c r="AO55" i="24"/>
  <c r="AO550" i="24"/>
  <c r="AO2070" i="24"/>
  <c r="AO1777" i="24"/>
  <c r="AO2465" i="24"/>
  <c r="AO2110" i="24"/>
  <c r="AO929" i="24"/>
  <c r="AO197" i="24"/>
  <c r="AO91" i="24"/>
  <c r="AO1041" i="24"/>
  <c r="AO212" i="24"/>
  <c r="AO2411" i="24"/>
  <c r="AO963" i="24"/>
  <c r="AO1826" i="24"/>
  <c r="AO1944" i="24"/>
  <c r="AO1956" i="24"/>
  <c r="AO2288" i="24"/>
  <c r="AO1086" i="24"/>
  <c r="AO2030" i="24"/>
  <c r="AO1524" i="24"/>
  <c r="AO1489" i="24"/>
  <c r="AO563" i="24"/>
  <c r="AO623" i="24"/>
  <c r="AO1205" i="24"/>
  <c r="AO1368" i="24"/>
  <c r="AO459" i="24"/>
  <c r="AO7" i="24"/>
  <c r="AO843" i="24"/>
  <c r="AO1069" i="24"/>
  <c r="AO2485" i="24"/>
  <c r="AO1540" i="24"/>
  <c r="AO2550" i="24"/>
  <c r="AO909" i="24"/>
  <c r="AO24" i="24"/>
  <c r="AO2127" i="24"/>
  <c r="AO2273" i="24"/>
  <c r="AO798" i="24"/>
  <c r="AO1184" i="24"/>
  <c r="AO678" i="24"/>
  <c r="AO1411" i="24"/>
  <c r="AO136" i="24"/>
  <c r="AO2356" i="24"/>
  <c r="AO1732" i="24"/>
  <c r="AO1273" i="24"/>
  <c r="AO2383" i="24"/>
  <c r="AO1056" i="24"/>
  <c r="AO1667" i="24"/>
  <c r="AO598" i="24"/>
  <c r="AO2172" i="24"/>
  <c r="AO1805" i="24"/>
  <c r="AO774" i="24"/>
  <c r="AO1556" i="24"/>
  <c r="AO1691" i="24"/>
  <c r="AO246" i="24"/>
  <c r="AO118" i="24"/>
  <c r="AO164" i="24"/>
  <c r="AO1310" i="24"/>
  <c r="AO702" i="24"/>
  <c r="AO2569" i="24"/>
  <c r="AO1252" i="24"/>
  <c r="AO876" i="24"/>
  <c r="AO1574" i="24"/>
  <c r="AO179" i="24"/>
  <c r="AO1167" i="24"/>
  <c r="AO1852" i="24"/>
  <c r="AO150" i="24"/>
  <c r="AO1440" i="24"/>
  <c r="AO1871" i="24"/>
  <c r="AO2450" i="24"/>
  <c r="AO658" i="24"/>
  <c r="AO327" i="24"/>
  <c r="AO2209" i="24"/>
  <c r="AO2320" i="24"/>
  <c r="AO2049" i="24"/>
  <c r="AO2508" i="24"/>
  <c r="AO1793" i="24"/>
  <c r="AO1151" i="24"/>
  <c r="AO1912" i="24"/>
  <c r="AO1352" i="24"/>
  <c r="AO2339" i="24"/>
  <c r="AO2227" i="24"/>
  <c r="AO1099" i="24"/>
  <c r="AO1344" i="24"/>
  <c r="AO2004" i="24"/>
  <c r="AO44" i="24"/>
  <c r="AO1234" i="24"/>
  <c r="AO532" i="24"/>
  <c r="AO1290" i="24"/>
  <c r="AO1134" i="24"/>
  <c r="AO1605" i="24"/>
  <c r="AO263" i="24"/>
  <c r="AO300" i="24"/>
  <c r="AO728" i="24"/>
  <c r="AO1750" i="24"/>
  <c r="AO456" i="24"/>
  <c r="AO196" i="24"/>
  <c r="AO1850" i="24"/>
  <c r="AO1068" i="24"/>
  <c r="AO596" i="24"/>
  <c r="AO1665" i="24"/>
  <c r="AO677" i="24"/>
  <c r="AO979" i="24"/>
  <c r="AO149" i="24"/>
  <c r="AO326" i="24"/>
  <c r="AO88" i="24"/>
  <c r="AO2319" i="24"/>
  <c r="AO1249" i="24"/>
  <c r="AO1181" i="24"/>
  <c r="AO2482" i="24"/>
  <c r="AO2449" i="24"/>
  <c r="AO1869" i="24"/>
  <c r="AO744" i="24"/>
  <c r="AO2048" i="24"/>
  <c r="AO771" i="24"/>
  <c r="AO1486" i="24"/>
  <c r="AO1232" i="24"/>
  <c r="AO42" i="24"/>
  <c r="AO1097" i="24"/>
  <c r="AO2225" i="24"/>
  <c r="AO2337" i="24"/>
  <c r="AO1288" i="24"/>
  <c r="AO530" i="24"/>
  <c r="AO299" i="24"/>
  <c r="AO727" i="24"/>
  <c r="AO1133" i="24"/>
  <c r="V791" i="17"/>
  <c r="V866" i="15"/>
  <c r="W878" i="17"/>
  <c r="W958" i="15"/>
  <c r="W791" i="17"/>
  <c r="W866" i="15"/>
  <c r="W723" i="17"/>
  <c r="W782" i="15"/>
  <c r="W62" i="17"/>
  <c r="W66" i="17"/>
  <c r="W65" i="17"/>
  <c r="W67" i="17"/>
  <c r="W69" i="15"/>
  <c r="W68" i="15"/>
  <c r="W393" i="17"/>
  <c r="W397" i="17"/>
  <c r="W395" i="17"/>
  <c r="W398" i="17"/>
  <c r="W425" i="15"/>
  <c r="W823" i="17"/>
  <c r="W901" i="15"/>
  <c r="W372" i="17"/>
  <c r="H308" i="18"/>
  <c r="O308" i="18" s="1"/>
  <c r="W397" i="15"/>
  <c r="W751" i="17"/>
  <c r="W753" i="17"/>
  <c r="W817" i="15"/>
  <c r="W487" i="17"/>
  <c r="W489" i="17"/>
  <c r="W523" i="15"/>
  <c r="W902" i="17"/>
  <c r="W992" i="15"/>
  <c r="W437" i="17"/>
  <c r="W467" i="15"/>
  <c r="W316" i="17"/>
  <c r="W334" i="15"/>
  <c r="W915" i="17"/>
  <c r="W1006" i="15"/>
  <c r="W266" i="17"/>
  <c r="W269" i="17"/>
  <c r="W268" i="17"/>
  <c r="W271" i="17"/>
  <c r="W286" i="15"/>
  <c r="W285" i="15"/>
  <c r="W905" i="17"/>
  <c r="W904" i="17"/>
  <c r="W908" i="17"/>
  <c r="W907" i="17"/>
  <c r="W906" i="17"/>
  <c r="W1000" i="15"/>
  <c r="W999" i="15"/>
  <c r="W310" i="17"/>
  <c r="W327" i="15"/>
  <c r="W797" i="17"/>
  <c r="W795" i="17"/>
  <c r="W798" i="17"/>
  <c r="H667" i="18"/>
  <c r="W873" i="15"/>
  <c r="W109" i="17"/>
  <c r="W111" i="17"/>
  <c r="W117" i="15"/>
  <c r="W946" i="17"/>
  <c r="W949" i="17"/>
  <c r="W1041" i="15"/>
  <c r="W942" i="17"/>
  <c r="W1034" i="15"/>
  <c r="W930" i="17"/>
  <c r="W924" i="17"/>
  <c r="W927" i="17"/>
  <c r="W929" i="17"/>
  <c r="W1021" i="15"/>
  <c r="W1020" i="15"/>
  <c r="W920" i="17"/>
  <c r="W922" i="17"/>
  <c r="W1014" i="15"/>
  <c r="W1013" i="15"/>
  <c r="W884" i="17"/>
  <c r="W964" i="15"/>
  <c r="W869" i="17"/>
  <c r="W872" i="17"/>
  <c r="O733" i="18"/>
  <c r="W950" i="15"/>
  <c r="W860" i="17"/>
  <c r="W864" i="17"/>
  <c r="W865" i="17"/>
  <c r="W943" i="15"/>
  <c r="W846" i="17"/>
  <c r="W922" i="15"/>
  <c r="W839" i="17"/>
  <c r="W833" i="17"/>
  <c r="W832" i="17"/>
  <c r="W835" i="17"/>
  <c r="W834" i="17"/>
  <c r="W838" i="17"/>
  <c r="W916" i="15"/>
  <c r="W915" i="15"/>
  <c r="W829" i="17"/>
  <c r="W827" i="17"/>
  <c r="W830" i="17"/>
  <c r="W908" i="15"/>
  <c r="W772" i="17"/>
  <c r="W838" i="15"/>
  <c r="W762" i="17"/>
  <c r="W765" i="17"/>
  <c r="W764" i="17"/>
  <c r="W766" i="17"/>
  <c r="O644" i="18"/>
  <c r="W831" i="15"/>
  <c r="W760" i="17"/>
  <c r="W824" i="15"/>
  <c r="W698" i="17"/>
  <c r="W697" i="17"/>
  <c r="W690" i="17"/>
  <c r="W692" i="17"/>
  <c r="W695" i="17"/>
  <c r="W740" i="15"/>
  <c r="W682" i="17"/>
  <c r="W681" i="17"/>
  <c r="W685" i="17"/>
  <c r="W684" i="17"/>
  <c r="W683" i="17"/>
  <c r="W686" i="17"/>
  <c r="W734" i="15"/>
  <c r="W733" i="15"/>
  <c r="W673" i="17"/>
  <c r="W677" i="17"/>
  <c r="W676" i="17"/>
  <c r="W679" i="17"/>
  <c r="W727" i="15"/>
  <c r="W726" i="15"/>
  <c r="W668" i="17"/>
  <c r="W670" i="17"/>
  <c r="W671" i="17"/>
  <c r="W719" i="15"/>
  <c r="W661" i="17"/>
  <c r="W660" i="17"/>
  <c r="W664" i="17"/>
  <c r="W663" i="17"/>
  <c r="W665" i="17"/>
  <c r="W713" i="15"/>
  <c r="W712" i="15"/>
  <c r="W651" i="17"/>
  <c r="W649" i="17"/>
  <c r="W652" i="17"/>
  <c r="W698" i="15"/>
  <c r="W643" i="17"/>
  <c r="W642" i="17"/>
  <c r="W645" i="17"/>
  <c r="W692" i="15"/>
  <c r="W691" i="15"/>
  <c r="W618" i="17"/>
  <c r="W663" i="15"/>
  <c r="W599" i="17"/>
  <c r="W642" i="15"/>
  <c r="W593" i="17"/>
  <c r="W587" i="17"/>
  <c r="W628" i="15"/>
  <c r="W572" i="17"/>
  <c r="W574" i="17"/>
  <c r="W615" i="15"/>
  <c r="W614" i="15"/>
  <c r="W567" i="17"/>
  <c r="W607" i="15"/>
  <c r="W560" i="17"/>
  <c r="W561" i="17"/>
  <c r="W600" i="15"/>
  <c r="W710" i="17"/>
  <c r="W761" i="15"/>
  <c r="W545" i="17"/>
  <c r="W544" i="17"/>
  <c r="W548" i="17"/>
  <c r="W547" i="17"/>
  <c r="W546" i="17"/>
  <c r="W549" i="17"/>
  <c r="W588" i="15"/>
  <c r="W587" i="15"/>
  <c r="W586" i="15"/>
  <c r="W539" i="17"/>
  <c r="W538" i="17"/>
  <c r="W541" i="17"/>
  <c r="W540" i="17"/>
  <c r="W542" i="17"/>
  <c r="W579" i="15"/>
  <c r="W530" i="17"/>
  <c r="H443" i="18"/>
  <c r="O443" i="18" s="1"/>
  <c r="W565" i="15"/>
  <c r="W511" i="17"/>
  <c r="W504" i="17"/>
  <c r="W507" i="17"/>
  <c r="O429" i="18"/>
  <c r="W501" i="17"/>
  <c r="W537" i="15"/>
  <c r="W495" i="17"/>
  <c r="W530" i="15"/>
  <c r="W638" i="17"/>
  <c r="W684" i="15"/>
  <c r="W476" i="17"/>
  <c r="W477" i="17"/>
  <c r="W509" i="15"/>
  <c r="W468" i="17"/>
  <c r="W471" i="17"/>
  <c r="W502" i="15"/>
  <c r="W457" i="17"/>
  <c r="W488" i="15"/>
  <c r="W449" i="17"/>
  <c r="W448" i="17"/>
  <c r="W447" i="17"/>
  <c r="W450" i="17"/>
  <c r="W482" i="15"/>
  <c r="W481" i="15"/>
  <c r="W443" i="17"/>
  <c r="W474" i="15"/>
  <c r="W244" i="17"/>
  <c r="W246" i="17"/>
  <c r="W257" i="15"/>
  <c r="W428" i="17"/>
  <c r="W427" i="17"/>
  <c r="W430" i="17"/>
  <c r="W461" i="15"/>
  <c r="W460" i="15"/>
  <c r="W405" i="17"/>
  <c r="W400" i="17"/>
  <c r="W402" i="17"/>
  <c r="W404" i="17"/>
  <c r="W432" i="15"/>
  <c r="W389" i="17"/>
  <c r="W388" i="17"/>
  <c r="W391" i="17"/>
  <c r="W419" i="15"/>
  <c r="W418" i="15"/>
  <c r="W382" i="17"/>
  <c r="W384" i="17"/>
  <c r="W411" i="15"/>
  <c r="W376" i="17"/>
  <c r="W378" i="17"/>
  <c r="O314" i="18"/>
  <c r="W404" i="15"/>
  <c r="W355" i="17"/>
  <c r="W357" i="17"/>
  <c r="W356" i="17"/>
  <c r="W359" i="17"/>
  <c r="W384" i="15"/>
  <c r="W383" i="15"/>
  <c r="W352" i="17"/>
  <c r="W376" i="15"/>
  <c r="W345" i="17"/>
  <c r="W346" i="17"/>
  <c r="W369" i="15"/>
  <c r="W334" i="17"/>
  <c r="W355" i="15"/>
  <c r="W303" i="17"/>
  <c r="W320" i="15"/>
  <c r="W297" i="17"/>
  <c r="W313" i="15"/>
  <c r="W288" i="17"/>
  <c r="W287" i="17"/>
  <c r="W291" i="17"/>
  <c r="W306" i="15"/>
  <c r="W281" i="17"/>
  <c r="W280" i="17"/>
  <c r="W283" i="17"/>
  <c r="W282" i="17"/>
  <c r="W300" i="15"/>
  <c r="W264" i="17"/>
  <c r="W278" i="15"/>
  <c r="W258" i="17"/>
  <c r="W271" i="15"/>
  <c r="W238" i="17"/>
  <c r="W240" i="17"/>
  <c r="W251" i="15"/>
  <c r="W250" i="15"/>
  <c r="W227" i="17"/>
  <c r="W236" i="15"/>
  <c r="W252" i="17"/>
  <c r="W264" i="15"/>
  <c r="W205" i="17"/>
  <c r="W215" i="15"/>
  <c r="W189" i="17"/>
  <c r="W188" i="17"/>
  <c r="W192" i="17"/>
  <c r="W191" i="17"/>
  <c r="W190" i="17"/>
  <c r="W193" i="17"/>
  <c r="W202" i="15"/>
  <c r="W201" i="15"/>
  <c r="W172" i="17"/>
  <c r="W171" i="17"/>
  <c r="W175" i="17"/>
  <c r="W174" i="17"/>
  <c r="W173" i="17"/>
  <c r="W176" i="17"/>
  <c r="W188" i="15"/>
  <c r="W187" i="15"/>
  <c r="W169" i="17"/>
  <c r="W180" i="15"/>
  <c r="W139" i="17"/>
  <c r="W144" i="17"/>
  <c r="W159" i="15"/>
  <c r="W115" i="17"/>
  <c r="W118" i="17"/>
  <c r="W117" i="17"/>
  <c r="W116" i="17"/>
  <c r="W119" i="17"/>
  <c r="W125" i="15"/>
  <c r="W124" i="15"/>
  <c r="W104" i="17"/>
  <c r="W105" i="17"/>
  <c r="W110" i="15"/>
  <c r="W96" i="17"/>
  <c r="W95" i="17"/>
  <c r="W91" i="17"/>
  <c r="W96" i="15"/>
  <c r="W85" i="17"/>
  <c r="H68" i="18"/>
  <c r="O68" i="18" s="1"/>
  <c r="W89" i="15"/>
  <c r="W77" i="17"/>
  <c r="W79" i="17"/>
  <c r="W82" i="15"/>
  <c r="W57" i="17"/>
  <c r="W60" i="17"/>
  <c r="W61" i="15"/>
  <c r="W53" i="17"/>
  <c r="W54" i="15"/>
  <c r="W33" i="17"/>
  <c r="W34" i="17"/>
  <c r="W38" i="17"/>
  <c r="W37" i="17"/>
  <c r="W36" i="17"/>
  <c r="W40" i="17"/>
  <c r="W42" i="15"/>
  <c r="W41" i="15"/>
  <c r="W40" i="15"/>
  <c r="W25" i="17"/>
  <c r="H18" i="18"/>
  <c r="O18" i="18" s="1"/>
  <c r="W26" i="15"/>
  <c r="W17" i="17"/>
  <c r="W16" i="17"/>
  <c r="W19" i="17"/>
  <c r="O13" i="18"/>
  <c r="W20" i="15"/>
  <c r="W19" i="15"/>
  <c r="W12" i="17"/>
  <c r="W12" i="15"/>
  <c r="V804" i="17"/>
  <c r="O678" i="18"/>
  <c r="XFD678" i="18" s="1"/>
  <c r="O677" i="18"/>
  <c r="XFD677" i="18" s="1"/>
  <c r="O676" i="18"/>
  <c r="XFD676" i="18" s="1"/>
  <c r="O675" i="18"/>
  <c r="XFD675" i="18" s="1"/>
  <c r="V880" i="15"/>
  <c r="V663" i="17"/>
  <c r="V713" i="15"/>
  <c r="V264" i="17"/>
  <c r="V278" i="15"/>
  <c r="V199" i="17"/>
  <c r="V208" i="15"/>
  <c r="U804" i="17"/>
  <c r="U882" i="15"/>
  <c r="U880" i="15"/>
  <c r="U695" i="17"/>
  <c r="U740" i="15"/>
  <c r="U663" i="17"/>
  <c r="U713" i="15"/>
  <c r="T663" i="17"/>
  <c r="T713" i="15"/>
  <c r="AO2015" i="24"/>
  <c r="AO1141" i="24"/>
  <c r="AO2010" i="24"/>
  <c r="AO2009" i="24"/>
  <c r="AO753" i="24"/>
  <c r="AO746" i="24"/>
  <c r="W729" i="17"/>
  <c r="W789" i="15"/>
  <c r="W608" i="17"/>
  <c r="W610" i="17"/>
  <c r="W609" i="17"/>
  <c r="W612" i="17"/>
  <c r="W657" i="15"/>
  <c r="W656" i="15"/>
  <c r="W555" i="17"/>
  <c r="W593" i="15"/>
  <c r="W340" i="17"/>
  <c r="W362" i="15"/>
  <c r="W199" i="17"/>
  <c r="W208" i="15"/>
  <c r="W42" i="17"/>
  <c r="W47" i="17"/>
  <c r="W47" i="15"/>
  <c r="W408" i="17"/>
  <c r="W410" i="17"/>
  <c r="W439" i="15"/>
  <c r="W321" i="17"/>
  <c r="W322" i="17"/>
  <c r="W341" i="15"/>
  <c r="W125" i="17"/>
  <c r="W131" i="15"/>
  <c r="W6" i="17"/>
  <c r="W5" i="15"/>
  <c r="V723" i="17"/>
  <c r="V782" i="15"/>
  <c r="W852" i="17"/>
  <c r="W929" i="15"/>
  <c r="W747" i="17"/>
  <c r="W810" i="15"/>
  <c r="W658" i="17"/>
  <c r="W705" i="15"/>
  <c r="W416" i="17"/>
  <c r="W446" i="15"/>
  <c r="W274" i="17"/>
  <c r="W273" i="17"/>
  <c r="W277" i="17"/>
  <c r="W276" i="17"/>
  <c r="W275" i="17"/>
  <c r="W278" i="17"/>
  <c r="W293" i="15"/>
  <c r="W292" i="15"/>
  <c r="W131" i="17"/>
  <c r="W138" i="15"/>
  <c r="W221" i="17"/>
  <c r="W220" i="17"/>
  <c r="W214" i="17"/>
  <c r="W213" i="17"/>
  <c r="W217" i="17"/>
  <c r="W216" i="17"/>
  <c r="W215" i="17"/>
  <c r="W218" i="17"/>
  <c r="W230" i="15"/>
  <c r="W229" i="15"/>
  <c r="T823" i="17"/>
  <c r="T901" i="15"/>
  <c r="W890" i="17"/>
  <c r="W971" i="15"/>
  <c r="W518" i="17"/>
  <c r="W551" i="15"/>
  <c r="W809" i="17"/>
  <c r="W811" i="17"/>
  <c r="W888" i="15"/>
  <c r="W887" i="15"/>
  <c r="W741" i="17"/>
  <c r="W803" i="15"/>
  <c r="V823" i="17"/>
  <c r="V901" i="15"/>
  <c r="V747" i="17"/>
  <c r="V810" i="15"/>
  <c r="V536" i="17"/>
  <c r="V572" i="15"/>
  <c r="V469" i="17"/>
  <c r="V468" i="17"/>
  <c r="V471" i="17"/>
  <c r="V503" i="15"/>
  <c r="V502" i="15"/>
  <c r="AJ995" i="24"/>
  <c r="AO995" i="24" s="1"/>
  <c r="AJ999" i="24"/>
  <c r="AJ998" i="24"/>
  <c r="AO998" i="24" s="1"/>
  <c r="AJ997" i="24"/>
  <c r="AJ1006" i="24"/>
  <c r="AJ993" i="24"/>
  <c r="AO993" i="24" s="1"/>
  <c r="V355" i="17"/>
  <c r="V354" i="17"/>
  <c r="V356" i="17"/>
  <c r="V359" i="17"/>
  <c r="V383" i="15"/>
  <c r="V316" i="17"/>
  <c r="V334" i="15"/>
  <c r="V221" i="17"/>
  <c r="V220" i="17"/>
  <c r="V214" i="17"/>
  <c r="V213" i="17"/>
  <c r="V217" i="17"/>
  <c r="V216" i="17"/>
  <c r="V215" i="17"/>
  <c r="V218" i="17"/>
  <c r="O188" i="18"/>
  <c r="O187" i="18"/>
  <c r="V229" i="15"/>
  <c r="V230" i="15"/>
  <c r="V62" i="17"/>
  <c r="V66" i="17"/>
  <c r="V65" i="17"/>
  <c r="V67" i="17"/>
  <c r="V69" i="15"/>
  <c r="V68" i="15"/>
  <c r="W735" i="17"/>
  <c r="W796" i="15"/>
  <c r="V372" i="17"/>
  <c r="V397" i="15"/>
  <c r="V580" i="17"/>
  <c r="V621" i="15"/>
  <c r="V799" i="17"/>
  <c r="V793" i="17"/>
  <c r="V797" i="17"/>
  <c r="V795" i="17"/>
  <c r="V798" i="17"/>
  <c r="O673" i="18"/>
  <c r="V873" i="15"/>
  <c r="V186" i="17"/>
  <c r="V179" i="17"/>
  <c r="V178" i="17"/>
  <c r="V183" i="17"/>
  <c r="V181" i="17"/>
  <c r="V184" i="17"/>
  <c r="V194" i="15"/>
  <c r="V587" i="17"/>
  <c r="V628" i="15"/>
  <c r="V93" i="17"/>
  <c r="V98" i="17"/>
  <c r="O82" i="18"/>
  <c r="O81" i="18"/>
  <c r="AL521" i="24"/>
  <c r="AL519" i="24"/>
  <c r="AL518" i="24"/>
  <c r="AL517" i="24"/>
  <c r="AL516" i="24"/>
  <c r="AL512" i="24"/>
  <c r="AL502" i="24"/>
  <c r="AL500" i="24"/>
  <c r="AL498" i="24"/>
  <c r="V196" i="15"/>
  <c r="AL1118" i="24"/>
  <c r="AL2554" i="24"/>
  <c r="AL1371" i="24"/>
  <c r="AL847" i="24"/>
  <c r="AL59" i="24"/>
  <c r="AL1261" i="24"/>
  <c r="AL1428" i="24"/>
  <c r="AL705" i="24"/>
  <c r="AL1170" i="24"/>
  <c r="AL666" i="24"/>
  <c r="AL2415" i="24"/>
  <c r="AL1209" i="24"/>
  <c r="AL1074" i="24"/>
  <c r="AL1885" i="24"/>
  <c r="AL1313" i="24"/>
  <c r="AL2292" i="24"/>
  <c r="AL439" i="24"/>
  <c r="AL2577" i="24"/>
  <c r="AL1835" i="24"/>
  <c r="AL1504" i="24"/>
  <c r="AL58" i="24"/>
  <c r="AL1370" i="24"/>
  <c r="AL846" i="24"/>
  <c r="AL308" i="24"/>
  <c r="AL967" i="24"/>
  <c r="AL1329" i="24"/>
  <c r="AL1427" i="24"/>
  <c r="AL216" i="24"/>
  <c r="AL780" i="24"/>
  <c r="AL1916" i="24"/>
  <c r="AL2553" i="24"/>
  <c r="AL2453" i="24"/>
  <c r="AL1259" i="24"/>
  <c r="AL2398" i="24"/>
  <c r="AL1807" i="24"/>
  <c r="AL266" i="24"/>
  <c r="AL2414" i="24"/>
  <c r="AL704" i="24"/>
  <c r="AL1208" i="24"/>
  <c r="AL99" i="24"/>
  <c r="AL2385" i="24"/>
  <c r="AL1543" i="24"/>
  <c r="AL1577" i="24"/>
  <c r="AL2291" i="24"/>
  <c r="AL1882" i="24"/>
  <c r="AL932" i="24"/>
  <c r="AL122" i="24"/>
  <c r="AL1356" i="24"/>
  <c r="AL438" i="24"/>
  <c r="AL1073" i="24"/>
  <c r="AL1834" i="24"/>
  <c r="AL2574" i="24"/>
  <c r="AL832" i="24"/>
  <c r="AL1312" i="24"/>
  <c r="AL1115" i="24"/>
  <c r="AL761" i="24"/>
  <c r="AL2063" i="24"/>
  <c r="AL485" i="24"/>
  <c r="AL1124" i="24"/>
  <c r="AL275" i="24"/>
  <c r="AL1799" i="24"/>
  <c r="AL1891" i="24"/>
  <c r="AL544" i="24"/>
  <c r="AL2330" i="24"/>
  <c r="AL1404" i="24"/>
  <c r="AL790" i="24"/>
  <c r="AL617" i="24"/>
  <c r="AL2459" i="24"/>
  <c r="AL333" i="24"/>
  <c r="AL2085" i="24"/>
  <c r="AL1743" i="24"/>
  <c r="AL886" i="24"/>
  <c r="AL1517" i="24"/>
  <c r="AL1922" i="24"/>
  <c r="AL36" i="24"/>
  <c r="AL810" i="24"/>
  <c r="AL1685" i="24"/>
  <c r="AL1377" i="24"/>
  <c r="AL938" i="24"/>
  <c r="AL957" i="24"/>
  <c r="AL108" i="24"/>
  <c r="AL1815" i="24"/>
  <c r="AL130" i="24"/>
  <c r="AL2390" i="24"/>
  <c r="AL1584" i="24"/>
  <c r="AL222" i="24"/>
  <c r="AL2474" i="24"/>
  <c r="AL2421" i="24"/>
  <c r="AL417" i="24"/>
  <c r="AL736" i="24"/>
  <c r="AL734" i="24"/>
  <c r="AL1859" i="24"/>
  <c r="AL273" i="24"/>
  <c r="AL759" i="24"/>
  <c r="AL1142" i="24"/>
  <c r="AL1681" i="24"/>
  <c r="AL1122" i="24"/>
  <c r="AL2059" i="24"/>
  <c r="AL317" i="24"/>
  <c r="AL478" i="24"/>
  <c r="AL541" i="24"/>
  <c r="AL1239" i="24"/>
  <c r="AL1173" i="24"/>
  <c r="AL1889" i="24"/>
  <c r="AL1628" i="24"/>
  <c r="AL2521" i="24"/>
  <c r="AL2234" i="24"/>
  <c r="AL2264" i="24"/>
  <c r="AL2328" i="24"/>
  <c r="AL1061" i="24"/>
  <c r="AL2457" i="24"/>
  <c r="AL1797" i="24"/>
  <c r="AL1402" i="24"/>
  <c r="AL1159" i="24"/>
  <c r="AL805" i="24"/>
  <c r="AL1279" i="24"/>
  <c r="AL971" i="24"/>
  <c r="AL1741" i="24"/>
  <c r="AL646" i="24"/>
  <c r="AL154" i="24"/>
  <c r="AL331" i="24"/>
  <c r="AL2082" i="24"/>
  <c r="AL1563" i="24"/>
  <c r="AL34" i="24"/>
  <c r="AL884" i="24"/>
  <c r="AL2281" i="24"/>
  <c r="AL1047" i="24"/>
  <c r="AL788" i="24"/>
  <c r="AL612" i="24"/>
  <c r="AL2402" i="24"/>
  <c r="AL1920" i="24"/>
  <c r="AL106" i="24"/>
  <c r="AL62" i="24"/>
  <c r="AL1507" i="24"/>
  <c r="AL670" i="24"/>
  <c r="AL1839" i="24"/>
  <c r="AL204" i="24"/>
  <c r="AL1582" i="24"/>
  <c r="AL2492" i="24"/>
  <c r="AL1375" i="24"/>
  <c r="AL128" i="24"/>
  <c r="AL1334" i="24"/>
  <c r="AL850" i="24"/>
  <c r="AL13" i="24"/>
  <c r="AL936" i="24"/>
  <c r="AL954" i="24"/>
  <c r="AL1446" i="24"/>
  <c r="AL1996" i="24"/>
  <c r="AL188" i="24"/>
  <c r="AL1212" i="24"/>
  <c r="AL708" i="24"/>
  <c r="AL1548" i="24"/>
  <c r="AL1782" i="24"/>
  <c r="AL78" i="24"/>
  <c r="AL2388" i="24"/>
  <c r="AL1962" i="24"/>
  <c r="AL2580" i="24"/>
  <c r="AL2117" i="24"/>
  <c r="AL1360" i="24"/>
  <c r="AL1265" i="24"/>
  <c r="AL2295" i="24"/>
  <c r="AL1813" i="24"/>
  <c r="AL571" i="24"/>
  <c r="AL1077" i="24"/>
  <c r="AL2472" i="24"/>
  <c r="AL1531" i="24"/>
  <c r="AL1417" i="24"/>
  <c r="AL443" i="24"/>
  <c r="AL2419" i="24"/>
  <c r="AL2309" i="24"/>
  <c r="AL1432" i="24"/>
  <c r="AL415" i="24"/>
  <c r="AL587" i="24"/>
  <c r="AL1977" i="24"/>
  <c r="AL142" i="24"/>
  <c r="AL1858" i="24"/>
  <c r="AL272" i="24"/>
  <c r="AL1121" i="24"/>
  <c r="AL2058" i="24"/>
  <c r="AL316" i="24"/>
  <c r="AL477" i="24"/>
  <c r="AL2233" i="24"/>
  <c r="AL1238" i="24"/>
  <c r="AL540" i="24"/>
  <c r="AL1888" i="24"/>
  <c r="AL1627" i="24"/>
  <c r="AL2263" i="24"/>
  <c r="AL2520" i="24"/>
  <c r="AL1401" i="24"/>
  <c r="AL1158" i="24"/>
  <c r="AL2327" i="24"/>
  <c r="AL970" i="24"/>
  <c r="AL287" i="24"/>
  <c r="AL1740" i="24"/>
  <c r="AL645" i="24"/>
  <c r="AL153" i="24"/>
  <c r="AL2081" i="24"/>
  <c r="AL187" i="24"/>
  <c r="AL330" i="24"/>
  <c r="AL1278" i="24"/>
  <c r="AL2456" i="24"/>
  <c r="AL1562" i="24"/>
  <c r="AL1810" i="24"/>
  <c r="AL1172" i="24"/>
  <c r="AL1017" i="24"/>
  <c r="AL33" i="24"/>
  <c r="AL2280" i="24"/>
  <c r="AL61" i="24"/>
  <c r="AL1060" i="24"/>
  <c r="AL1796" i="24"/>
  <c r="AL1919" i="24"/>
  <c r="AL883" i="24"/>
  <c r="AL785" i="24"/>
  <c r="AL669" i="24"/>
  <c r="AL105" i="24"/>
  <c r="AL1359" i="24"/>
  <c r="AL1838" i="24"/>
  <c r="AL1374" i="24"/>
  <c r="AL1333" i="24"/>
  <c r="AL1506" i="24"/>
  <c r="AL935" i="24"/>
  <c r="AL803" i="24"/>
  <c r="AL953" i="24"/>
  <c r="AL1076" i="24"/>
  <c r="AL127" i="24"/>
  <c r="AL1680" i="24"/>
  <c r="AL1581" i="24"/>
  <c r="AL2387" i="24"/>
  <c r="AL77" i="24"/>
  <c r="AL12" i="24"/>
  <c r="AL1995" i="24"/>
  <c r="AL1211" i="24"/>
  <c r="AL1547" i="24"/>
  <c r="AL2294" i="24"/>
  <c r="AL2471" i="24"/>
  <c r="AL2579" i="24"/>
  <c r="AL1264" i="24"/>
  <c r="AL1416" i="24"/>
  <c r="AL570" i="24"/>
  <c r="AL1781" i="24"/>
  <c r="AL2116" i="24"/>
  <c r="AL1961" i="24"/>
  <c r="AL442" i="24"/>
  <c r="AL2418" i="24"/>
  <c r="AL1431" i="24"/>
  <c r="AL821" i="24"/>
  <c r="AL414" i="24"/>
  <c r="AL586" i="24"/>
  <c r="AL1976" i="24"/>
  <c r="AL1141" i="24"/>
  <c r="AL140" i="24"/>
  <c r="AL731" i="24"/>
  <c r="AL1678" i="24"/>
  <c r="AL1140" i="24"/>
  <c r="AL314" i="24"/>
  <c r="AL757" i="24"/>
  <c r="AL270" i="24"/>
  <c r="AL1119" i="24"/>
  <c r="AL2057" i="24"/>
  <c r="AL2232" i="24"/>
  <c r="AL1795" i="24"/>
  <c r="AL476" i="24"/>
  <c r="AL1237" i="24"/>
  <c r="AL1625" i="24"/>
  <c r="AL2518" i="24"/>
  <c r="AL1886" i="24"/>
  <c r="AL1157" i="24"/>
  <c r="AL1059" i="24"/>
  <c r="AL2455" i="24"/>
  <c r="AL539" i="24"/>
  <c r="AL1400" i="24"/>
  <c r="AL329" i="24"/>
  <c r="AL1739" i="24"/>
  <c r="AL31" i="24"/>
  <c r="AL644" i="24"/>
  <c r="AL152" i="24"/>
  <c r="AL2079" i="24"/>
  <c r="AL1171" i="24"/>
  <c r="AL1314" i="24"/>
  <c r="AL609" i="24"/>
  <c r="AL1837" i="24"/>
  <c r="AL969" i="24"/>
  <c r="AL1560" i="24"/>
  <c r="AL882" i="24"/>
  <c r="AL60" i="24"/>
  <c r="AL1015" i="24"/>
  <c r="AL1331" i="24"/>
  <c r="AL2400" i="24"/>
  <c r="AL185" i="24"/>
  <c r="AL1045" i="24"/>
  <c r="AL103" i="24"/>
  <c r="AL1918" i="24"/>
  <c r="AL706" i="24"/>
  <c r="AL2098" i="24"/>
  <c r="AL802" i="24"/>
  <c r="AL1505" i="24"/>
  <c r="AL667" i="24"/>
  <c r="AL1580" i="24"/>
  <c r="AL126" i="24"/>
  <c r="AL2179" i="24"/>
  <c r="AL1372" i="24"/>
  <c r="AL934" i="24"/>
  <c r="AL952" i="24"/>
  <c r="AL783" i="24"/>
  <c r="AL2278" i="24"/>
  <c r="AL1960" i="24"/>
  <c r="AL848" i="24"/>
  <c r="AL2343" i="24"/>
  <c r="AL2578" i="24"/>
  <c r="AL1210" i="24"/>
  <c r="AL1075" i="24"/>
  <c r="AL2386" i="24"/>
  <c r="AL914" i="24"/>
  <c r="AL11" i="24"/>
  <c r="AL1545" i="24"/>
  <c r="AL2293" i="24"/>
  <c r="AL1994" i="24"/>
  <c r="AL1529" i="24"/>
  <c r="AL2469" i="24"/>
  <c r="AL75" i="24"/>
  <c r="AL218" i="24"/>
  <c r="AL201" i="24"/>
  <c r="AL1780" i="24"/>
  <c r="AL1263" i="24"/>
  <c r="AL1358" i="24"/>
  <c r="AL569" i="24"/>
  <c r="AL1808" i="24"/>
  <c r="AL1415" i="24"/>
  <c r="AL2306" i="24"/>
  <c r="AL440" i="24"/>
  <c r="AL820" i="24"/>
  <c r="AL2416" i="24"/>
  <c r="AL412" i="24"/>
  <c r="AL585" i="24"/>
  <c r="AL2115" i="24"/>
  <c r="AL1975" i="24"/>
  <c r="AL2555" i="24"/>
  <c r="AL137" i="24"/>
  <c r="AL729" i="24"/>
  <c r="AL748" i="24"/>
  <c r="AL264" i="24"/>
  <c r="AL2051" i="24"/>
  <c r="AL1103" i="24"/>
  <c r="AL1669" i="24"/>
  <c r="AL2248" i="24"/>
  <c r="AL1874" i="24"/>
  <c r="AL461" i="24"/>
  <c r="AL302" i="24"/>
  <c r="AL1794" i="24"/>
  <c r="AL2194" i="24"/>
  <c r="AL1135" i="24"/>
  <c r="AL533" i="24"/>
  <c r="AL2228" i="24"/>
  <c r="AL1622" i="24"/>
  <c r="AL1827" i="24"/>
  <c r="AL2511" i="24"/>
  <c r="AL283" i="24"/>
  <c r="AL328" i="24"/>
  <c r="AL2451" i="24"/>
  <c r="AL703" i="24"/>
  <c r="AL1274" i="24"/>
  <c r="AL1441" i="24"/>
  <c r="AL151" i="24"/>
  <c r="AL844" i="24"/>
  <c r="AL1152" i="24"/>
  <c r="AL180" i="24"/>
  <c r="AL2072" i="24"/>
  <c r="AL1557" i="24"/>
  <c r="AL877" i="24"/>
  <c r="AL1733" i="24"/>
  <c r="AL1913" i="24"/>
  <c r="AL1327" i="24"/>
  <c r="AL964" i="24"/>
  <c r="AL1392" i="24"/>
  <c r="AL639" i="24"/>
  <c r="AL2486" i="24"/>
  <c r="AL56" i="24"/>
  <c r="AL1057" i="24"/>
  <c r="AL1168" i="24"/>
  <c r="AL603" i="24"/>
  <c r="AL26" i="24"/>
  <c r="AL1490" i="24"/>
  <c r="AL2093" i="24"/>
  <c r="AL1042" i="24"/>
  <c r="AL2173" i="24"/>
  <c r="AL2397" i="24"/>
  <c r="AL1311" i="24"/>
  <c r="AL1013" i="24"/>
  <c r="AL1087" i="24"/>
  <c r="AL93" i="24"/>
  <c r="AL1575" i="24"/>
  <c r="AL198" i="24"/>
  <c r="AL1206" i="24"/>
  <c r="AL661" i="24"/>
  <c r="AL1426" i="24"/>
  <c r="AL775" i="24"/>
  <c r="AL119" i="24"/>
  <c r="AL2274" i="24"/>
  <c r="AL2571" i="24"/>
  <c r="AL799" i="24"/>
  <c r="AL1541" i="24"/>
  <c r="AL930" i="24"/>
  <c r="AL948" i="24"/>
  <c r="AL2340" i="24"/>
  <c r="AL982" i="24"/>
  <c r="AL817" i="24"/>
  <c r="AL1957" i="24"/>
  <c r="AL1353" i="24"/>
  <c r="AL8" i="24"/>
  <c r="AL1990" i="24"/>
  <c r="AL1525" i="24"/>
  <c r="AL565" i="24"/>
  <c r="AL2466" i="24"/>
  <c r="AL1412" i="24"/>
  <c r="AL1778" i="24"/>
  <c r="AL2289" i="24"/>
  <c r="AL2384" i="24"/>
  <c r="AL213" i="24"/>
  <c r="AL2111" i="24"/>
  <c r="AL71" i="24"/>
  <c r="AL1806" i="24"/>
  <c r="AL2412" i="24"/>
  <c r="AL2303" i="24"/>
  <c r="AL437" i="24"/>
  <c r="AL580" i="24"/>
  <c r="AL831" i="24"/>
  <c r="AL1755" i="24"/>
  <c r="AL1971" i="24"/>
  <c r="AL2551" i="24"/>
  <c r="AL728" i="24"/>
  <c r="AL1852" i="24"/>
  <c r="AL263" i="24"/>
  <c r="AL532" i="24"/>
  <c r="AL44" i="24"/>
  <c r="AL1134" i="24"/>
  <c r="AL2320" i="24"/>
  <c r="AL300" i="24"/>
  <c r="AL1234" i="24"/>
  <c r="AL1667" i="24"/>
  <c r="AL2193" i="24"/>
  <c r="AL1099" i="24"/>
  <c r="AL1871" i="24"/>
  <c r="AL2245" i="24"/>
  <c r="AL1793" i="24"/>
  <c r="AL2508" i="24"/>
  <c r="AL1352" i="24"/>
  <c r="AL2049" i="24"/>
  <c r="AL2227" i="24"/>
  <c r="AL1151" i="24"/>
  <c r="AL282" i="24"/>
  <c r="AL1489" i="24"/>
  <c r="AL179" i="24"/>
  <c r="AL2550" i="24"/>
  <c r="AL1411" i="24"/>
  <c r="AL327" i="24"/>
  <c r="AL459" i="24"/>
  <c r="AL371" i="24"/>
  <c r="AL963" i="24"/>
  <c r="AL746" i="24"/>
  <c r="AL658" i="24"/>
  <c r="AL2450" i="24"/>
  <c r="AL1440" i="24"/>
  <c r="AL150" i="24"/>
  <c r="AL1912" i="24"/>
  <c r="AL2172" i="24"/>
  <c r="AL24" i="24"/>
  <c r="AL1574" i="24"/>
  <c r="AL1621" i="24"/>
  <c r="AL876" i="24"/>
  <c r="AL1252" i="24"/>
  <c r="AL1167" i="24"/>
  <c r="AL702" i="24"/>
  <c r="AL118" i="24"/>
  <c r="AL1310" i="24"/>
  <c r="AL1056" i="24"/>
  <c r="AL1388" i="24"/>
  <c r="AL1273" i="24"/>
  <c r="AL2092" i="24"/>
  <c r="AL1826" i="24"/>
  <c r="AL798" i="24"/>
  <c r="AL2432" i="24"/>
  <c r="AL7" i="24"/>
  <c r="AL678" i="24"/>
  <c r="AL909" i="24"/>
  <c r="AL2273" i="24"/>
  <c r="AL1425" i="24"/>
  <c r="AL2569" i="24"/>
  <c r="AL1012" i="24"/>
  <c r="AL1540" i="24"/>
  <c r="AL1556" i="24"/>
  <c r="AL1805" i="24"/>
  <c r="AL1732" i="24"/>
  <c r="AL197" i="24"/>
  <c r="AL598" i="24"/>
  <c r="AL774" i="24"/>
  <c r="AL2288" i="24"/>
  <c r="AL2485" i="24"/>
  <c r="AL1649" i="24"/>
  <c r="AL623" i="24"/>
  <c r="AL1524" i="24"/>
  <c r="AL1205" i="24"/>
  <c r="AL212" i="24"/>
  <c r="AL929" i="24"/>
  <c r="AL1930" i="24"/>
  <c r="AL1086" i="24"/>
  <c r="AL1041" i="24"/>
  <c r="AL70" i="24"/>
  <c r="AL981" i="24"/>
  <c r="AL1326" i="24"/>
  <c r="AL816" i="24"/>
  <c r="AL2411" i="24"/>
  <c r="AL843" i="24"/>
  <c r="AL2070" i="24"/>
  <c r="AL91" i="24"/>
  <c r="AL2383" i="24"/>
  <c r="AL563" i="24"/>
  <c r="AL2110" i="24"/>
  <c r="AL2339" i="24"/>
  <c r="AL356" i="24"/>
  <c r="AL1069" i="24"/>
  <c r="AL55" i="24"/>
  <c r="AL1221" i="24"/>
  <c r="AL1777" i="24"/>
  <c r="AL550" i="24"/>
  <c r="AL2465" i="24"/>
  <c r="AL1989" i="24"/>
  <c r="AL406" i="24"/>
  <c r="AL2302" i="24"/>
  <c r="AL435" i="24"/>
  <c r="AL579" i="24"/>
  <c r="AL1753" i="24"/>
  <c r="AL829" i="24"/>
  <c r="AL1970" i="24"/>
  <c r="AL136" i="24"/>
  <c r="AL299" i="24"/>
  <c r="AL2225" i="24"/>
  <c r="AL530" i="24"/>
  <c r="AL2506" i="24"/>
  <c r="AL2192" i="24"/>
  <c r="AL1850" i="24"/>
  <c r="AL1133" i="24"/>
  <c r="AL744" i="24"/>
  <c r="AL42" i="24"/>
  <c r="AL1097" i="24"/>
  <c r="AL1232" i="24"/>
  <c r="AL1869" i="24"/>
  <c r="AL1486" i="24"/>
  <c r="AL2243" i="24"/>
  <c r="AL2319" i="24"/>
  <c r="AL2048" i="24"/>
  <c r="AL1823" i="24"/>
  <c r="AL771" i="24"/>
  <c r="AL1665" i="24"/>
  <c r="AL2171" i="24"/>
  <c r="AL88" i="24"/>
  <c r="AL2482" i="24"/>
  <c r="AL596" i="24"/>
  <c r="AL326" i="24"/>
  <c r="AL1386" i="24"/>
  <c r="AL456" i="24"/>
  <c r="AL149" i="24"/>
  <c r="AL2337" i="24"/>
  <c r="AL677" i="24"/>
  <c r="AL2449" i="24"/>
  <c r="AL979" i="24"/>
  <c r="AL196" i="24"/>
  <c r="AL1068" i="24"/>
  <c r="AL2567" i="24"/>
  <c r="AL797" i="24"/>
  <c r="AL1928" i="24"/>
  <c r="AL2430" i="24"/>
  <c r="AL1750" i="24"/>
  <c r="AI727" i="24"/>
  <c r="AL727" i="24"/>
  <c r="V109" i="17"/>
  <c r="V111" i="17"/>
  <c r="V117" i="15"/>
  <c r="V545" i="17"/>
  <c r="V544" i="17"/>
  <c r="V548" i="17"/>
  <c r="V546" i="17"/>
  <c r="V549" i="17"/>
  <c r="V586" i="15"/>
  <c r="V749" i="17"/>
  <c r="V751" i="17"/>
  <c r="V753" i="17"/>
  <c r="H630" i="18"/>
  <c r="O630" i="18" s="1"/>
  <c r="V819" i="15"/>
  <c r="V817" i="15"/>
  <c r="V896" i="15"/>
  <c r="V894" i="15"/>
  <c r="V760" i="17"/>
  <c r="V824" i="15"/>
  <c r="V397" i="17"/>
  <c r="V393" i="17"/>
  <c r="V395" i="17"/>
  <c r="V398" i="17"/>
  <c r="V425" i="15"/>
  <c r="V384" i="17"/>
  <c r="V411" i="15"/>
  <c r="V303" i="17"/>
  <c r="V320" i="15"/>
  <c r="V31" i="17"/>
  <c r="V33" i="15"/>
  <c r="V898" i="17"/>
  <c r="V902" i="17"/>
  <c r="V995" i="15"/>
  <c r="V992" i="15"/>
  <c r="V878" i="17"/>
  <c r="V958" i="15"/>
  <c r="V437" i="17"/>
  <c r="V467" i="15"/>
  <c r="V6" i="17"/>
  <c r="V5" i="15"/>
  <c r="V918" i="17"/>
  <c r="V917" i="17"/>
  <c r="V921" i="17"/>
  <c r="V920" i="17"/>
  <c r="V919" i="17"/>
  <c r="V922" i="17"/>
  <c r="V1014" i="15"/>
  <c r="V1013" i="15"/>
  <c r="V605" i="17"/>
  <c r="V649" i="15"/>
  <c r="T303" i="17"/>
  <c r="T320" i="15"/>
  <c r="V815" i="17"/>
  <c r="V817" i="17"/>
  <c r="V778" i="17"/>
  <c r="V845" i="15"/>
  <c r="V716" i="17"/>
  <c r="V714" i="17"/>
  <c r="V717" i="17"/>
  <c r="V775" i="15"/>
  <c r="V623" i="17"/>
  <c r="V622" i="17"/>
  <c r="V625" i="17"/>
  <c r="V671" i="15"/>
  <c r="V670" i="15"/>
  <c r="V524" i="17"/>
  <c r="V558" i="15"/>
  <c r="V495" i="17"/>
  <c r="V530" i="15"/>
  <c r="V445" i="17"/>
  <c r="V449" i="17"/>
  <c r="V448" i="17"/>
  <c r="V447" i="17"/>
  <c r="V450" i="17"/>
  <c r="V482" i="15"/>
  <c r="V481" i="15"/>
  <c r="V334" i="17"/>
  <c r="V355" i="15"/>
  <c r="V328" i="17"/>
  <c r="V348" i="15"/>
  <c r="V258" i="17"/>
  <c r="V271" i="15"/>
  <c r="V224" i="17"/>
  <c r="V227" i="17"/>
  <c r="V236" i="15"/>
  <c r="V169" i="17"/>
  <c r="V180" i="15"/>
  <c r="V157" i="17"/>
  <c r="V152" i="15"/>
  <c r="V137" i="17"/>
  <c r="V145" i="15"/>
  <c r="V91" i="17"/>
  <c r="V96" i="15"/>
  <c r="V85" i="17"/>
  <c r="V89" i="15"/>
  <c r="V56" i="17"/>
  <c r="V55" i="17"/>
  <c r="V57" i="17"/>
  <c r="V60" i="17"/>
  <c r="V61" i="15"/>
  <c r="V37" i="17"/>
  <c r="V41" i="15"/>
  <c r="V17" i="17"/>
  <c r="V16" i="17"/>
  <c r="V19" i="17"/>
  <c r="V21" i="15"/>
  <c r="V20" i="15"/>
  <c r="V905" i="17"/>
  <c r="V904" i="17"/>
  <c r="V908" i="17"/>
  <c r="V907" i="17"/>
  <c r="V999" i="15"/>
  <c r="V1000" i="15"/>
  <c r="V930" i="17"/>
  <c r="V924" i="17"/>
  <c r="V926" i="17"/>
  <c r="V929" i="17"/>
  <c r="V1022" i="15"/>
  <c r="V1020" i="15"/>
  <c r="V846" i="17"/>
  <c r="V922" i="15"/>
  <c r="U898" i="17"/>
  <c r="U902" i="17"/>
  <c r="U995" i="15"/>
  <c r="U992" i="15"/>
  <c r="V308" i="17"/>
  <c r="V310" i="17"/>
  <c r="V328" i="15"/>
  <c r="V327" i="15"/>
  <c r="V618" i="17"/>
  <c r="V663" i="15"/>
  <c r="V405" i="17"/>
  <c r="V400" i="17"/>
  <c r="V403" i="17"/>
  <c r="V402" i="17"/>
  <c r="V404" i="17"/>
  <c r="V432" i="15"/>
  <c r="AJ1014" i="24"/>
  <c r="V366" i="17"/>
  <c r="V390" i="15"/>
  <c r="V357" i="17"/>
  <c r="V384" i="15"/>
  <c r="V125" i="17"/>
  <c r="V131" i="15"/>
  <c r="V53" i="17"/>
  <c r="V54" i="15"/>
  <c r="V25" i="17"/>
  <c r="V26" i="15"/>
  <c r="V942" i="17"/>
  <c r="V1034" i="15"/>
  <c r="V915" i="17"/>
  <c r="V1006" i="15"/>
  <c r="V890" i="17"/>
  <c r="V971" i="15"/>
  <c r="V861" i="17"/>
  <c r="V860" i="17"/>
  <c r="V864" i="17"/>
  <c r="V862" i="17"/>
  <c r="V865" i="17"/>
  <c r="O727" i="18"/>
  <c r="O731" i="18"/>
  <c r="V943" i="15"/>
  <c r="V839" i="17"/>
  <c r="V833" i="17"/>
  <c r="V832" i="17"/>
  <c r="V835" i="17"/>
  <c r="V834" i="17"/>
  <c r="V838" i="17"/>
  <c r="V916" i="15"/>
  <c r="V915" i="15"/>
  <c r="V765" i="17"/>
  <c r="V764" i="17"/>
  <c r="V766" i="17"/>
  <c r="V831" i="15"/>
  <c r="V729" i="17"/>
  <c r="V789" i="15"/>
  <c r="V710" i="17"/>
  <c r="V761" i="15"/>
  <c r="V698" i="17"/>
  <c r="V697" i="17"/>
  <c r="V690" i="17"/>
  <c r="V695" i="17"/>
  <c r="V668" i="17"/>
  <c r="V670" i="17"/>
  <c r="V671" i="17"/>
  <c r="V719" i="15"/>
  <c r="V651" i="17"/>
  <c r="V649" i="17"/>
  <c r="V652" i="17"/>
  <c r="V698" i="15"/>
  <c r="V591" i="17"/>
  <c r="V593" i="17"/>
  <c r="V635" i="15"/>
  <c r="V560" i="17"/>
  <c r="V561" i="17"/>
  <c r="V600" i="15"/>
  <c r="V553" i="17"/>
  <c r="V555" i="17"/>
  <c r="V593" i="15"/>
  <c r="V483" i="17"/>
  <c r="V516" i="15"/>
  <c r="V476" i="17"/>
  <c r="V477" i="17"/>
  <c r="V509" i="15"/>
  <c r="V464" i="17"/>
  <c r="V495" i="15"/>
  <c r="V423" i="17"/>
  <c r="V455" i="15"/>
  <c r="V453" i="15"/>
  <c r="V352" i="17"/>
  <c r="V376" i="15"/>
  <c r="V345" i="17"/>
  <c r="V346" i="17"/>
  <c r="V369" i="15"/>
  <c r="V321" i="17"/>
  <c r="V322" i="17"/>
  <c r="V341" i="15"/>
  <c r="V288" i="17"/>
  <c r="V287" i="17"/>
  <c r="V290" i="17"/>
  <c r="V289" i="17"/>
  <c r="V291" i="17"/>
  <c r="V306" i="15"/>
  <c r="V189" i="17"/>
  <c r="V188" i="17"/>
  <c r="V192" i="17"/>
  <c r="V191" i="17"/>
  <c r="V190" i="17"/>
  <c r="V193" i="17"/>
  <c r="V201" i="15"/>
  <c r="V202" i="15"/>
  <c r="V12" i="17"/>
  <c r="V12" i="15"/>
  <c r="V281" i="17"/>
  <c r="V283" i="17"/>
  <c r="V282" i="17"/>
  <c r="V285" i="17"/>
  <c r="V301" i="15"/>
  <c r="V300" i="15"/>
  <c r="V276" i="17"/>
  <c r="V275" i="17"/>
  <c r="V293" i="15"/>
  <c r="V292" i="15"/>
  <c r="V238" i="17"/>
  <c r="V240" i="17"/>
  <c r="V251" i="15"/>
  <c r="V250" i="15"/>
  <c r="V77" i="17"/>
  <c r="V79" i="17"/>
  <c r="V82" i="15"/>
  <c r="V34" i="17"/>
  <c r="V33" i="17"/>
  <c r="V38" i="17"/>
  <c r="V36" i="17"/>
  <c r="V40" i="17"/>
  <c r="V40" i="15"/>
  <c r="V42" i="15"/>
  <c r="U355" i="17"/>
  <c r="U354" i="17"/>
  <c r="U356" i="17"/>
  <c r="U359" i="17"/>
  <c r="U383" i="15"/>
  <c r="V574" i="17"/>
  <c r="V572" i="17"/>
  <c r="V615" i="15"/>
  <c r="V614" i="15"/>
  <c r="V244" i="17"/>
  <c r="V246" i="17"/>
  <c r="V257" i="15"/>
  <c r="V858" i="17"/>
  <c r="V936" i="15"/>
  <c r="V829" i="17"/>
  <c r="V827" i="17"/>
  <c r="V830" i="17"/>
  <c r="V908" i="15"/>
  <c r="V784" i="17"/>
  <c r="V859" i="15"/>
  <c r="V539" i="17"/>
  <c r="V538" i="17"/>
  <c r="V541" i="17"/>
  <c r="V540" i="17"/>
  <c r="V542" i="17"/>
  <c r="O457" i="18"/>
  <c r="O454" i="18"/>
  <c r="V579" i="15"/>
  <c r="V273" i="17"/>
  <c r="V277" i="17"/>
  <c r="V278" i="17"/>
  <c r="O230" i="18"/>
  <c r="O227" i="18"/>
  <c r="V741" i="17"/>
  <c r="H620" i="18"/>
  <c r="O620" i="18" s="1"/>
  <c r="V803" i="15"/>
  <c r="V530" i="17"/>
  <c r="V565" i="15"/>
  <c r="V408" i="17"/>
  <c r="V410" i="17"/>
  <c r="V439" i="15"/>
  <c r="V378" i="17"/>
  <c r="V404" i="15"/>
  <c r="V211" i="17"/>
  <c r="V222" i="15"/>
  <c r="V682" i="17"/>
  <c r="V685" i="17"/>
  <c r="V683" i="17"/>
  <c r="V686" i="17"/>
  <c r="V736" i="15"/>
  <c r="V733" i="15"/>
  <c r="V297" i="17"/>
  <c r="V313" i="15"/>
  <c r="V73" i="17"/>
  <c r="V75" i="15"/>
  <c r="V884" i="17"/>
  <c r="V964" i="15"/>
  <c r="V869" i="17"/>
  <c r="V872" i="17"/>
  <c r="V952" i="15"/>
  <c r="V950" i="15"/>
  <c r="V852" i="17"/>
  <c r="V929" i="15"/>
  <c r="V772" i="17"/>
  <c r="V838" i="15"/>
  <c r="V661" i="17"/>
  <c r="V660" i="17"/>
  <c r="V664" i="17"/>
  <c r="V665" i="17"/>
  <c r="V712" i="15"/>
  <c r="V658" i="17"/>
  <c r="V705" i="15"/>
  <c r="V608" i="17"/>
  <c r="V610" i="17"/>
  <c r="V609" i="17"/>
  <c r="V612" i="17"/>
  <c r="V656" i="15"/>
  <c r="V657" i="15"/>
  <c r="V567" i="17"/>
  <c r="V607" i="15"/>
  <c r="V416" i="17"/>
  <c r="V446" i="15"/>
  <c r="V115" i="17"/>
  <c r="V114" i="17"/>
  <c r="V118" i="17"/>
  <c r="V117" i="17"/>
  <c r="V116" i="17"/>
  <c r="V119" i="17"/>
  <c r="V124" i="15"/>
  <c r="V125" i="15"/>
  <c r="V104" i="17"/>
  <c r="V103" i="17"/>
  <c r="V105" i="17"/>
  <c r="V111" i="15"/>
  <c r="V110" i="15"/>
  <c r="V47" i="17"/>
  <c r="V47" i="15"/>
  <c r="Q1020" i="15"/>
  <c r="Q1021" i="15"/>
  <c r="Q999" i="15"/>
  <c r="Q1000" i="15"/>
  <c r="Q684" i="15"/>
  <c r="Q685" i="15"/>
  <c r="Q908" i="15"/>
  <c r="Q909" i="15"/>
  <c r="Q327" i="15"/>
  <c r="Q328" i="15"/>
  <c r="Q733" i="15"/>
  <c r="Q734" i="15"/>
  <c r="Q712" i="15"/>
  <c r="Q713" i="15"/>
  <c r="Q656" i="15"/>
  <c r="Q657" i="15"/>
  <c r="Q614" i="15"/>
  <c r="Q615" i="15"/>
  <c r="Q502" i="15"/>
  <c r="Q503" i="15"/>
  <c r="Q488" i="15"/>
  <c r="Q489" i="15"/>
  <c r="Q481" i="15"/>
  <c r="Q482" i="15"/>
  <c r="Q460" i="15"/>
  <c r="Q461" i="15"/>
  <c r="Q292" i="15"/>
  <c r="Q293" i="15"/>
  <c r="Q236" i="15"/>
  <c r="Q237" i="15"/>
  <c r="Q103" i="15"/>
  <c r="Q104" i="15"/>
  <c r="Q61" i="15"/>
  <c r="Q62" i="15"/>
  <c r="Q19" i="15"/>
  <c r="Q20" i="15"/>
  <c r="R1041" i="15"/>
  <c r="R1042" i="15"/>
  <c r="R1027" i="15"/>
  <c r="R1028" i="15"/>
  <c r="R1021" i="15"/>
  <c r="R1013" i="15"/>
  <c r="R1014" i="15"/>
  <c r="R999" i="15"/>
  <c r="R1000" i="15"/>
  <c r="R684" i="15"/>
  <c r="R685" i="15"/>
  <c r="R908" i="15"/>
  <c r="R909" i="15"/>
  <c r="R327" i="15"/>
  <c r="R328" i="15"/>
  <c r="R887" i="15"/>
  <c r="R888" i="15"/>
  <c r="R733" i="15"/>
  <c r="R734" i="15"/>
  <c r="R726" i="15"/>
  <c r="R727" i="15"/>
  <c r="R712" i="15"/>
  <c r="R713" i="15"/>
  <c r="R691" i="15"/>
  <c r="R692" i="15"/>
  <c r="R656" i="15"/>
  <c r="R657" i="15"/>
  <c r="R614" i="15"/>
  <c r="R615" i="15"/>
  <c r="R587" i="15"/>
  <c r="R586" i="15"/>
  <c r="R502" i="15"/>
  <c r="R503" i="15"/>
  <c r="R495" i="15"/>
  <c r="R496" i="15"/>
  <c r="R488" i="15"/>
  <c r="R489" i="15"/>
  <c r="R481" i="15"/>
  <c r="R482" i="15"/>
  <c r="R460" i="15"/>
  <c r="R461" i="15"/>
  <c r="R418" i="15"/>
  <c r="R419" i="15"/>
  <c r="R383" i="15"/>
  <c r="R384" i="15"/>
  <c r="R299" i="15"/>
  <c r="R300" i="15"/>
  <c r="R292" i="15"/>
  <c r="R293" i="15"/>
  <c r="R229" i="15"/>
  <c r="R230" i="15"/>
  <c r="R188" i="15"/>
  <c r="R187" i="15"/>
  <c r="R166" i="15"/>
  <c r="R167" i="15"/>
  <c r="R125" i="15"/>
  <c r="R124" i="15"/>
  <c r="R110" i="15"/>
  <c r="R111" i="15"/>
  <c r="R103" i="15"/>
  <c r="R104" i="15"/>
  <c r="R61" i="15"/>
  <c r="R62" i="15"/>
  <c r="R47" i="15"/>
  <c r="R48" i="15"/>
  <c r="R41" i="15"/>
  <c r="R40" i="15"/>
  <c r="R19" i="15"/>
  <c r="R20" i="15"/>
  <c r="S1041" i="15"/>
  <c r="S1042" i="15"/>
  <c r="S1027" i="15"/>
  <c r="S1028" i="15"/>
  <c r="S1020" i="15"/>
  <c r="S1021" i="15"/>
  <c r="S1013" i="15"/>
  <c r="S1014" i="15"/>
  <c r="S999" i="15"/>
  <c r="S1000" i="15"/>
  <c r="S684" i="15"/>
  <c r="S685" i="15"/>
  <c r="S915" i="15"/>
  <c r="S916" i="15"/>
  <c r="S327" i="15"/>
  <c r="S328" i="15"/>
  <c r="S887" i="15"/>
  <c r="S888" i="15"/>
  <c r="S747" i="15"/>
  <c r="S748" i="15"/>
  <c r="S740" i="15"/>
  <c r="S741" i="15"/>
  <c r="S733" i="15"/>
  <c r="S734" i="15"/>
  <c r="S726" i="15"/>
  <c r="S727" i="15"/>
  <c r="S712" i="15"/>
  <c r="S713" i="15"/>
  <c r="S691" i="15"/>
  <c r="S692" i="15"/>
  <c r="S656" i="15"/>
  <c r="S657" i="15"/>
  <c r="S614" i="15"/>
  <c r="S615" i="15"/>
  <c r="S587" i="15"/>
  <c r="S586" i="15"/>
  <c r="S502" i="15"/>
  <c r="S503" i="15"/>
  <c r="S495" i="15"/>
  <c r="S496" i="15"/>
  <c r="S481" i="15"/>
  <c r="S482" i="15"/>
  <c r="S460" i="15"/>
  <c r="S461" i="15"/>
  <c r="S418" i="15"/>
  <c r="S419" i="15"/>
  <c r="S383" i="15"/>
  <c r="S384" i="15"/>
  <c r="S299" i="15"/>
  <c r="S300" i="15"/>
  <c r="S292" i="15"/>
  <c r="S293" i="15"/>
  <c r="S229" i="15"/>
  <c r="S230" i="15"/>
  <c r="S201" i="15"/>
  <c r="S202" i="15"/>
  <c r="S188" i="15"/>
  <c r="S187" i="15"/>
  <c r="S166" i="15"/>
  <c r="S167" i="15"/>
  <c r="S125" i="15"/>
  <c r="S124" i="15"/>
  <c r="S110" i="15"/>
  <c r="S111" i="15"/>
  <c r="S61" i="15"/>
  <c r="S62" i="15"/>
  <c r="S47" i="15"/>
  <c r="S48" i="15"/>
  <c r="S19" i="15"/>
  <c r="S20" i="15"/>
  <c r="T1041" i="15"/>
  <c r="T1042" i="15"/>
  <c r="T1027" i="15"/>
  <c r="T1028" i="15"/>
  <c r="T1020" i="15"/>
  <c r="T1021" i="15"/>
  <c r="T1013" i="15"/>
  <c r="T1014" i="15"/>
  <c r="T684" i="15"/>
  <c r="T685" i="15"/>
  <c r="T327" i="15"/>
  <c r="T328" i="15"/>
  <c r="T887" i="15"/>
  <c r="T888" i="15"/>
  <c r="T873" i="15"/>
  <c r="T874" i="15"/>
  <c r="T866" i="15"/>
  <c r="T867" i="15"/>
  <c r="T740" i="15"/>
  <c r="T741" i="15"/>
  <c r="T733" i="15"/>
  <c r="T734" i="15"/>
  <c r="T726" i="15"/>
  <c r="T727" i="15"/>
  <c r="T712" i="15"/>
  <c r="T691" i="15"/>
  <c r="T692" i="15"/>
  <c r="T656" i="15"/>
  <c r="T657" i="15"/>
  <c r="T614" i="15"/>
  <c r="T615" i="15"/>
  <c r="T502" i="15"/>
  <c r="T503" i="15"/>
  <c r="T495" i="15"/>
  <c r="T496" i="15"/>
  <c r="T481" i="15"/>
  <c r="T482" i="15"/>
  <c r="T460" i="15"/>
  <c r="T461" i="15"/>
  <c r="T453" i="15"/>
  <c r="T454" i="15"/>
  <c r="T425" i="15"/>
  <c r="T426" i="15"/>
  <c r="T418" i="15"/>
  <c r="T419" i="15"/>
  <c r="T383" i="15"/>
  <c r="T384" i="15"/>
  <c r="T355" i="15"/>
  <c r="T356" i="15"/>
  <c r="T299" i="15"/>
  <c r="T300" i="15"/>
  <c r="T292" i="15"/>
  <c r="T293" i="15"/>
  <c r="T285" i="15"/>
  <c r="T286" i="15"/>
  <c r="T250" i="15"/>
  <c r="T251" i="15"/>
  <c r="T229" i="15"/>
  <c r="T230" i="15"/>
  <c r="T188" i="15"/>
  <c r="T187" i="15"/>
  <c r="T166" i="15"/>
  <c r="T167" i="15"/>
  <c r="T125" i="15"/>
  <c r="T124" i="15"/>
  <c r="T111" i="15"/>
  <c r="T68" i="15"/>
  <c r="T69" i="15"/>
  <c r="T61" i="15"/>
  <c r="T62" i="15"/>
  <c r="T47" i="15"/>
  <c r="T48" i="15"/>
  <c r="T41" i="15"/>
  <c r="T40" i="15"/>
  <c r="T19" i="15"/>
  <c r="T20" i="15"/>
  <c r="U1041" i="15"/>
  <c r="U1042" i="15"/>
  <c r="U1027" i="15"/>
  <c r="U1028" i="15"/>
  <c r="U1020" i="15"/>
  <c r="U1021" i="15"/>
  <c r="U999" i="15"/>
  <c r="U1000" i="15"/>
  <c r="U327" i="15"/>
  <c r="U328" i="15"/>
  <c r="U887" i="15"/>
  <c r="U888" i="15"/>
  <c r="U866" i="15"/>
  <c r="U867" i="15"/>
  <c r="U741" i="15"/>
  <c r="U733" i="15"/>
  <c r="U734" i="15"/>
  <c r="U726" i="15"/>
  <c r="U727" i="15"/>
  <c r="U712" i="15"/>
  <c r="U691" i="15"/>
  <c r="U692" i="15"/>
  <c r="U656" i="15"/>
  <c r="U657" i="15"/>
  <c r="U614" i="15"/>
  <c r="U615" i="15"/>
  <c r="U502" i="15"/>
  <c r="U503" i="15"/>
  <c r="U495" i="15"/>
  <c r="U496" i="15"/>
  <c r="U481" i="15"/>
  <c r="U482" i="15"/>
  <c r="U461" i="15"/>
  <c r="U418" i="15"/>
  <c r="U419" i="15"/>
  <c r="U299" i="15"/>
  <c r="U300" i="15"/>
  <c r="U292" i="15"/>
  <c r="U293" i="15"/>
  <c r="U285" i="15"/>
  <c r="U286" i="15"/>
  <c r="U250" i="15"/>
  <c r="U251" i="15"/>
  <c r="U201" i="15"/>
  <c r="U202" i="15"/>
  <c r="U188" i="15"/>
  <c r="U187" i="15"/>
  <c r="U125" i="15"/>
  <c r="U124" i="15"/>
  <c r="U110" i="15"/>
  <c r="U111" i="15"/>
  <c r="U68" i="15"/>
  <c r="U69" i="15"/>
  <c r="U61" i="15"/>
  <c r="U62" i="15"/>
  <c r="U47" i="15"/>
  <c r="U48" i="15"/>
  <c r="U41" i="15"/>
  <c r="U40" i="15"/>
  <c r="U20" i="15"/>
  <c r="U19" i="15"/>
  <c r="V1041" i="15"/>
  <c r="V1042" i="15"/>
  <c r="V887" i="15"/>
  <c r="V888" i="15"/>
  <c r="V726" i="15"/>
  <c r="V727" i="15"/>
  <c r="V691" i="15"/>
  <c r="V692" i="15"/>
  <c r="V460" i="15"/>
  <c r="V461" i="15"/>
  <c r="V418" i="15"/>
  <c r="V419" i="15"/>
  <c r="V285" i="15"/>
  <c r="V286" i="15"/>
  <c r="V188" i="15"/>
  <c r="V187" i="15"/>
  <c r="V166" i="15"/>
  <c r="V167" i="15"/>
  <c r="U445" i="17"/>
  <c r="U449" i="17"/>
  <c r="U448" i="17"/>
  <c r="U447" i="17"/>
  <c r="U450" i="17"/>
  <c r="T445" i="17"/>
  <c r="T449" i="17"/>
  <c r="T448" i="17"/>
  <c r="T447" i="17"/>
  <c r="T450" i="17"/>
  <c r="V504" i="17"/>
  <c r="V508" i="17"/>
  <c r="V507" i="17"/>
  <c r="V510" i="17"/>
  <c r="V546" i="15"/>
  <c r="V544" i="15"/>
  <c r="V487" i="17"/>
  <c r="V489" i="17"/>
  <c r="V523" i="15"/>
  <c r="V457" i="17"/>
  <c r="V488" i="15"/>
  <c r="V428" i="17"/>
  <c r="V427" i="17"/>
  <c r="V430" i="17"/>
  <c r="V462" i="15"/>
  <c r="V389" i="17"/>
  <c r="V388" i="17"/>
  <c r="V391" i="17"/>
  <c r="V340" i="17"/>
  <c r="V362" i="15"/>
  <c r="V177" i="17"/>
  <c r="V172" i="17"/>
  <c r="V171" i="17"/>
  <c r="V175" i="17"/>
  <c r="V174" i="17"/>
  <c r="V173" i="17"/>
  <c r="V176" i="17"/>
  <c r="V189" i="15"/>
  <c r="V149" i="17"/>
  <c r="V148" i="17"/>
  <c r="V151" i="17"/>
  <c r="V131" i="17"/>
  <c r="V138" i="15"/>
  <c r="AI736" i="24"/>
  <c r="AI521" i="24"/>
  <c r="AI1799" i="24"/>
  <c r="AI2063" i="24"/>
  <c r="AI790" i="24"/>
  <c r="AI1891" i="24"/>
  <c r="AI1404" i="24"/>
  <c r="AI2085" i="24"/>
  <c r="AI290" i="24"/>
  <c r="AI2390" i="24"/>
  <c r="AI2330" i="24"/>
  <c r="AI130" i="24"/>
  <c r="AI485" i="24"/>
  <c r="AI886" i="24"/>
  <c r="AI810" i="24"/>
  <c r="AI1517" i="24"/>
  <c r="AI761" i="24"/>
  <c r="AI2459" i="24"/>
  <c r="AI1685" i="24"/>
  <c r="AI36" i="24"/>
  <c r="AI1922" i="24"/>
  <c r="AI1377" i="24"/>
  <c r="AI108" i="24"/>
  <c r="AI1743" i="24"/>
  <c r="AI544" i="24"/>
  <c r="AI957" i="24"/>
  <c r="AI1584" i="24"/>
  <c r="AI1267" i="24"/>
  <c r="AI938" i="24"/>
  <c r="AI2474" i="24"/>
  <c r="AI417" i="24"/>
  <c r="AI2311" i="24"/>
  <c r="AI1642" i="24"/>
  <c r="AI2015" i="24"/>
  <c r="AI1142" i="24"/>
  <c r="AI734" i="24"/>
  <c r="AI519" i="24"/>
  <c r="AI317" i="24"/>
  <c r="AI1797" i="24"/>
  <c r="AI2234" i="24"/>
  <c r="AI1300" i="24"/>
  <c r="AI2059" i="24"/>
  <c r="AI1122" i="24"/>
  <c r="AI1889" i="24"/>
  <c r="AI2521" i="24"/>
  <c r="AI1159" i="24"/>
  <c r="AI1402" i="24"/>
  <c r="AI288" i="24"/>
  <c r="AI1173" i="24"/>
  <c r="AI788" i="24"/>
  <c r="AI478" i="24"/>
  <c r="AI188" i="24"/>
  <c r="AI1582" i="24"/>
  <c r="AI2328" i="24"/>
  <c r="AI34" i="24"/>
  <c r="AI884" i="24"/>
  <c r="AI2082" i="24"/>
  <c r="AI1681" i="24"/>
  <c r="AI128" i="24"/>
  <c r="AI2117" i="24"/>
  <c r="AI154" i="24"/>
  <c r="AI62" i="24"/>
  <c r="AI1507" i="24"/>
  <c r="AI2457" i="24"/>
  <c r="AI759" i="24"/>
  <c r="AI805" i="24"/>
  <c r="AI670" i="24"/>
  <c r="AI1563" i="24"/>
  <c r="AI1920" i="24"/>
  <c r="AI1334" i="24"/>
  <c r="AI850" i="24"/>
  <c r="AI2388" i="24"/>
  <c r="AI1949" i="24"/>
  <c r="AI1839" i="24"/>
  <c r="AI106" i="24"/>
  <c r="AI1375" i="24"/>
  <c r="AI1741" i="24"/>
  <c r="AI171" i="24"/>
  <c r="AI13" i="24"/>
  <c r="AI204" i="24"/>
  <c r="AI2264" i="24"/>
  <c r="AI954" i="24"/>
  <c r="AI541" i="24"/>
  <c r="AI708" i="24"/>
  <c r="AI1996" i="24"/>
  <c r="AI1548" i="24"/>
  <c r="AI1813" i="24"/>
  <c r="AI646" i="24"/>
  <c r="AI2542" i="24"/>
  <c r="AI1417" i="24"/>
  <c r="AI1279" i="24"/>
  <c r="AI142" i="24"/>
  <c r="AI1962" i="24"/>
  <c r="AI936" i="24"/>
  <c r="AI1360" i="24"/>
  <c r="AI971" i="24"/>
  <c r="AI2295" i="24"/>
  <c r="AI1061" i="24"/>
  <c r="AI2580" i="24"/>
  <c r="AI2472" i="24"/>
  <c r="AI1531" i="24"/>
  <c r="AI1265" i="24"/>
  <c r="AI220" i="24"/>
  <c r="AI1977" i="24"/>
  <c r="AI443" i="24"/>
  <c r="AI2419" i="24"/>
  <c r="AI78" i="24"/>
  <c r="AI236" i="24"/>
  <c r="AI252" i="24"/>
  <c r="AI2492" i="24"/>
  <c r="AI2309" i="24"/>
  <c r="AI415" i="24"/>
  <c r="AI587" i="24"/>
  <c r="AI2281" i="24"/>
  <c r="AI1077" i="24"/>
  <c r="AI1640" i="24"/>
  <c r="AI2013" i="24"/>
  <c r="AI518" i="24"/>
  <c r="AI316" i="24"/>
  <c r="AI2233" i="24"/>
  <c r="AI1474" i="24"/>
  <c r="AI1299" i="24"/>
  <c r="AI1121" i="24"/>
  <c r="AI1158" i="24"/>
  <c r="AI1401" i="24"/>
  <c r="AI2058" i="24"/>
  <c r="AI1888" i="24"/>
  <c r="AI2520" i="24"/>
  <c r="AI2081" i="24"/>
  <c r="AI477" i="24"/>
  <c r="AI1796" i="24"/>
  <c r="AI1172" i="24"/>
  <c r="AI2327" i="24"/>
  <c r="AI33" i="24"/>
  <c r="AI785" i="24"/>
  <c r="AI61" i="24"/>
  <c r="AI127" i="24"/>
  <c r="AI883" i="24"/>
  <c r="AI153" i="24"/>
  <c r="AI669" i="24"/>
  <c r="AI1810" i="24"/>
  <c r="AI397" i="24"/>
  <c r="AI1359" i="24"/>
  <c r="AI758" i="24"/>
  <c r="AI187" i="24"/>
  <c r="AI1506" i="24"/>
  <c r="AI707" i="24"/>
  <c r="AI1333" i="24"/>
  <c r="AI2456" i="24"/>
  <c r="AI803" i="24"/>
  <c r="AI1562" i="24"/>
  <c r="AI1919" i="24"/>
  <c r="AI1374" i="24"/>
  <c r="AI1581" i="24"/>
  <c r="AI1838" i="24"/>
  <c r="AI1680" i="24"/>
  <c r="AI1740" i="24"/>
  <c r="AI170" i="24"/>
  <c r="AI12" i="24"/>
  <c r="AI2263" i="24"/>
  <c r="AI953" i="24"/>
  <c r="AI1278" i="24"/>
  <c r="AI935" i="24"/>
  <c r="AI77" i="24"/>
  <c r="AI2387" i="24"/>
  <c r="AI1416" i="24"/>
  <c r="AI2541" i="24"/>
  <c r="AI1547" i="24"/>
  <c r="AI1995" i="24"/>
  <c r="AI2471" i="24"/>
  <c r="AI645" i="24"/>
  <c r="AI2294" i="24"/>
  <c r="AI2579" i="24"/>
  <c r="AI1264" i="24"/>
  <c r="AI1961" i="24"/>
  <c r="AI219" i="24"/>
  <c r="AI442" i="24"/>
  <c r="AI2418" i="24"/>
  <c r="AI2308" i="24"/>
  <c r="AI821" i="24"/>
  <c r="AI414" i="24"/>
  <c r="AI586" i="24"/>
  <c r="AI2280" i="24"/>
  <c r="AI1141" i="24"/>
  <c r="AI2010" i="24"/>
  <c r="AI1140" i="24"/>
  <c r="AI731" i="24"/>
  <c r="AI517" i="24"/>
  <c r="AI314" i="24"/>
  <c r="AI2232" i="24"/>
  <c r="AI1298" i="24"/>
  <c r="AI1473" i="24"/>
  <c r="AI1015" i="24"/>
  <c r="AI1795" i="24"/>
  <c r="AI152" i="24"/>
  <c r="AI2057" i="24"/>
  <c r="AI1119" i="24"/>
  <c r="AI1886" i="24"/>
  <c r="AI1157" i="24"/>
  <c r="AI1400" i="24"/>
  <c r="AI2079" i="24"/>
  <c r="AI286" i="24"/>
  <c r="AI757" i="24"/>
  <c r="AI2518" i="24"/>
  <c r="AI31" i="24"/>
  <c r="AI476" i="24"/>
  <c r="AI1580" i="24"/>
  <c r="AI1331" i="24"/>
  <c r="AI185" i="24"/>
  <c r="AI882" i="24"/>
  <c r="AI1171" i="24"/>
  <c r="AI2386" i="24"/>
  <c r="AI1837" i="24"/>
  <c r="AI1678" i="24"/>
  <c r="AI1918" i="24"/>
  <c r="AI802" i="24"/>
  <c r="AI329" i="24"/>
  <c r="AI1560" i="24"/>
  <c r="AI667" i="24"/>
  <c r="AI1505" i="24"/>
  <c r="AI2455" i="24"/>
  <c r="AI396" i="24"/>
  <c r="AI169" i="24"/>
  <c r="AI126" i="24"/>
  <c r="AI706" i="24"/>
  <c r="AI897" i="24"/>
  <c r="AI1314" i="24"/>
  <c r="AI865" i="24"/>
  <c r="AI1372" i="24"/>
  <c r="AI1960" i="24"/>
  <c r="AI783" i="24"/>
  <c r="AI1739" i="24"/>
  <c r="AI201" i="24"/>
  <c r="AI103" i="24"/>
  <c r="AI848" i="24"/>
  <c r="AI1994" i="24"/>
  <c r="AI11" i="24"/>
  <c r="AI934" i="24"/>
  <c r="AI952" i="24"/>
  <c r="AI1545" i="24"/>
  <c r="AI2416" i="24"/>
  <c r="AI1415" i="24"/>
  <c r="AI2540" i="24"/>
  <c r="AI1808" i="24"/>
  <c r="AI2293" i="24"/>
  <c r="AI1075" i="24"/>
  <c r="AI644" i="24"/>
  <c r="AI1529" i="24"/>
  <c r="AI2469" i="24"/>
  <c r="AI2578" i="24"/>
  <c r="AI1780" i="24"/>
  <c r="AI1948" i="24"/>
  <c r="AI1975" i="24"/>
  <c r="AI1358" i="24"/>
  <c r="AI539" i="24"/>
  <c r="AI969" i="24"/>
  <c r="AI440" i="24"/>
  <c r="AI1263" i="24"/>
  <c r="AI75" i="24"/>
  <c r="AI233" i="24"/>
  <c r="AI218" i="24"/>
  <c r="AI820" i="24"/>
  <c r="AI2306" i="24"/>
  <c r="AI140" i="24"/>
  <c r="AI250" i="24"/>
  <c r="AI412" i="24"/>
  <c r="AI585" i="24"/>
  <c r="AI2278" i="24"/>
  <c r="AI1639" i="24"/>
  <c r="AI2555" i="24"/>
  <c r="AI1993" i="24"/>
  <c r="AI847" i="24"/>
  <c r="AI2554" i="24"/>
  <c r="AI516" i="24"/>
  <c r="AI59" i="24"/>
  <c r="AI1261" i="24"/>
  <c r="AI1947" i="24"/>
  <c r="AI1371" i="24"/>
  <c r="AI1917" i="24"/>
  <c r="AI968" i="24"/>
  <c r="AI1885" i="24"/>
  <c r="AI1074" i="24"/>
  <c r="AI2292" i="24"/>
  <c r="AI439" i="24"/>
  <c r="AI1504" i="24"/>
  <c r="AI2577" i="24"/>
  <c r="AI2034" i="24"/>
  <c r="AI2009" i="24"/>
  <c r="AI512" i="24"/>
  <c r="AI949" i="24"/>
  <c r="AI846" i="24"/>
  <c r="AI58" i="24"/>
  <c r="AI1543" i="24"/>
  <c r="AI1807" i="24"/>
  <c r="AI1916" i="24"/>
  <c r="AI1329" i="24"/>
  <c r="AI780" i="24"/>
  <c r="AI2553" i="24"/>
  <c r="AI1259" i="24"/>
  <c r="AI392" i="24"/>
  <c r="AI1946" i="24"/>
  <c r="AI9" i="24"/>
  <c r="AI1370" i="24"/>
  <c r="AI2414" i="24"/>
  <c r="AI122" i="24"/>
  <c r="AI2538" i="24"/>
  <c r="AI2385" i="24"/>
  <c r="AI967" i="24"/>
  <c r="AI1882" i="24"/>
  <c r="AI1577" i="24"/>
  <c r="AI1073" i="24"/>
  <c r="AI2291" i="24"/>
  <c r="AI1356" i="24"/>
  <c r="AI438" i="24"/>
  <c r="AI932" i="24"/>
  <c r="AI231" i="24"/>
  <c r="AI1834" i="24"/>
  <c r="AI2574" i="24"/>
  <c r="AI1312" i="24"/>
  <c r="AI2005" i="24"/>
  <c r="AI729" i="24"/>
  <c r="AI302" i="24"/>
  <c r="AI502" i="24"/>
  <c r="AI2194" i="24"/>
  <c r="AI1794" i="24"/>
  <c r="AI1468" i="24"/>
  <c r="AI1291" i="24"/>
  <c r="AI1874" i="24"/>
  <c r="AI1103" i="24"/>
  <c r="AI2228" i="24"/>
  <c r="AI1135" i="24"/>
  <c r="AI703" i="24"/>
  <c r="AI264" i="24"/>
  <c r="AI1152" i="24"/>
  <c r="AI119" i="24"/>
  <c r="AI2051" i="24"/>
  <c r="AI844" i="24"/>
  <c r="AI1168" i="24"/>
  <c r="AI2511" i="24"/>
  <c r="AI877" i="24"/>
  <c r="AI748" i="24"/>
  <c r="AI1327" i="24"/>
  <c r="AI461" i="24"/>
  <c r="AI151" i="24"/>
  <c r="AI56" i="24"/>
  <c r="AI1392" i="24"/>
  <c r="AI283" i="24"/>
  <c r="AI180" i="24"/>
  <c r="AI1575" i="24"/>
  <c r="AI1913" i="24"/>
  <c r="AI328" i="24"/>
  <c r="AI26" i="24"/>
  <c r="AI2451" i="24"/>
  <c r="AI1490" i="24"/>
  <c r="AI1669" i="24"/>
  <c r="AI1274" i="24"/>
  <c r="AI2072" i="24"/>
  <c r="AI390" i="24"/>
  <c r="AI2128" i="24"/>
  <c r="AI2384" i="24"/>
  <c r="AI1557" i="24"/>
  <c r="AI1827" i="24"/>
  <c r="AI1087" i="24"/>
  <c r="AI2111" i="24"/>
  <c r="AI1013" i="24"/>
  <c r="AI1311" i="24"/>
  <c r="AI661" i="24"/>
  <c r="AI2248" i="24"/>
  <c r="AI93" i="24"/>
  <c r="AI799" i="24"/>
  <c r="AI1369" i="24"/>
  <c r="AI930" i="24"/>
  <c r="AI1541" i="24"/>
  <c r="AI775" i="24"/>
  <c r="AI2537" i="24"/>
  <c r="AI1931" i="24"/>
  <c r="AI861" i="24"/>
  <c r="AI948" i="24"/>
  <c r="AI817" i="24"/>
  <c r="AI1957" i="24"/>
  <c r="AI982" i="24"/>
  <c r="AI198" i="24"/>
  <c r="AI8" i="24"/>
  <c r="AI533" i="24"/>
  <c r="AI1353" i="24"/>
  <c r="AI1806" i="24"/>
  <c r="AI1990" i="24"/>
  <c r="AI1733" i="24"/>
  <c r="AI1525" i="24"/>
  <c r="AI2466" i="24"/>
  <c r="AI1412" i="24"/>
  <c r="AI639" i="24"/>
  <c r="AI2571" i="24"/>
  <c r="AI1778" i="24"/>
  <c r="AI1057" i="24"/>
  <c r="AI2289" i="24"/>
  <c r="AI964" i="24"/>
  <c r="AI1253" i="24"/>
  <c r="AI2486" i="24"/>
  <c r="AI357" i="24"/>
  <c r="AI1971" i="24"/>
  <c r="AI71" i="24"/>
  <c r="AI1945" i="24"/>
  <c r="AI213" i="24"/>
  <c r="AI437" i="24"/>
  <c r="AI137" i="24"/>
  <c r="AI2303" i="24"/>
  <c r="AI580" i="24"/>
  <c r="AI1755" i="24"/>
  <c r="AI2274" i="24"/>
  <c r="AI1637" i="24"/>
  <c r="AI2551" i="24"/>
  <c r="AI1636" i="24"/>
  <c r="AI1440" i="24"/>
  <c r="AI2273" i="24"/>
  <c r="AI2302" i="24"/>
  <c r="AI579" i="24"/>
  <c r="AI1753" i="24"/>
  <c r="AI2569" i="24"/>
  <c r="AI435" i="24"/>
  <c r="AI228" i="24"/>
  <c r="AI2485" i="24"/>
  <c r="AI1989" i="24"/>
  <c r="AI406" i="24"/>
  <c r="AI2465" i="24"/>
  <c r="AI1221" i="24"/>
  <c r="AI1777" i="24"/>
  <c r="AI550" i="24"/>
  <c r="AI55" i="24"/>
  <c r="AI356" i="24"/>
  <c r="AI2110" i="24"/>
  <c r="AI2070" i="24"/>
  <c r="AI929" i="24"/>
  <c r="AI2411" i="24"/>
  <c r="AI816" i="24"/>
  <c r="AI843" i="24"/>
  <c r="AI1732" i="24"/>
  <c r="AI70" i="24"/>
  <c r="AI1970" i="24"/>
  <c r="AI963" i="24"/>
  <c r="AI1086" i="24"/>
  <c r="AI859" i="24"/>
  <c r="AI212" i="24"/>
  <c r="AI1524" i="24"/>
  <c r="AI623" i="24"/>
  <c r="AI1368" i="24"/>
  <c r="AI1273" i="24"/>
  <c r="AI136" i="24"/>
  <c r="AI197" i="24"/>
  <c r="AI702" i="24"/>
  <c r="AI91" i="24"/>
  <c r="AI1930" i="24"/>
  <c r="AI1056" i="24"/>
  <c r="AI1489" i="24"/>
  <c r="AI981" i="24"/>
  <c r="AI1805" i="24"/>
  <c r="AI1069" i="24"/>
  <c r="AI774" i="24"/>
  <c r="AI895" i="24"/>
  <c r="AI1540" i="24"/>
  <c r="AI2396" i="24"/>
  <c r="AI2383" i="24"/>
  <c r="AI1012" i="24"/>
  <c r="AI389" i="24"/>
  <c r="AI1556" i="24"/>
  <c r="AI2288" i="24"/>
  <c r="AI24" i="24"/>
  <c r="AI678" i="24"/>
  <c r="AI1151" i="24"/>
  <c r="AI2127" i="24"/>
  <c r="AI1326" i="24"/>
  <c r="AI798" i="24"/>
  <c r="AI1411" i="24"/>
  <c r="AI1388" i="24"/>
  <c r="AI532" i="24"/>
  <c r="AI7" i="24"/>
  <c r="AI1826" i="24"/>
  <c r="AI1310" i="24"/>
  <c r="AI876" i="24"/>
  <c r="AI2450" i="24"/>
  <c r="AI1574" i="24"/>
  <c r="AI1667" i="24"/>
  <c r="AI946" i="24"/>
  <c r="AI2049" i="24"/>
  <c r="AI2245" i="24"/>
  <c r="AI164" i="24"/>
  <c r="AI746" i="24"/>
  <c r="AI658" i="24"/>
  <c r="AI327" i="24"/>
  <c r="AI150" i="24"/>
  <c r="AI179" i="24"/>
  <c r="AI118" i="24"/>
  <c r="AI1099" i="24"/>
  <c r="AI1252" i="24"/>
  <c r="AI371" i="24"/>
  <c r="AI1912" i="24"/>
  <c r="AI2550" i="24"/>
  <c r="AI1167" i="24"/>
  <c r="AI2227" i="24"/>
  <c r="AI637" i="24"/>
  <c r="AI459" i="24"/>
  <c r="AI263" i="24"/>
  <c r="AI2320" i="24"/>
  <c r="AI2536" i="24"/>
  <c r="AI1352" i="24"/>
  <c r="AI1134" i="24"/>
  <c r="AI1649" i="24"/>
  <c r="AI2508" i="24"/>
  <c r="AI2193" i="24"/>
  <c r="AI44" i="24"/>
  <c r="AI1467" i="24"/>
  <c r="AI1871" i="24"/>
  <c r="AI2004" i="24"/>
  <c r="AI300" i="24"/>
  <c r="AI1793" i="24"/>
  <c r="AI1290" i="24"/>
  <c r="AI728" i="24"/>
  <c r="AI2125" i="24"/>
  <c r="AI500" i="24"/>
  <c r="AI498" i="24"/>
  <c r="AI2192" i="24"/>
  <c r="AI2243" i="24"/>
  <c r="AI1572" i="24"/>
  <c r="AI1133" i="24"/>
  <c r="AI42" i="24"/>
  <c r="AI299" i="24"/>
  <c r="AI2225" i="24"/>
  <c r="AI1097" i="24"/>
  <c r="AI1869" i="24"/>
  <c r="AI387" i="24"/>
  <c r="AI1791" i="24"/>
  <c r="AI2534" i="24"/>
  <c r="AI2319" i="24"/>
  <c r="AI1288" i="24"/>
  <c r="AI2048" i="24"/>
  <c r="AI744" i="24"/>
  <c r="AI149" i="24"/>
  <c r="AI88" i="24"/>
  <c r="AI771" i="24"/>
  <c r="AI456" i="24"/>
  <c r="AI1665" i="24"/>
  <c r="AI530" i="24"/>
  <c r="AI1068" i="24"/>
  <c r="AI2449" i="24"/>
  <c r="AI1486" i="24"/>
  <c r="AI1386" i="24"/>
  <c r="AI797" i="24"/>
  <c r="AI2506" i="24"/>
  <c r="AI677" i="24"/>
  <c r="AI326" i="24"/>
  <c r="AI979" i="24"/>
  <c r="AI196" i="24"/>
  <c r="AI1823" i="24"/>
  <c r="AI1928" i="24"/>
  <c r="AI2482" i="24"/>
  <c r="AI2567" i="24"/>
  <c r="AI1750" i="24"/>
  <c r="V806" i="17"/>
  <c r="V809" i="17"/>
  <c r="V808" i="17"/>
  <c r="V811" i="17"/>
  <c r="V139" i="17"/>
  <c r="V144" i="17"/>
  <c r="V159" i="15"/>
  <c r="U303" i="17"/>
  <c r="U320" i="15"/>
  <c r="U752" i="17"/>
  <c r="U751" i="17"/>
  <c r="U753" i="17"/>
  <c r="U819" i="15"/>
  <c r="U817" i="15"/>
  <c r="O685" i="18"/>
  <c r="O684" i="18"/>
  <c r="O682" i="18"/>
  <c r="O681" i="18"/>
  <c r="O680" i="18"/>
  <c r="V518" i="17"/>
  <c r="V551" i="15"/>
  <c r="V947" i="17"/>
  <c r="V946" i="17"/>
  <c r="V949" i="17"/>
  <c r="V735" i="17"/>
  <c r="V796" i="15"/>
  <c r="V673" i="17"/>
  <c r="V677" i="17"/>
  <c r="V676" i="17"/>
  <c r="V679" i="17"/>
  <c r="V640" i="17"/>
  <c r="V644" i="17"/>
  <c r="V643" i="17"/>
  <c r="V642" i="17"/>
  <c r="V645" i="17"/>
  <c r="O540" i="18"/>
  <c r="V501" i="17"/>
  <c r="V537" i="15"/>
  <c r="V638" i="17"/>
  <c r="V684" i="15"/>
  <c r="V266" i="17"/>
  <c r="V269" i="17"/>
  <c r="V268" i="17"/>
  <c r="V271" i="17"/>
  <c r="V252" i="17"/>
  <c r="V264" i="15"/>
  <c r="V205" i="17"/>
  <c r="V215" i="15"/>
  <c r="U483" i="17"/>
  <c r="U516" i="15"/>
  <c r="U66" i="17"/>
  <c r="U62" i="17"/>
  <c r="U65" i="17"/>
  <c r="U64" i="17"/>
  <c r="U67" i="17"/>
  <c r="U884" i="17"/>
  <c r="U964" i="15"/>
  <c r="U869" i="17"/>
  <c r="U872" i="17"/>
  <c r="U950" i="15"/>
  <c r="T964" i="15"/>
  <c r="U793" i="17"/>
  <c r="U795" i="17"/>
  <c r="U798" i="17"/>
  <c r="U873" i="15"/>
  <c r="U788" i="17"/>
  <c r="U791" i="17"/>
  <c r="U671" i="17"/>
  <c r="U719" i="15"/>
  <c r="U618" i="17"/>
  <c r="U663" i="15"/>
  <c r="U587" i="17"/>
  <c r="U628" i="15"/>
  <c r="U536" i="17"/>
  <c r="U572" i="15"/>
  <c r="U487" i="17"/>
  <c r="U489" i="17"/>
  <c r="U523" i="15"/>
  <c r="U462" i="17"/>
  <c r="U464" i="17"/>
  <c r="O388" i="18"/>
  <c r="U384" i="17"/>
  <c r="U411" i="15"/>
  <c r="U328" i="17"/>
  <c r="U348" i="15"/>
  <c r="U258" i="17"/>
  <c r="U271" i="15"/>
  <c r="U252" i="17"/>
  <c r="U264" i="15"/>
  <c r="U131" i="17"/>
  <c r="U138" i="15"/>
  <c r="U109" i="17"/>
  <c r="U111" i="17"/>
  <c r="U117" i="15"/>
  <c r="U55" i="17"/>
  <c r="U58" i="17"/>
  <c r="U57" i="17"/>
  <c r="U60" i="17"/>
  <c r="U53" i="17"/>
  <c r="U54" i="15"/>
  <c r="T915" i="17"/>
  <c r="T1006" i="15"/>
  <c r="Q896" i="17"/>
  <c r="Q978" i="15"/>
  <c r="T829" i="17"/>
  <c r="T827" i="17"/>
  <c r="T830" i="17"/>
  <c r="T908" i="15"/>
  <c r="T772" i="17"/>
  <c r="T838" i="15"/>
  <c r="T580" i="17"/>
  <c r="T621" i="15"/>
  <c r="T542" i="17"/>
  <c r="T579" i="15"/>
  <c r="S536" i="17"/>
  <c r="S572" i="15"/>
  <c r="T284" i="17"/>
  <c r="T283" i="17"/>
  <c r="T301" i="15"/>
  <c r="Q131" i="15"/>
  <c r="Q123" i="17"/>
  <c r="Q125" i="17"/>
  <c r="Q128" i="15"/>
  <c r="T58" i="17"/>
  <c r="T57" i="17"/>
  <c r="T60" i="17"/>
  <c r="U846" i="17"/>
  <c r="U922" i="15"/>
  <c r="U825" i="17"/>
  <c r="U827" i="17"/>
  <c r="U830" i="17"/>
  <c r="U908" i="15"/>
  <c r="U699" i="17"/>
  <c r="U703" i="17"/>
  <c r="U701" i="17"/>
  <c r="U704" i="17"/>
  <c r="U747" i="15"/>
  <c r="U524" i="17"/>
  <c r="U558" i="15"/>
  <c r="U393" i="17"/>
  <c r="U397" i="17"/>
  <c r="U395" i="17"/>
  <c r="U398" i="17"/>
  <c r="U425" i="15"/>
  <c r="U222" i="17"/>
  <c r="U224" i="17"/>
  <c r="U227" i="17"/>
  <c r="U236" i="15"/>
  <c r="U199" i="17"/>
  <c r="U208" i="15"/>
  <c r="U169" i="17"/>
  <c r="U180" i="15"/>
  <c r="U157" i="17"/>
  <c r="U152" i="15"/>
  <c r="U148" i="17"/>
  <c r="U151" i="17"/>
  <c r="U166" i="15"/>
  <c r="U137" i="17"/>
  <c r="U145" i="15"/>
  <c r="U31" i="17"/>
  <c r="U33" i="15"/>
  <c r="U186" i="17"/>
  <c r="U179" i="17"/>
  <c r="U178" i="17"/>
  <c r="U183" i="17"/>
  <c r="U181" i="17"/>
  <c r="U184" i="17"/>
  <c r="U196" i="15"/>
  <c r="U194" i="15"/>
  <c r="U214" i="17"/>
  <c r="U213" i="17"/>
  <c r="U217" i="17"/>
  <c r="U218" i="17"/>
  <c r="O186" i="18"/>
  <c r="U229" i="15"/>
  <c r="U947" i="17"/>
  <c r="U946" i="17"/>
  <c r="U949" i="17"/>
  <c r="O799" i="18"/>
  <c r="U942" i="17"/>
  <c r="U1034" i="15"/>
  <c r="U935" i="17"/>
  <c r="U934" i="17"/>
  <c r="U933" i="17"/>
  <c r="U936" i="17"/>
  <c r="H790" i="18"/>
  <c r="O790" i="18" s="1"/>
  <c r="H787" i="18"/>
  <c r="O787" i="18" s="1"/>
  <c r="O789" i="18"/>
  <c r="U1030" i="15"/>
  <c r="U1029" i="15"/>
  <c r="U919" i="17"/>
  <c r="U922" i="17"/>
  <c r="U1013" i="15"/>
  <c r="U930" i="17"/>
  <c r="U924" i="17"/>
  <c r="U927" i="17"/>
  <c r="U926" i="17"/>
  <c r="U929" i="17"/>
  <c r="O782" i="18"/>
  <c r="U1022" i="15"/>
  <c r="U905" i="17"/>
  <c r="U904" i="17"/>
  <c r="U908" i="17"/>
  <c r="U907" i="17"/>
  <c r="U906" i="17"/>
  <c r="U909" i="17"/>
  <c r="H763" i="18"/>
  <c r="O763" i="18" s="1"/>
  <c r="U915" i="17"/>
  <c r="U1006" i="15"/>
  <c r="U778" i="17"/>
  <c r="U845" i="15"/>
  <c r="U622" i="17"/>
  <c r="U625" i="17"/>
  <c r="U670" i="15"/>
  <c r="O80" i="18"/>
  <c r="U878" i="17"/>
  <c r="U958" i="15"/>
  <c r="U865" i="17"/>
  <c r="O726" i="18"/>
  <c r="U943" i="15"/>
  <c r="U852" i="17"/>
  <c r="U929" i="15"/>
  <c r="U841" i="17"/>
  <c r="U840" i="17"/>
  <c r="U839" i="17"/>
  <c r="U833" i="17"/>
  <c r="U832" i="17"/>
  <c r="U834" i="17"/>
  <c r="U838" i="17"/>
  <c r="O710" i="18"/>
  <c r="O709" i="18"/>
  <c r="O707" i="18"/>
  <c r="U915" i="15"/>
  <c r="U823" i="17"/>
  <c r="U901" i="15"/>
  <c r="U815" i="17"/>
  <c r="U817" i="17"/>
  <c r="H686" i="18"/>
  <c r="O686" i="18" s="1"/>
  <c r="U896" i="15"/>
  <c r="U894" i="15"/>
  <c r="U812" i="17"/>
  <c r="U806" i="17"/>
  <c r="U809" i="17"/>
  <c r="U808" i="17"/>
  <c r="U811" i="17"/>
  <c r="U772" i="17"/>
  <c r="U838" i="15"/>
  <c r="U760" i="17"/>
  <c r="O636" i="18"/>
  <c r="U824" i="15"/>
  <c r="U765" i="17"/>
  <c r="U764" i="17"/>
  <c r="U766" i="17"/>
  <c r="U831" i="15"/>
  <c r="U747" i="17"/>
  <c r="O625" i="18"/>
  <c r="U810" i="15"/>
  <c r="U735" i="17"/>
  <c r="U796" i="15"/>
  <c r="U725" i="17"/>
  <c r="U729" i="17"/>
  <c r="O613" i="18"/>
  <c r="U789" i="15"/>
  <c r="U723" i="17"/>
  <c r="H605" i="18"/>
  <c r="O605" i="18" s="1"/>
  <c r="U782" i="15"/>
  <c r="U717" i="17"/>
  <c r="O600" i="18"/>
  <c r="U775" i="15"/>
  <c r="U698" i="17"/>
  <c r="U697" i="17"/>
  <c r="U690" i="17"/>
  <c r="U693" i="17"/>
  <c r="U692" i="17"/>
  <c r="U682" i="17"/>
  <c r="U685" i="17"/>
  <c r="U684" i="17"/>
  <c r="U683" i="17"/>
  <c r="U686" i="17"/>
  <c r="O576" i="18"/>
  <c r="O574" i="18"/>
  <c r="H573" i="18"/>
  <c r="O573" i="18" s="1"/>
  <c r="U674" i="17"/>
  <c r="U673" i="17"/>
  <c r="U678" i="17"/>
  <c r="U677" i="17"/>
  <c r="U676" i="17"/>
  <c r="U679" i="17"/>
  <c r="O568" i="18"/>
  <c r="O569" i="18"/>
  <c r="U661" i="17"/>
  <c r="U660" i="17"/>
  <c r="U664" i="17"/>
  <c r="U662" i="17"/>
  <c r="U665" i="17"/>
  <c r="O561" i="18"/>
  <c r="O559" i="18"/>
  <c r="O557" i="18"/>
  <c r="U647" i="17"/>
  <c r="U651" i="17"/>
  <c r="U649" i="17"/>
  <c r="O548" i="18"/>
  <c r="U698" i="15"/>
  <c r="AG1014" i="24"/>
  <c r="U366" i="17"/>
  <c r="U390" i="15"/>
  <c r="U238" i="17"/>
  <c r="U240" i="17"/>
  <c r="O197" i="18"/>
  <c r="U177" i="17"/>
  <c r="U172" i="17"/>
  <c r="U171" i="17"/>
  <c r="U175" i="17"/>
  <c r="U174" i="17"/>
  <c r="U173" i="17"/>
  <c r="U176" i="17"/>
  <c r="H144" i="18"/>
  <c r="O144" i="18" s="1"/>
  <c r="U189" i="15"/>
  <c r="U91" i="17"/>
  <c r="U96" i="15"/>
  <c r="U34" i="17"/>
  <c r="U33" i="17"/>
  <c r="U38" i="17"/>
  <c r="U37" i="17"/>
  <c r="U36" i="17"/>
  <c r="U40" i="17"/>
  <c r="U42" i="15"/>
  <c r="U316" i="17"/>
  <c r="U334" i="15"/>
  <c r="U640" i="17"/>
  <c r="U644" i="17"/>
  <c r="U643" i="17"/>
  <c r="U642" i="17"/>
  <c r="U645" i="17"/>
  <c r="O542" i="18"/>
  <c r="U608" i="17"/>
  <c r="U610" i="17"/>
  <c r="U609" i="17"/>
  <c r="U612" i="17"/>
  <c r="O516" i="18"/>
  <c r="U605" i="17"/>
  <c r="U649" i="15"/>
  <c r="U591" i="17"/>
  <c r="U593" i="17"/>
  <c r="O497" i="18"/>
  <c r="U635" i="15"/>
  <c r="U580" i="17"/>
  <c r="U623" i="15"/>
  <c r="U621" i="15"/>
  <c r="U572" i="17"/>
  <c r="U571" i="17"/>
  <c r="U574" i="17"/>
  <c r="O480" i="18"/>
  <c r="U567" i="17"/>
  <c r="O474" i="18"/>
  <c r="U607" i="15"/>
  <c r="U710" i="17"/>
  <c r="U761" i="15"/>
  <c r="U560" i="17"/>
  <c r="U561" i="17"/>
  <c r="O471" i="18"/>
  <c r="H469" i="18"/>
  <c r="O469" i="18" s="1"/>
  <c r="U600" i="15"/>
  <c r="U545" i="17"/>
  <c r="U544" i="17"/>
  <c r="U548" i="17"/>
  <c r="U546" i="17"/>
  <c r="U549" i="17"/>
  <c r="O461" i="18"/>
  <c r="U588" i="15"/>
  <c r="U586" i="15"/>
  <c r="U539" i="17"/>
  <c r="U538" i="17"/>
  <c r="U541" i="17"/>
  <c r="U540" i="17"/>
  <c r="U542" i="17"/>
  <c r="H453" i="18"/>
  <c r="O453" i="18" s="1"/>
  <c r="U579" i="15"/>
  <c r="U518" i="17"/>
  <c r="H433" i="18"/>
  <c r="O433" i="18" s="1"/>
  <c r="U551" i="15"/>
  <c r="U501" i="17"/>
  <c r="H418" i="18"/>
  <c r="O418" i="18" s="1"/>
  <c r="U537" i="15"/>
  <c r="U504" i="17"/>
  <c r="U507" i="17"/>
  <c r="U510" i="17"/>
  <c r="U244" i="17"/>
  <c r="U246" i="17"/>
  <c r="U257" i="15"/>
  <c r="U428" i="17"/>
  <c r="U427" i="17"/>
  <c r="H357" i="18"/>
  <c r="O357" i="18" s="1"/>
  <c r="U462" i="15"/>
  <c r="U405" i="17"/>
  <c r="U400" i="17"/>
  <c r="U403" i="17"/>
  <c r="U402" i="17"/>
  <c r="U404" i="17"/>
  <c r="U432" i="15"/>
  <c r="U378" i="17"/>
  <c r="H313" i="18"/>
  <c r="O313" i="18" s="1"/>
  <c r="U404" i="15"/>
  <c r="U85" i="17"/>
  <c r="U89" i="15"/>
  <c r="U6" i="17"/>
  <c r="U5" i="15"/>
  <c r="U17" i="17"/>
  <c r="U16" i="17"/>
  <c r="U19" i="17"/>
  <c r="O14" i="18"/>
  <c r="U21" i="15"/>
  <c r="U890" i="17"/>
  <c r="U971" i="15"/>
  <c r="U858" i="17"/>
  <c r="U936" i="15"/>
  <c r="U784" i="17"/>
  <c r="U859" i="15"/>
  <c r="U741" i="17"/>
  <c r="U803" i="15"/>
  <c r="U658" i="17"/>
  <c r="H551" i="18"/>
  <c r="O551" i="18" s="1"/>
  <c r="U705" i="15"/>
  <c r="U599" i="17"/>
  <c r="U642" i="15"/>
  <c r="U552" i="17"/>
  <c r="U555" i="17"/>
  <c r="O468" i="18"/>
  <c r="U593" i="15"/>
  <c r="U530" i="17"/>
  <c r="U565" i="15"/>
  <c r="U495" i="17"/>
  <c r="U530" i="15"/>
  <c r="U477" i="17"/>
  <c r="U509" i="15"/>
  <c r="U469" i="17"/>
  <c r="U468" i="17"/>
  <c r="U471" i="17"/>
  <c r="O394" i="18"/>
  <c r="U456" i="17"/>
  <c r="U457" i="17"/>
  <c r="O383" i="18"/>
  <c r="U488" i="15"/>
  <c r="U443" i="17"/>
  <c r="U474" i="15"/>
  <c r="U437" i="17"/>
  <c r="U467" i="15"/>
  <c r="U418" i="17"/>
  <c r="U423" i="17"/>
  <c r="O355" i="18"/>
  <c r="U455" i="15"/>
  <c r="U453" i="15"/>
  <c r="U372" i="17"/>
  <c r="U397" i="15"/>
  <c r="U297" i="17"/>
  <c r="H244" i="18"/>
  <c r="O244" i="18" s="1"/>
  <c r="U313" i="15"/>
  <c r="U416" i="17"/>
  <c r="U446" i="15"/>
  <c r="U408" i="17"/>
  <c r="U410" i="17"/>
  <c r="U441" i="15"/>
  <c r="U439" i="15"/>
  <c r="U389" i="17"/>
  <c r="U388" i="17"/>
  <c r="U391" i="17"/>
  <c r="AG995" i="24"/>
  <c r="AD995" i="24"/>
  <c r="AG999" i="24"/>
  <c r="AG998" i="24"/>
  <c r="AG997" i="24"/>
  <c r="AG1006" i="24"/>
  <c r="AG993" i="24"/>
  <c r="AI993" i="24" s="1"/>
  <c r="O301" i="18"/>
  <c r="H297" i="18"/>
  <c r="O297" i="18" s="1"/>
  <c r="U385" i="15"/>
  <c r="U352" i="17"/>
  <c r="U376" i="15"/>
  <c r="U340" i="17"/>
  <c r="H281" i="18"/>
  <c r="O281" i="18" s="1"/>
  <c r="U362" i="15"/>
  <c r="U345" i="17"/>
  <c r="U346" i="17"/>
  <c r="U369" i="15"/>
  <c r="U334" i="17"/>
  <c r="U355" i="15"/>
  <c r="U321" i="17"/>
  <c r="U322" i="17"/>
  <c r="H265" i="18"/>
  <c r="O265" i="18" s="1"/>
  <c r="U341" i="15"/>
  <c r="U288" i="17"/>
  <c r="U287" i="17"/>
  <c r="U290" i="17"/>
  <c r="U289" i="17"/>
  <c r="U291" i="17"/>
  <c r="O241" i="18"/>
  <c r="O240" i="18"/>
  <c r="U306" i="15"/>
  <c r="U281" i="17"/>
  <c r="U280" i="17"/>
  <c r="U284" i="17"/>
  <c r="U283" i="17"/>
  <c r="U282" i="17"/>
  <c r="U285" i="17"/>
  <c r="U301" i="15"/>
  <c r="U45" i="17"/>
  <c r="U47" i="17"/>
  <c r="H35" i="18"/>
  <c r="O35" i="18" s="1"/>
  <c r="O37" i="18"/>
  <c r="U274" i="17"/>
  <c r="U273" i="17"/>
  <c r="U277" i="17"/>
  <c r="U276" i="17"/>
  <c r="U275" i="17"/>
  <c r="U278" i="17"/>
  <c r="U264" i="17"/>
  <c r="U278" i="15"/>
  <c r="U233" i="17"/>
  <c r="U243" i="15"/>
  <c r="U211" i="17"/>
  <c r="O176" i="18"/>
  <c r="U222" i="15"/>
  <c r="U205" i="17"/>
  <c r="U215" i="15"/>
  <c r="U189" i="17"/>
  <c r="U188" i="17"/>
  <c r="U192" i="17"/>
  <c r="U191" i="17"/>
  <c r="U190" i="17"/>
  <c r="U193" i="17"/>
  <c r="H164" i="18"/>
  <c r="O164" i="18" s="1"/>
  <c r="U204" i="15"/>
  <c r="U144" i="17"/>
  <c r="U159" i="15"/>
  <c r="U125" i="17"/>
  <c r="H102" i="18"/>
  <c r="O102" i="18" s="1"/>
  <c r="U131" i="15"/>
  <c r="U115" i="17"/>
  <c r="U118" i="17"/>
  <c r="U117" i="17"/>
  <c r="U116" i="17"/>
  <c r="U119" i="17"/>
  <c r="O96" i="18"/>
  <c r="U104" i="17"/>
  <c r="U103" i="17"/>
  <c r="U105" i="17"/>
  <c r="U79" i="17"/>
  <c r="U82" i="15"/>
  <c r="U25" i="17"/>
  <c r="U26" i="15"/>
  <c r="U12" i="17"/>
  <c r="U12" i="15"/>
  <c r="T898" i="17"/>
  <c r="T902" i="17"/>
  <c r="O761" i="18"/>
  <c r="H758" i="18"/>
  <c r="O758" i="18" s="1"/>
  <c r="T995" i="15"/>
  <c r="T992" i="15"/>
  <c r="T316" i="17"/>
  <c r="T334" i="15"/>
  <c r="T540" i="17"/>
  <c r="T437" i="17"/>
  <c r="T467" i="15"/>
  <c r="T366" i="17"/>
  <c r="T390" i="15"/>
  <c r="U308" i="17"/>
  <c r="U310" i="17"/>
  <c r="O256" i="18"/>
  <c r="U638" i="17"/>
  <c r="H533" i="18"/>
  <c r="O533" i="18" s="1"/>
  <c r="U684" i="15"/>
  <c r="O62" i="18"/>
  <c r="O60" i="18"/>
  <c r="T297" i="17"/>
  <c r="T313" i="15"/>
  <c r="T199" i="17"/>
  <c r="T208" i="15"/>
  <c r="U266" i="17"/>
  <c r="U269" i="17"/>
  <c r="U268" i="17"/>
  <c r="U271" i="17"/>
  <c r="O225" i="18"/>
  <c r="O222" i="18"/>
  <c r="O223" i="18"/>
  <c r="T935" i="17"/>
  <c r="T934" i="17"/>
  <c r="T933" i="17"/>
  <c r="T936" i="17"/>
  <c r="T1029" i="15"/>
  <c r="T1030" i="15"/>
  <c r="T723" i="17"/>
  <c r="T782" i="15"/>
  <c r="T815" i="17"/>
  <c r="T817" i="17"/>
  <c r="T896" i="15"/>
  <c r="T894" i="15"/>
  <c r="T794" i="17"/>
  <c r="T793" i="17"/>
  <c r="T796" i="17"/>
  <c r="T795" i="17"/>
  <c r="T798" i="17"/>
  <c r="O672" i="18"/>
  <c r="O669" i="18"/>
  <c r="O668" i="18"/>
  <c r="T593" i="17"/>
  <c r="T635" i="15"/>
  <c r="R524" i="17"/>
  <c r="R558" i="15"/>
  <c r="R205" i="17"/>
  <c r="R215" i="15"/>
  <c r="T25" i="17"/>
  <c r="T26" i="15"/>
  <c r="T17" i="17"/>
  <c r="T16" i="17"/>
  <c r="T19" i="17"/>
  <c r="T21" i="15"/>
  <c r="T896" i="17"/>
  <c r="T978" i="15"/>
  <c r="T846" i="17"/>
  <c r="T922" i="15"/>
  <c r="T852" i="17"/>
  <c r="T929" i="15"/>
  <c r="T788" i="17"/>
  <c r="T791" i="17"/>
  <c r="T749" i="17"/>
  <c r="T752" i="17"/>
  <c r="T751" i="17"/>
  <c r="T753" i="17"/>
  <c r="O633" i="18"/>
  <c r="O632" i="18"/>
  <c r="T819" i="15"/>
  <c r="T817" i="15"/>
  <c r="T699" i="17"/>
  <c r="T703" i="17"/>
  <c r="T701" i="17"/>
  <c r="T704" i="17"/>
  <c r="T747" i="15"/>
  <c r="AD1709" i="24"/>
  <c r="AI1709" i="24" s="1"/>
  <c r="AD1713" i="24"/>
  <c r="AD1712" i="24"/>
  <c r="AI1712" i="24" s="1"/>
  <c r="AD1708" i="24"/>
  <c r="AD1707" i="24"/>
  <c r="AI1707" i="24" s="1"/>
  <c r="AD1704" i="24"/>
  <c r="T622" i="17"/>
  <c r="T625" i="17"/>
  <c r="T670" i="15"/>
  <c r="T618" i="17"/>
  <c r="H517" i="18"/>
  <c r="O517" i="18" s="1"/>
  <c r="T663" i="15"/>
  <c r="AD1428" i="24"/>
  <c r="AI1428" i="24" s="1"/>
  <c r="AD1427" i="24"/>
  <c r="AI1427" i="24" s="1"/>
  <c r="AD1431" i="24"/>
  <c r="AI1431" i="24" s="1"/>
  <c r="AD1432" i="24"/>
  <c r="AI1432" i="24" s="1"/>
  <c r="AD1429" i="24"/>
  <c r="AI1429" i="24" s="1"/>
  <c r="AD1426" i="24"/>
  <c r="AI1426" i="24" s="1"/>
  <c r="T524" i="17"/>
  <c r="T558" i="15"/>
  <c r="T487" i="17"/>
  <c r="T489" i="17"/>
  <c r="T523" i="15"/>
  <c r="T469" i="17"/>
  <c r="T468" i="17"/>
  <c r="T471" i="17"/>
  <c r="T244" i="17"/>
  <c r="T246" i="17"/>
  <c r="T257" i="15"/>
  <c r="T405" i="17"/>
  <c r="T400" i="17"/>
  <c r="T403" i="17"/>
  <c r="T402" i="17"/>
  <c r="T404" i="17"/>
  <c r="T432" i="15"/>
  <c r="T394" i="17"/>
  <c r="T393" i="17"/>
  <c r="T397" i="17"/>
  <c r="T396" i="17"/>
  <c r="T395" i="17"/>
  <c r="T398" i="17"/>
  <c r="T384" i="17"/>
  <c r="H318" i="18"/>
  <c r="O318" i="18" s="1"/>
  <c r="T411" i="15"/>
  <c r="T372" i="17"/>
  <c r="T397" i="15"/>
  <c r="T352" i="17"/>
  <c r="T376" i="15"/>
  <c r="T332" i="17"/>
  <c r="T334" i="17"/>
  <c r="O277" i="18"/>
  <c r="T328" i="17"/>
  <c r="T348" i="15"/>
  <c r="T264" i="17"/>
  <c r="T278" i="15"/>
  <c r="T252" i="17"/>
  <c r="T264" i="15"/>
  <c r="S205" i="17"/>
  <c r="S215" i="15"/>
  <c r="T205" i="17"/>
  <c r="T215" i="15"/>
  <c r="T187" i="17"/>
  <c r="T186" i="17"/>
  <c r="T179" i="17"/>
  <c r="T178" i="17"/>
  <c r="T183" i="17"/>
  <c r="T181" i="17"/>
  <c r="T184" i="17"/>
  <c r="T196" i="15"/>
  <c r="T194" i="15"/>
  <c r="AD457" i="24"/>
  <c r="T177" i="17"/>
  <c r="T172" i="17"/>
  <c r="T171" i="17"/>
  <c r="T175" i="17"/>
  <c r="T174" i="17"/>
  <c r="T173" i="17"/>
  <c r="T176" i="17"/>
  <c r="O150" i="18"/>
  <c r="O145" i="18"/>
  <c r="T189" i="15"/>
  <c r="T149" i="17"/>
  <c r="T148" i="17"/>
  <c r="T151" i="17"/>
  <c r="T157" i="17"/>
  <c r="T152" i="15"/>
  <c r="T62" i="17"/>
  <c r="T66" i="17"/>
  <c r="T65" i="17"/>
  <c r="T64" i="17"/>
  <c r="T67" i="17"/>
  <c r="T36" i="15"/>
  <c r="O663" i="18"/>
  <c r="O340" i="18"/>
  <c r="H716" i="18"/>
  <c r="O716" i="18" s="1"/>
  <c r="O55" i="18"/>
  <c r="O54" i="18"/>
  <c r="H52" i="18"/>
  <c r="O52" i="18" s="1"/>
  <c r="H522" i="18"/>
  <c r="O522" i="18" s="1"/>
  <c r="H438" i="18"/>
  <c r="O438" i="18" s="1"/>
  <c r="H711" i="18"/>
  <c r="O711" i="18" s="1"/>
  <c r="O202" i="18"/>
  <c r="O193" i="18"/>
  <c r="O190" i="18"/>
  <c r="H189" i="18"/>
  <c r="O189" i="18" s="1"/>
  <c r="O334" i="18"/>
  <c r="O333" i="18"/>
  <c r="O332" i="18"/>
  <c r="O331" i="18"/>
  <c r="O330" i="18"/>
  <c r="H329" i="18"/>
  <c r="O329" i="18" s="1"/>
  <c r="O125" i="18"/>
  <c r="T278" i="17"/>
  <c r="T277" i="17"/>
  <c r="T274" i="17"/>
  <c r="R747" i="17"/>
  <c r="R810" i="15"/>
  <c r="S747" i="17"/>
  <c r="S810" i="15"/>
  <c r="S663" i="17"/>
  <c r="S366" i="17"/>
  <c r="H793" i="18"/>
  <c r="O793" i="18" s="1"/>
  <c r="T930" i="17"/>
  <c r="T924" i="17"/>
  <c r="T927" i="17"/>
  <c r="T926" i="17"/>
  <c r="T929" i="17"/>
  <c r="O781" i="18"/>
  <c r="T919" i="17"/>
  <c r="T918" i="17"/>
  <c r="T917" i="17"/>
  <c r="T921" i="17"/>
  <c r="T920" i="17"/>
  <c r="T922" i="17"/>
  <c r="O779" i="18"/>
  <c r="O777" i="18"/>
  <c r="T884" i="17"/>
  <c r="H743" i="18"/>
  <c r="O743" i="18" s="1"/>
  <c r="T874" i="17"/>
  <c r="T876" i="17"/>
  <c r="T878" i="17"/>
  <c r="O741" i="18"/>
  <c r="O739" i="18"/>
  <c r="T869" i="17"/>
  <c r="T872" i="17"/>
  <c r="T841" i="17"/>
  <c r="T840" i="17"/>
  <c r="T839" i="17"/>
  <c r="T833" i="17"/>
  <c r="T832" i="17"/>
  <c r="T834" i="17"/>
  <c r="T838" i="17"/>
  <c r="O705" i="18"/>
  <c r="O708" i="18"/>
  <c r="O704" i="18"/>
  <c r="O703" i="18"/>
  <c r="T917" i="15"/>
  <c r="T308" i="17"/>
  <c r="T310" i="17"/>
  <c r="T784" i="17"/>
  <c r="H656" i="18"/>
  <c r="O656" i="18" s="1"/>
  <c r="T760" i="17"/>
  <c r="T824" i="15"/>
  <c r="T747" i="17"/>
  <c r="T810" i="15"/>
  <c r="T611" i="17"/>
  <c r="T610" i="17"/>
  <c r="T609" i="17"/>
  <c r="T612" i="17"/>
  <c r="O512" i="18"/>
  <c r="H511" i="18"/>
  <c r="O511" i="18" s="1"/>
  <c r="T495" i="17"/>
  <c r="T530" i="15"/>
  <c r="T477" i="17"/>
  <c r="T509" i="15"/>
  <c r="T85" i="17"/>
  <c r="T89" i="15"/>
  <c r="T536" i="17"/>
  <c r="O448" i="18"/>
  <c r="T572" i="15"/>
  <c r="T915" i="15"/>
  <c r="T765" i="17"/>
  <c r="T764" i="17"/>
  <c r="T766" i="17"/>
  <c r="T712" i="17"/>
  <c r="T716" i="17"/>
  <c r="T717" i="17"/>
  <c r="O602" i="18"/>
  <c r="T698" i="17"/>
  <c r="T697" i="17"/>
  <c r="T690" i="17"/>
  <c r="T693" i="17"/>
  <c r="T692" i="17"/>
  <c r="T695" i="17"/>
  <c r="T682" i="17"/>
  <c r="T685" i="17"/>
  <c r="T684" i="17"/>
  <c r="T683" i="17"/>
  <c r="T686" i="17"/>
  <c r="O578" i="18"/>
  <c r="T651" i="17"/>
  <c r="T649" i="17"/>
  <c r="T652" i="17"/>
  <c r="H545" i="18"/>
  <c r="O545" i="18" s="1"/>
  <c r="T599" i="17"/>
  <c r="O501" i="18"/>
  <c r="O496" i="18"/>
  <c r="T572" i="17"/>
  <c r="T571" i="17"/>
  <c r="T574" i="17"/>
  <c r="O479" i="18"/>
  <c r="T567" i="17"/>
  <c r="T530" i="17"/>
  <c r="T507" i="17"/>
  <c r="T546" i="15"/>
  <c r="T501" i="17"/>
  <c r="T94" i="17"/>
  <c r="T93" i="17"/>
  <c r="O83" i="18"/>
  <c r="H78" i="18"/>
  <c r="O78" i="18"/>
  <c r="T483" i="17"/>
  <c r="T516" i="15"/>
  <c r="T462" i="17"/>
  <c r="T464" i="17"/>
  <c r="H386" i="18"/>
  <c r="O386" i="18" s="1"/>
  <c r="T428" i="17"/>
  <c r="T427" i="17"/>
  <c r="T430" i="17"/>
  <c r="O358" i="18"/>
  <c r="T416" i="17"/>
  <c r="T378" i="17"/>
  <c r="T281" i="17"/>
  <c r="T282" i="17"/>
  <c r="T285" i="17"/>
  <c r="T258" i="17"/>
  <c r="H211" i="18"/>
  <c r="O211" i="18" s="1"/>
  <c r="T271" i="15"/>
  <c r="T213" i="17"/>
  <c r="T214" i="17"/>
  <c r="T217" i="17"/>
  <c r="T216" i="17"/>
  <c r="T215" i="17"/>
  <c r="T218" i="17"/>
  <c r="H182" i="18"/>
  <c r="O182" i="18" s="1"/>
  <c r="T211" i="17"/>
  <c r="T222" i="15"/>
  <c r="T169" i="17"/>
  <c r="H139" i="18"/>
  <c r="O139" i="18" s="1"/>
  <c r="T180" i="15"/>
  <c r="T121" i="17"/>
  <c r="T123" i="17"/>
  <c r="T125" i="17"/>
  <c r="T111" i="17"/>
  <c r="T117" i="15"/>
  <c r="T91" i="17"/>
  <c r="T53" i="17"/>
  <c r="H41" i="18"/>
  <c r="O41" i="18" s="1"/>
  <c r="T54" i="15"/>
  <c r="T38" i="17"/>
  <c r="T40" i="17"/>
  <c r="T6" i="17"/>
  <c r="T537" i="15"/>
  <c r="T446" i="15"/>
  <c r="T131" i="15"/>
  <c r="T775" i="15"/>
  <c r="T958" i="15"/>
  <c r="T950" i="15"/>
  <c r="T859" i="15"/>
  <c r="S390" i="15"/>
  <c r="T1022" i="15"/>
  <c r="T831" i="15"/>
  <c r="T698" i="15"/>
  <c r="T642" i="15"/>
  <c r="T616" i="15"/>
  <c r="T607" i="15"/>
  <c r="T565" i="15"/>
  <c r="T462" i="15"/>
  <c r="T404" i="15"/>
  <c r="T231" i="15"/>
  <c r="T96" i="15"/>
  <c r="T42" i="15"/>
  <c r="T5" i="15"/>
  <c r="AF886" i="24"/>
  <c r="AF108" i="24"/>
  <c r="AF2085" i="24"/>
  <c r="AF2330" i="24"/>
  <c r="AF1922" i="24"/>
  <c r="AF1743" i="24"/>
  <c r="AF1998" i="24"/>
  <c r="AF810" i="24"/>
  <c r="AF544" i="24"/>
  <c r="AF2459" i="24"/>
  <c r="AF1267" i="24"/>
  <c r="AF1843" i="24"/>
  <c r="AF938" i="24"/>
  <c r="AF2311" i="24"/>
  <c r="AF761" i="24"/>
  <c r="AF759" i="24"/>
  <c r="AF670" i="24"/>
  <c r="AF884" i="24"/>
  <c r="AF188" i="24"/>
  <c r="AF1761" i="24"/>
  <c r="AF2082" i="24"/>
  <c r="AF1839" i="24"/>
  <c r="AF2328" i="24"/>
  <c r="AF1741" i="24"/>
  <c r="AF1996" i="24"/>
  <c r="AF106" i="24"/>
  <c r="AF2457" i="24"/>
  <c r="AF1920" i="24"/>
  <c r="AF317" i="24"/>
  <c r="AF1548" i="24"/>
  <c r="AF805" i="24"/>
  <c r="AF1077" i="24"/>
  <c r="AF1962" i="24"/>
  <c r="AF1417" i="24"/>
  <c r="AF646" i="24"/>
  <c r="AF128" i="24"/>
  <c r="AF204" i="24"/>
  <c r="AF2580" i="24"/>
  <c r="AF936" i="24"/>
  <c r="AF1265" i="24"/>
  <c r="AF2309" i="24"/>
  <c r="AF347" i="24"/>
  <c r="AF1977" i="24"/>
  <c r="AF1142" i="24"/>
  <c r="AF346" i="24"/>
  <c r="AF2308" i="24"/>
  <c r="AF1264" i="24"/>
  <c r="AF1961" i="24"/>
  <c r="AF935" i="24"/>
  <c r="AF803" i="24"/>
  <c r="AF127" i="24"/>
  <c r="AF316" i="24"/>
  <c r="AF1919" i="24"/>
  <c r="AF1547" i="24"/>
  <c r="AF2579" i="24"/>
  <c r="AF2456" i="24"/>
  <c r="AF645" i="24"/>
  <c r="AF1416" i="24"/>
  <c r="AF2327" i="24"/>
  <c r="AF1740" i="24"/>
  <c r="AF1838" i="24"/>
  <c r="AF1760" i="24"/>
  <c r="AF883" i="24"/>
  <c r="AF2081" i="24"/>
  <c r="AF187" i="24"/>
  <c r="AF758" i="24"/>
  <c r="AF1141" i="24"/>
  <c r="AF1975" i="24"/>
  <c r="AF2306" i="24"/>
  <c r="AF345" i="24"/>
  <c r="AF1263" i="24"/>
  <c r="AF539" i="24"/>
  <c r="AF1075" i="24"/>
  <c r="AF2578" i="24"/>
  <c r="AF1780" i="24"/>
  <c r="AF934" i="24"/>
  <c r="AF1994" i="24"/>
  <c r="AF1415" i="24"/>
  <c r="AF201" i="24"/>
  <c r="AF1918" i="24"/>
  <c r="AF1529" i="24"/>
  <c r="AF126" i="24"/>
  <c r="AF1545" i="24"/>
  <c r="AF802" i="24"/>
  <c r="AF644" i="24"/>
  <c r="AF103" i="24"/>
  <c r="AF2455" i="24"/>
  <c r="AF2325" i="24"/>
  <c r="AF1960" i="24"/>
  <c r="AF314" i="24"/>
  <c r="AF2079" i="24"/>
  <c r="AF1739" i="24"/>
  <c r="AF1759" i="24"/>
  <c r="AF1837" i="24"/>
  <c r="AF667" i="24"/>
  <c r="AF185" i="24"/>
  <c r="AF882" i="24"/>
  <c r="AF757" i="24"/>
  <c r="AF1140" i="24"/>
  <c r="AF2577" i="24"/>
  <c r="AF1261" i="24"/>
  <c r="AF1917" i="24"/>
  <c r="AF2076" i="24"/>
  <c r="AF1916" i="24"/>
  <c r="AF1834" i="24"/>
  <c r="AF1259" i="24"/>
  <c r="AF2574" i="24"/>
  <c r="AF1073" i="24"/>
  <c r="AF122" i="24"/>
  <c r="AF1543" i="24"/>
  <c r="AF1971" i="24"/>
  <c r="AF2303" i="24"/>
  <c r="AF1253" i="24"/>
  <c r="AF533" i="24"/>
  <c r="AF1070" i="24"/>
  <c r="AF1778" i="24"/>
  <c r="AF1957" i="24"/>
  <c r="AF639" i="24"/>
  <c r="AF930" i="24"/>
  <c r="AF1525" i="24"/>
  <c r="AF340" i="24"/>
  <c r="AF119" i="24"/>
  <c r="AF1913" i="24"/>
  <c r="AF2571" i="24"/>
  <c r="AF982" i="24"/>
  <c r="AF93" i="24"/>
  <c r="AF1490" i="24"/>
  <c r="AF799" i="24"/>
  <c r="AF1990" i="24"/>
  <c r="AF180" i="24"/>
  <c r="AF2072" i="24"/>
  <c r="AF1412" i="24"/>
  <c r="AF1541" i="24"/>
  <c r="AF2451" i="24"/>
  <c r="AF2321" i="24"/>
  <c r="AF1733" i="24"/>
  <c r="AF302" i="24"/>
  <c r="AF198" i="24"/>
  <c r="AF1827" i="24"/>
  <c r="AF661" i="24"/>
  <c r="AF1755" i="24"/>
  <c r="AF877" i="24"/>
  <c r="AF748" i="24"/>
  <c r="AF1135" i="24"/>
  <c r="AF1970" i="24"/>
  <c r="AF1167" i="24"/>
  <c r="AF2302" i="24"/>
  <c r="AF1221" i="24"/>
  <c r="AF2569" i="24"/>
  <c r="AF929" i="24"/>
  <c r="AF2396" i="24"/>
  <c r="AF1777" i="24"/>
  <c r="AF1069" i="24"/>
  <c r="AF1411" i="24"/>
  <c r="AF197" i="24"/>
  <c r="AF339" i="24"/>
  <c r="AF981" i="24"/>
  <c r="AF1989" i="24"/>
  <c r="AF1956" i="24"/>
  <c r="AF1732" i="24"/>
  <c r="AF1252" i="24"/>
  <c r="AF1540" i="24"/>
  <c r="AF1912" i="24"/>
  <c r="AF637" i="24"/>
  <c r="AF798" i="24"/>
  <c r="AF532" i="24"/>
  <c r="AF118" i="24"/>
  <c r="AF1524" i="24"/>
  <c r="AF2070" i="24"/>
  <c r="AF91" i="24"/>
  <c r="AF2450" i="24"/>
  <c r="AF876" i="24"/>
  <c r="AF300" i="24"/>
  <c r="AF1826" i="24"/>
  <c r="AF2320" i="24"/>
  <c r="AF179" i="24"/>
  <c r="AF658" i="24"/>
  <c r="AF24" i="24"/>
  <c r="AF1753" i="24"/>
  <c r="AF371" i="24"/>
  <c r="AF1489" i="24"/>
  <c r="AF746" i="24"/>
  <c r="AF1649" i="24"/>
  <c r="AF1134" i="24"/>
  <c r="AF928" i="24"/>
  <c r="AF1251" i="24"/>
  <c r="AF745" i="24"/>
  <c r="AF1250" i="24"/>
  <c r="AF2567" i="24"/>
  <c r="AF1068" i="24"/>
  <c r="AF1823" i="24"/>
  <c r="AF979" i="24"/>
  <c r="AF196" i="24"/>
  <c r="AF797" i="24"/>
  <c r="AF655" i="24"/>
  <c r="AF88" i="24"/>
  <c r="AF299" i="24"/>
  <c r="AF1750" i="24"/>
  <c r="AF744" i="24"/>
  <c r="AF1133" i="24"/>
  <c r="AF1822" i="24"/>
  <c r="AF86" i="24"/>
  <c r="AF743" i="24"/>
  <c r="Z86" i="24"/>
  <c r="T39" i="17"/>
  <c r="T34" i="17"/>
  <c r="T33" i="17"/>
  <c r="T37" i="17"/>
  <c r="T36" i="17"/>
  <c r="O34" i="18"/>
  <c r="T238" i="17"/>
  <c r="T237" i="17"/>
  <c r="T240" i="17"/>
  <c r="H195" i="18"/>
  <c r="O195" i="18" s="1"/>
  <c r="O196" i="18"/>
  <c r="T909" i="17"/>
  <c r="T999" i="15"/>
  <c r="T741" i="17"/>
  <c r="T803" i="15"/>
  <c r="T421" i="17"/>
  <c r="T423" i="17"/>
  <c r="O353" i="18"/>
  <c r="T455" i="15"/>
  <c r="T890" i="17"/>
  <c r="T971" i="15"/>
  <c r="T861" i="17"/>
  <c r="T864" i="17"/>
  <c r="T865" i="17"/>
  <c r="T943" i="15"/>
  <c r="T858" i="17"/>
  <c r="H721" i="18"/>
  <c r="O721" i="18" s="1"/>
  <c r="T936" i="15"/>
  <c r="T726" i="17"/>
  <c r="T728" i="17"/>
  <c r="T729" i="17"/>
  <c r="O614" i="18"/>
  <c r="O612" i="18"/>
  <c r="T789" i="15"/>
  <c r="T674" i="17"/>
  <c r="T673" i="17"/>
  <c r="T678" i="17"/>
  <c r="T677" i="17"/>
  <c r="T679" i="17"/>
  <c r="O572" i="18"/>
  <c r="O570" i="18"/>
  <c r="T321" i="17"/>
  <c r="T322" i="17"/>
  <c r="T341" i="15"/>
  <c r="T131" i="17"/>
  <c r="T138" i="15"/>
  <c r="T668" i="17"/>
  <c r="T670" i="17"/>
  <c r="T671" i="17"/>
  <c r="O566" i="18"/>
  <c r="O564" i="18"/>
  <c r="H562" i="18"/>
  <c r="O562" i="18" s="1"/>
  <c r="T719" i="15"/>
  <c r="T661" i="17"/>
  <c r="T664" i="17"/>
  <c r="T662" i="17"/>
  <c r="T665" i="17"/>
  <c r="O558" i="18"/>
  <c r="T658" i="17"/>
  <c r="T705" i="15"/>
  <c r="T605" i="17"/>
  <c r="T649" i="15"/>
  <c r="T561" i="17"/>
  <c r="T600" i="15"/>
  <c r="T115" i="17"/>
  <c r="T114" i="17"/>
  <c r="T118" i="17"/>
  <c r="T117" i="17"/>
  <c r="T116" i="17"/>
  <c r="T119" i="17"/>
  <c r="T273" i="17"/>
  <c r="T276" i="17"/>
  <c r="T275" i="17"/>
  <c r="T710" i="17"/>
  <c r="T761" i="15"/>
  <c r="T555" i="17"/>
  <c r="T593" i="15"/>
  <c r="T443" i="17"/>
  <c r="T474" i="15"/>
  <c r="T408" i="17"/>
  <c r="T410" i="17"/>
  <c r="T441" i="15"/>
  <c r="T439" i="15"/>
  <c r="AA995" i="24"/>
  <c r="AF995" i="24" s="1"/>
  <c r="X995" i="24"/>
  <c r="AD999" i="24"/>
  <c r="AD998" i="24"/>
  <c r="AD997" i="24"/>
  <c r="AD1006" i="24"/>
  <c r="T358" i="17"/>
  <c r="T357" i="17"/>
  <c r="T356" i="17"/>
  <c r="T359" i="17"/>
  <c r="O298" i="18"/>
  <c r="T340" i="17"/>
  <c r="T362" i="15"/>
  <c r="T232" i="17"/>
  <c r="T233" i="17"/>
  <c r="T243" i="15"/>
  <c r="T192" i="17"/>
  <c r="T189" i="17"/>
  <c r="T188" i="17"/>
  <c r="T190" i="17"/>
  <c r="T193" i="17"/>
  <c r="T201" i="15"/>
  <c r="T204" i="15"/>
  <c r="T144" i="17"/>
  <c r="H117" i="18"/>
  <c r="O117" i="18" s="1"/>
  <c r="T159" i="15"/>
  <c r="T45" i="17"/>
  <c r="T47" i="17"/>
  <c r="T518" i="17"/>
  <c r="T551" i="15"/>
  <c r="T947" i="17"/>
  <c r="T946" i="17"/>
  <c r="T949" i="17"/>
  <c r="O800" i="18"/>
  <c r="T1043" i="15"/>
  <c r="T809" i="17"/>
  <c r="T808" i="17"/>
  <c r="T811" i="17"/>
  <c r="T636" i="17"/>
  <c r="T638" i="17"/>
  <c r="O535" i="18"/>
  <c r="T389" i="17"/>
  <c r="T388" i="17"/>
  <c r="T391" i="17"/>
  <c r="T288" i="17"/>
  <c r="T287" i="17"/>
  <c r="T290" i="17"/>
  <c r="T289" i="17"/>
  <c r="T291" i="17"/>
  <c r="O243" i="18"/>
  <c r="O242" i="18"/>
  <c r="H239" i="18"/>
  <c r="O239" i="18" s="1"/>
  <c r="T306" i="15"/>
  <c r="R91" i="17"/>
  <c r="R96" i="15"/>
  <c r="T77" i="17"/>
  <c r="T79" i="17"/>
  <c r="H63" i="18"/>
  <c r="O63" i="18" s="1"/>
  <c r="T82" i="15"/>
  <c r="T546" i="17"/>
  <c r="T545" i="17"/>
  <c r="T544" i="17"/>
  <c r="T548" i="17"/>
  <c r="T549" i="17"/>
  <c r="T586" i="15"/>
  <c r="T588" i="15"/>
  <c r="T457" i="17"/>
  <c r="T488" i="15"/>
  <c r="S643" i="17"/>
  <c r="S642" i="17"/>
  <c r="S645" i="17"/>
  <c r="T644" i="17"/>
  <c r="T643" i="17"/>
  <c r="T642" i="17"/>
  <c r="T645" i="17"/>
  <c r="H539" i="18"/>
  <c r="O539" i="18" s="1"/>
  <c r="T269" i="17"/>
  <c r="T268" i="17"/>
  <c r="T271" i="17"/>
  <c r="T73" i="17"/>
  <c r="T72" i="17"/>
  <c r="T75" i="15"/>
  <c r="Q109" i="17"/>
  <c r="Q111" i="17"/>
  <c r="Q117" i="15"/>
  <c r="T12" i="17"/>
  <c r="T12" i="15"/>
  <c r="AC417" i="24"/>
  <c r="AC938" i="24"/>
  <c r="AC2390" i="24"/>
  <c r="AC319" i="24"/>
  <c r="AC1998" i="24"/>
  <c r="AC2474" i="24"/>
  <c r="AC1584" i="24"/>
  <c r="AC1922" i="24"/>
  <c r="AC1267" i="24"/>
  <c r="AC1743" i="24"/>
  <c r="AC2311" i="24"/>
  <c r="AC648" i="24"/>
  <c r="AC2266" i="24"/>
  <c r="AC1377" i="24"/>
  <c r="AC108" i="24"/>
  <c r="AC544" i="24"/>
  <c r="AC886" i="24"/>
  <c r="AC1124" i="24"/>
  <c r="AC1891" i="24"/>
  <c r="AC810" i="24"/>
  <c r="AC1477" i="24"/>
  <c r="AC957" i="24"/>
  <c r="AC485" i="24"/>
  <c r="AC2330" i="24"/>
  <c r="AC1404" i="24"/>
  <c r="AC445" i="24"/>
  <c r="AC1861" i="24"/>
  <c r="AC521" i="24"/>
  <c r="AC253" i="24"/>
  <c r="AC1213" i="24"/>
  <c r="AC1698" i="24"/>
  <c r="AC2420" i="24"/>
  <c r="AC2102" i="24"/>
  <c r="AC1266" i="24"/>
  <c r="AC2473" i="24"/>
  <c r="AC107" i="24"/>
  <c r="AC1361" i="24"/>
  <c r="AC1403" i="24"/>
  <c r="AC2389" i="24"/>
  <c r="AC520" i="24"/>
  <c r="AC1301" i="24"/>
  <c r="AC142" i="24"/>
  <c r="AC587" i="24"/>
  <c r="AC415" i="24"/>
  <c r="AC347" i="24"/>
  <c r="AC822" i="24"/>
  <c r="AC2309" i="24"/>
  <c r="AC936" i="24"/>
  <c r="AC1360" i="24"/>
  <c r="AC1265" i="24"/>
  <c r="AC1317" i="24"/>
  <c r="AC78" i="24"/>
  <c r="AC2492" i="24"/>
  <c r="AC629" i="24"/>
  <c r="AC204" i="24"/>
  <c r="AC2542" i="24"/>
  <c r="AC1548" i="24"/>
  <c r="AC2472" i="24"/>
  <c r="AC1417" i="24"/>
  <c r="AC1962" i="24"/>
  <c r="AC2295" i="24"/>
  <c r="AC2038" i="24"/>
  <c r="AC331" i="24"/>
  <c r="AC317" i="24"/>
  <c r="AC1212" i="24"/>
  <c r="AC1582" i="24"/>
  <c r="AC128" i="24"/>
  <c r="AC2521" i="24"/>
  <c r="AC2457" i="24"/>
  <c r="AC443" i="24"/>
  <c r="AC2264" i="24"/>
  <c r="AC106" i="24"/>
  <c r="AC1996" i="24"/>
  <c r="AC1920" i="24"/>
  <c r="AC2388" i="24"/>
  <c r="AC1741" i="24"/>
  <c r="AC899" i="24"/>
  <c r="AC188" i="24"/>
  <c r="AC1122" i="24"/>
  <c r="AC1681" i="24"/>
  <c r="AC1375" i="24"/>
  <c r="AC1047" i="24"/>
  <c r="AC2419" i="24"/>
  <c r="AC2217" i="24"/>
  <c r="AC646" i="24"/>
  <c r="AC788" i="24"/>
  <c r="AC708" i="24"/>
  <c r="AC1563" i="24"/>
  <c r="AC1889" i="24"/>
  <c r="AC884" i="24"/>
  <c r="AC954" i="24"/>
  <c r="AC1279" i="24"/>
  <c r="AC2328" i="24"/>
  <c r="AC1977" i="24"/>
  <c r="AC1475" i="24"/>
  <c r="AC378" i="24"/>
  <c r="AC252" i="24"/>
  <c r="AC2059" i="24"/>
  <c r="AC1628" i="24"/>
  <c r="AC919" i="24"/>
  <c r="AC478" i="24"/>
  <c r="AC1077" i="24"/>
  <c r="AC1402" i="24"/>
  <c r="AC1859" i="24"/>
  <c r="AC1300" i="24"/>
  <c r="AC612" i="24"/>
  <c r="AC1159" i="24"/>
  <c r="AC519" i="24"/>
  <c r="AC586" i="24"/>
  <c r="AC361" i="24"/>
  <c r="AC414" i="24"/>
  <c r="AC346" i="24"/>
  <c r="AC2308" i="24"/>
  <c r="AC316" i="24"/>
  <c r="AC1961" i="24"/>
  <c r="AC2387" i="24"/>
  <c r="AC2456" i="24"/>
  <c r="AC1264" i="24"/>
  <c r="AC935" i="24"/>
  <c r="AC1359" i="24"/>
  <c r="AC2471" i="24"/>
  <c r="AC1547" i="24"/>
  <c r="AC1416" i="24"/>
  <c r="AC2541" i="24"/>
  <c r="AC628" i="24"/>
  <c r="AC1581" i="24"/>
  <c r="AC707" i="24"/>
  <c r="AC127" i="24"/>
  <c r="AC2037" i="24"/>
  <c r="AC1680" i="24"/>
  <c r="AC1211" i="24"/>
  <c r="AC170" i="24"/>
  <c r="AC442" i="24"/>
  <c r="AC898" i="24"/>
  <c r="AC2520" i="24"/>
  <c r="AC1919" i="24"/>
  <c r="AC1740" i="24"/>
  <c r="AC2294" i="24"/>
  <c r="AC1121" i="24"/>
  <c r="AC105" i="24"/>
  <c r="AC330" i="24"/>
  <c r="AC2418" i="24"/>
  <c r="AC1374" i="24"/>
  <c r="AC1903" i="24"/>
  <c r="AC785" i="24"/>
  <c r="AC883" i="24"/>
  <c r="AC645" i="24"/>
  <c r="AC1562" i="24"/>
  <c r="AC1888" i="24"/>
  <c r="AC251" i="24"/>
  <c r="AC397" i="24"/>
  <c r="AC540" i="24"/>
  <c r="AC2216" i="24"/>
  <c r="AC2327" i="24"/>
  <c r="AC187" i="24"/>
  <c r="AC953" i="24"/>
  <c r="AC1474" i="24"/>
  <c r="AC1627" i="24"/>
  <c r="AC1858" i="24"/>
  <c r="AC477" i="24"/>
  <c r="AC2058" i="24"/>
  <c r="AC1401" i="24"/>
  <c r="AC1299" i="24"/>
  <c r="AC518" i="24"/>
  <c r="AC2557" i="24"/>
  <c r="AC360" i="24"/>
  <c r="AC585" i="24"/>
  <c r="AC412" i="24"/>
  <c r="AC2306" i="24"/>
  <c r="AC969" i="24"/>
  <c r="AC2455" i="24"/>
  <c r="AC345" i="24"/>
  <c r="AC820" i="24"/>
  <c r="AC1358" i="24"/>
  <c r="AC1695" i="24"/>
  <c r="AC1263" i="24"/>
  <c r="AC126" i="24"/>
  <c r="AC314" i="24"/>
  <c r="AC1780" i="24"/>
  <c r="AC1994" i="24"/>
  <c r="AC934" i="24"/>
  <c r="AC2469" i="24"/>
  <c r="AC75" i="24"/>
  <c r="AC1545" i="24"/>
  <c r="AC1415" i="24"/>
  <c r="AC201" i="24"/>
  <c r="AC2540" i="24"/>
  <c r="AC897" i="24"/>
  <c r="AC2518" i="24"/>
  <c r="AC2490" i="24"/>
  <c r="AC1580" i="24"/>
  <c r="AC440" i="24"/>
  <c r="AC103" i="24"/>
  <c r="AC1918" i="24"/>
  <c r="AC1678" i="24"/>
  <c r="AC706" i="24"/>
  <c r="AC2098" i="24"/>
  <c r="AC1075" i="24"/>
  <c r="AC2293" i="24"/>
  <c r="AC2343" i="24"/>
  <c r="AC250" i="24"/>
  <c r="AC185" i="24"/>
  <c r="AC1739" i="24"/>
  <c r="AC1119" i="24"/>
  <c r="AC644" i="24"/>
  <c r="AC169" i="24"/>
  <c r="AC1960" i="24"/>
  <c r="AC2416" i="24"/>
  <c r="AC802" i="24"/>
  <c r="AC1372" i="24"/>
  <c r="AC2035" i="24"/>
  <c r="AC1560" i="24"/>
  <c r="AC1902" i="24"/>
  <c r="AC783" i="24"/>
  <c r="AC626" i="24"/>
  <c r="AC1975" i="24"/>
  <c r="AC2179" i="24"/>
  <c r="AC1886" i="24"/>
  <c r="AC1314" i="24"/>
  <c r="AC329" i="24"/>
  <c r="AC1210" i="24"/>
  <c r="AC667" i="24"/>
  <c r="AC539" i="24"/>
  <c r="AC396" i="24"/>
  <c r="AC952" i="24"/>
  <c r="AC1473" i="24"/>
  <c r="AC717" i="24"/>
  <c r="AC848" i="24"/>
  <c r="AC882" i="24"/>
  <c r="AC2325" i="24"/>
  <c r="AC1625" i="24"/>
  <c r="AC375" i="24"/>
  <c r="AC2057" i="24"/>
  <c r="AC914" i="24"/>
  <c r="AC476" i="24"/>
  <c r="AC1712" i="24"/>
  <c r="AC1400" i="24"/>
  <c r="AC1837" i="24"/>
  <c r="AC609" i="24"/>
  <c r="AC1857" i="24"/>
  <c r="AC1298" i="24"/>
  <c r="AC2386" i="24"/>
  <c r="AC517" i="24"/>
  <c r="AC2232" i="24"/>
  <c r="AC2555" i="24"/>
  <c r="AC313" i="24"/>
  <c r="AC1885" i="24"/>
  <c r="AC2261" i="24"/>
  <c r="AC1261" i="24"/>
  <c r="AC968" i="24"/>
  <c r="AC475" i="24"/>
  <c r="AC847" i="24"/>
  <c r="AC1118" i="24"/>
  <c r="AC516" i="24"/>
  <c r="AC393" i="24"/>
  <c r="AC1883" i="24"/>
  <c r="AC513" i="24"/>
  <c r="AC1312" i="24"/>
  <c r="AC1958" i="24"/>
  <c r="AC122" i="24"/>
  <c r="AC438" i="24"/>
  <c r="AC2291" i="24"/>
  <c r="AC1693" i="24"/>
  <c r="AC1073" i="24"/>
  <c r="AC308" i="24"/>
  <c r="AC2259" i="24"/>
  <c r="AC1259" i="24"/>
  <c r="AC912" i="24"/>
  <c r="AC1882" i="24"/>
  <c r="AC967" i="24"/>
  <c r="AC167" i="24"/>
  <c r="AC2538" i="24"/>
  <c r="AC1543" i="24"/>
  <c r="AC2414" i="24"/>
  <c r="AC99" i="24"/>
  <c r="AC2094" i="24"/>
  <c r="AC625" i="24"/>
  <c r="AC392" i="24"/>
  <c r="AC846" i="24"/>
  <c r="AC2033" i="24"/>
  <c r="AC1115" i="24"/>
  <c r="AC512" i="24"/>
  <c r="AC1709" i="24"/>
  <c r="AC472" i="24"/>
  <c r="AC1396" i="24"/>
  <c r="AC1111" i="24"/>
  <c r="AC1394" i="24"/>
  <c r="AC509" i="24"/>
  <c r="AC1876" i="24"/>
  <c r="AC1108" i="24"/>
  <c r="AC1393" i="24"/>
  <c r="AC505" i="24"/>
  <c r="AC831" i="24"/>
  <c r="AC407" i="24"/>
  <c r="AC137" i="24"/>
  <c r="AC964" i="24"/>
  <c r="AC580" i="24"/>
  <c r="AC2303" i="24"/>
  <c r="AC2289" i="24"/>
  <c r="AC2451" i="24"/>
  <c r="AC1253" i="24"/>
  <c r="AC1575" i="24"/>
  <c r="AC437" i="24"/>
  <c r="AC1778" i="24"/>
  <c r="AC1353" i="24"/>
  <c r="AC302" i="24"/>
  <c r="AC1541" i="24"/>
  <c r="AC1311" i="24"/>
  <c r="AC1692" i="24"/>
  <c r="AC1733" i="24"/>
  <c r="AC930" i="24"/>
  <c r="AC911" i="24"/>
  <c r="AC2511" i="24"/>
  <c r="AC2412" i="24"/>
  <c r="AC2466" i="24"/>
  <c r="AC340" i="24"/>
  <c r="AC93" i="24"/>
  <c r="AC2384" i="24"/>
  <c r="AC1525" i="24"/>
  <c r="AC119" i="24"/>
  <c r="AC817" i="24"/>
  <c r="AC357" i="24"/>
  <c r="AC982" i="24"/>
  <c r="AC1490" i="24"/>
  <c r="AC2173" i="24"/>
  <c r="AC703" i="24"/>
  <c r="AC247" i="24"/>
  <c r="AC1042" i="24"/>
  <c r="AC71" i="24"/>
  <c r="AC2031" i="24"/>
  <c r="AC1990" i="24"/>
  <c r="AC639" i="24"/>
  <c r="AC1369" i="24"/>
  <c r="AC1971" i="24"/>
  <c r="AC424" i="24"/>
  <c r="AC1070" i="24"/>
  <c r="AC2486" i="24"/>
  <c r="AC1913" i="24"/>
  <c r="AC180" i="24"/>
  <c r="AC799" i="24"/>
  <c r="AC2093" i="24"/>
  <c r="AC2210" i="24"/>
  <c r="AC1087" i="24"/>
  <c r="AC1669" i="24"/>
  <c r="AC2340" i="24"/>
  <c r="AC1874" i="24"/>
  <c r="AC8" i="24"/>
  <c r="AC533" i="24"/>
  <c r="AC198" i="24"/>
  <c r="AC1412" i="24"/>
  <c r="AC165" i="24"/>
  <c r="AC2248" i="24"/>
  <c r="AC661" i="24"/>
  <c r="AC948" i="24"/>
  <c r="AC1901" i="24"/>
  <c r="AC1557" i="24"/>
  <c r="AC1103" i="24"/>
  <c r="AC283" i="24"/>
  <c r="AC775" i="24"/>
  <c r="AC1827" i="24"/>
  <c r="AC716" i="24"/>
  <c r="AC328" i="24"/>
  <c r="AC390" i="24"/>
  <c r="AC1206" i="24"/>
  <c r="AC1468" i="24"/>
  <c r="AC844" i="24"/>
  <c r="AC2321" i="24"/>
  <c r="AC1345" i="24"/>
  <c r="AC1392" i="24"/>
  <c r="AC877" i="24"/>
  <c r="AC461" i="24"/>
  <c r="AC2051" i="24"/>
  <c r="AC372" i="24"/>
  <c r="AC1622" i="24"/>
  <c r="AC2194" i="24"/>
  <c r="AC2022" i="24"/>
  <c r="AC264" i="24"/>
  <c r="AC2072" i="24"/>
  <c r="AC1152" i="24"/>
  <c r="AC2128" i="24"/>
  <c r="AC2537" i="24"/>
  <c r="AC1853" i="24"/>
  <c r="AC1274" i="24"/>
  <c r="AC1135" i="24"/>
  <c r="AC1291" i="24"/>
  <c r="AC502" i="24"/>
  <c r="AC2228" i="24"/>
  <c r="AC1957" i="24"/>
  <c r="AC2551" i="24"/>
  <c r="AC1389" i="24"/>
  <c r="AC1636" i="24"/>
  <c r="AC1440" i="24"/>
  <c r="AC1167" i="24"/>
  <c r="AC282" i="24"/>
  <c r="AC1944" i="24"/>
  <c r="AC1221" i="24"/>
  <c r="AC2302" i="24"/>
  <c r="AC2396" i="24"/>
  <c r="AC929" i="24"/>
  <c r="AC1025" i="24"/>
  <c r="AC1777" i="24"/>
  <c r="AC579" i="24"/>
  <c r="AC550" i="24"/>
  <c r="AC2383" i="24"/>
  <c r="AC2030" i="24"/>
  <c r="AC356" i="24"/>
  <c r="AC2411" i="24"/>
  <c r="AC702" i="24"/>
  <c r="AC1524" i="24"/>
  <c r="AC2339" i="24"/>
  <c r="AC1086" i="24"/>
  <c r="AC2485" i="24"/>
  <c r="AC2092" i="24"/>
  <c r="AC816" i="24"/>
  <c r="AC435" i="24"/>
  <c r="AC136" i="24"/>
  <c r="AC164" i="24"/>
  <c r="AC2465" i="24"/>
  <c r="AC1732" i="24"/>
  <c r="AC2450" i="24"/>
  <c r="AC70" i="24"/>
  <c r="AC1540" i="24"/>
  <c r="AC1344" i="24"/>
  <c r="AC118" i="24"/>
  <c r="AC1310" i="24"/>
  <c r="AC197" i="24"/>
  <c r="AC2110" i="24"/>
  <c r="AC895" i="24"/>
  <c r="AC339" i="24"/>
  <c r="AC981" i="24"/>
  <c r="AC1989" i="24"/>
  <c r="AC246" i="24"/>
  <c r="AC300" i="24"/>
  <c r="AC1691" i="24"/>
  <c r="AC1069" i="24"/>
  <c r="AC1667" i="24"/>
  <c r="AC2172" i="24"/>
  <c r="AC1912" i="24"/>
  <c r="AC389" i="24"/>
  <c r="AC91" i="24"/>
  <c r="AC1041" i="24"/>
  <c r="AC1252" i="24"/>
  <c r="AC7" i="24"/>
  <c r="AC1574" i="24"/>
  <c r="AC678" i="24"/>
  <c r="AC637" i="24"/>
  <c r="AC1970" i="24"/>
  <c r="AC1205" i="24"/>
  <c r="AC2049" i="24"/>
  <c r="AC876" i="24"/>
  <c r="AC327" i="24"/>
  <c r="AC2127" i="24"/>
  <c r="AC1388" i="24"/>
  <c r="AC1151" i="24"/>
  <c r="AC686" i="24"/>
  <c r="AC2070" i="24"/>
  <c r="AC2536" i="24"/>
  <c r="AC1956" i="24"/>
  <c r="AC1621" i="24"/>
  <c r="AC2508" i="24"/>
  <c r="AC1871" i="24"/>
  <c r="AC2245" i="24"/>
  <c r="AC774" i="24"/>
  <c r="AC532" i="24"/>
  <c r="AC843" i="24"/>
  <c r="AC963" i="24"/>
  <c r="AC1099" i="24"/>
  <c r="AC2193" i="24"/>
  <c r="AC1900" i="24"/>
  <c r="AC2209" i="24"/>
  <c r="AC2550" i="24"/>
  <c r="AC658" i="24"/>
  <c r="AC1273" i="24"/>
  <c r="AC1826" i="24"/>
  <c r="AC179" i="24"/>
  <c r="AC1467" i="24"/>
  <c r="AC1411" i="24"/>
  <c r="AC2320" i="24"/>
  <c r="AC1489" i="24"/>
  <c r="AC1352" i="24"/>
  <c r="AC263" i="24"/>
  <c r="AC1707" i="24"/>
  <c r="AC459" i="24"/>
  <c r="AC946" i="24"/>
  <c r="AC598" i="24"/>
  <c r="AC1852" i="24"/>
  <c r="AC371" i="24"/>
  <c r="AC1290" i="24"/>
  <c r="AC1134" i="24"/>
  <c r="AC1649" i="24"/>
  <c r="AC2227" i="24"/>
  <c r="AC798" i="24"/>
  <c r="AC2021" i="24"/>
  <c r="AC500" i="24"/>
  <c r="AC928" i="24"/>
  <c r="AC1387" i="24"/>
  <c r="AC458" i="24"/>
  <c r="AC499" i="24"/>
  <c r="AC1250" i="24"/>
  <c r="AC245" i="24"/>
  <c r="AC1870" i="24"/>
  <c r="AC388" i="24"/>
  <c r="AC43" i="24"/>
  <c r="AC89" i="24"/>
  <c r="AC1573" i="24"/>
  <c r="AC262" i="24"/>
  <c r="AC842" i="24"/>
  <c r="AC979" i="24"/>
  <c r="AC196" i="24"/>
  <c r="AC1068" i="24"/>
  <c r="AC677" i="24"/>
  <c r="AC1665" i="24"/>
  <c r="AC1386" i="24"/>
  <c r="AC797" i="24"/>
  <c r="AC2337" i="24"/>
  <c r="AC1465" i="24"/>
  <c r="AC299" i="24"/>
  <c r="AC2171" i="24"/>
  <c r="AC655" i="24"/>
  <c r="AC771" i="24"/>
  <c r="AC456" i="24"/>
  <c r="AC1288" i="24"/>
  <c r="AC2534" i="24"/>
  <c r="AC2482" i="24"/>
  <c r="AC88" i="24"/>
  <c r="AC596" i="24"/>
  <c r="AC1899" i="24"/>
  <c r="AC387" i="24"/>
  <c r="AC1869" i="24"/>
  <c r="AC1850" i="24"/>
  <c r="AC2208" i="24"/>
  <c r="AC1097" i="24"/>
  <c r="AC1572" i="24"/>
  <c r="AC2506" i="24"/>
  <c r="AC498" i="24"/>
  <c r="AC1133" i="24"/>
  <c r="AC1096" i="24"/>
  <c r="AC1385" i="24"/>
  <c r="AC495" i="24"/>
  <c r="AC1822" i="24"/>
  <c r="AC2480" i="24"/>
  <c r="AC86" i="24"/>
  <c r="AC454" i="24"/>
  <c r="AC1384" i="24"/>
  <c r="AC1095" i="24"/>
  <c r="AC494" i="24"/>
  <c r="AC243" i="24"/>
  <c r="AC386" i="24"/>
  <c r="AC493" i="24"/>
  <c r="AC295" i="24"/>
  <c r="AC84" i="24"/>
  <c r="AC1482" i="24"/>
  <c r="AC2409" i="24"/>
  <c r="AC114" i="24"/>
  <c r="AC526" i="24"/>
  <c r="AC1247" i="24"/>
  <c r="AC2240" i="24"/>
  <c r="AC1203" i="24"/>
  <c r="AC1382" i="24"/>
  <c r="AC1704" i="24"/>
  <c r="AC1093" i="24"/>
  <c r="AC2020" i="24"/>
  <c r="AC1866" i="24"/>
  <c r="AC1897" i="24"/>
  <c r="AC1285" i="24"/>
  <c r="AC369" i="24"/>
  <c r="AC492" i="24"/>
  <c r="AC491" i="24"/>
  <c r="AC490" i="24"/>
  <c r="AC1379" i="24"/>
  <c r="AC382" i="24"/>
  <c r="AC489" i="24"/>
  <c r="AC291" i="24"/>
  <c r="AC1478" i="24"/>
  <c r="AC2236" i="24"/>
  <c r="AC1199" i="24"/>
  <c r="AC1378" i="24"/>
  <c r="AC2016" i="24"/>
  <c r="AC1089" i="24"/>
  <c r="AC488" i="24"/>
  <c r="S297" i="17"/>
  <c r="S313" i="15"/>
  <c r="R328" i="17"/>
  <c r="R348" i="15"/>
  <c r="S328" i="17"/>
  <c r="S348" i="15"/>
  <c r="S372" i="17"/>
  <c r="S397" i="15"/>
  <c r="X457" i="24"/>
  <c r="AA457" i="24"/>
  <c r="R177" i="17"/>
  <c r="R172" i="17"/>
  <c r="R171" i="17"/>
  <c r="R175" i="17"/>
  <c r="R174" i="17"/>
  <c r="R173" i="17"/>
  <c r="R176" i="17"/>
  <c r="R189" i="15"/>
  <c r="S173" i="17"/>
  <c r="S177" i="17"/>
  <c r="S172" i="17"/>
  <c r="S171" i="17"/>
  <c r="S175" i="17"/>
  <c r="S174" i="17"/>
  <c r="S176" i="17"/>
  <c r="O149" i="18"/>
  <c r="S189" i="15"/>
  <c r="R530" i="17"/>
  <c r="R565" i="15"/>
  <c r="R85" i="17"/>
  <c r="R89" i="15"/>
  <c r="T735" i="17"/>
  <c r="T796" i="15"/>
  <c r="S530" i="17"/>
  <c r="S565" i="15"/>
  <c r="S157" i="17"/>
  <c r="S152" i="15"/>
  <c r="S495" i="17"/>
  <c r="S530" i="15"/>
  <c r="S712" i="17"/>
  <c r="S716" i="17"/>
  <c r="S714" i="17"/>
  <c r="S717" i="17"/>
  <c r="S775" i="15"/>
  <c r="AC1381" i="24"/>
  <c r="AC1380" i="24"/>
  <c r="S511" i="17"/>
  <c r="S504" i="17"/>
  <c r="S508" i="17"/>
  <c r="S507" i="17"/>
  <c r="S510" i="17"/>
  <c r="H426" i="18"/>
  <c r="O426" i="18" s="1"/>
  <c r="S544" i="15"/>
  <c r="S546" i="15"/>
  <c r="S947" i="17"/>
  <c r="S946" i="17"/>
  <c r="S949" i="17"/>
  <c r="O801" i="18"/>
  <c r="O802" i="18"/>
  <c r="O803" i="18"/>
  <c r="S1043" i="15"/>
  <c r="S778" i="17"/>
  <c r="S845" i="15"/>
  <c r="S181" i="17"/>
  <c r="S194" i="15"/>
  <c r="S825" i="17"/>
  <c r="S829" i="17"/>
  <c r="S827" i="17"/>
  <c r="S830" i="17"/>
  <c r="O697" i="18"/>
  <c r="O700" i="18"/>
  <c r="O699" i="18"/>
  <c r="S908" i="15"/>
  <c r="S723" i="17"/>
  <c r="S782" i="15"/>
  <c r="S699" i="17"/>
  <c r="S703" i="17"/>
  <c r="S702" i="17"/>
  <c r="S701" i="17"/>
  <c r="S704" i="17"/>
  <c r="S622" i="17"/>
  <c r="S625" i="17"/>
  <c r="S670" i="15"/>
  <c r="S618" i="17"/>
  <c r="S663" i="15"/>
  <c r="S605" i="17"/>
  <c r="S649" i="15"/>
  <c r="S647" i="15"/>
  <c r="S303" i="17"/>
  <c r="H249" i="18"/>
  <c r="O249" i="18" s="1"/>
  <c r="S320" i="15"/>
  <c r="AA736" i="24"/>
  <c r="AF736" i="24" s="1"/>
  <c r="AA731" i="24"/>
  <c r="AF731" i="24" s="1"/>
  <c r="AA729" i="24"/>
  <c r="AF729" i="24" s="1"/>
  <c r="AA728" i="24"/>
  <c r="AF728" i="24" s="1"/>
  <c r="S266" i="17"/>
  <c r="S268" i="17"/>
  <c r="S271" i="17"/>
  <c r="S285" i="15"/>
  <c r="S282" i="15"/>
  <c r="S227" i="17"/>
  <c r="S236" i="15"/>
  <c r="S109" i="17"/>
  <c r="S111" i="17"/>
  <c r="O90" i="18"/>
  <c r="S117" i="15"/>
  <c r="S25" i="17"/>
  <c r="S26" i="15"/>
  <c r="R316" i="17"/>
  <c r="R334" i="15"/>
  <c r="S316" i="17"/>
  <c r="H260" i="18"/>
  <c r="O260" i="18"/>
  <c r="S334" i="15"/>
  <c r="S608" i="17"/>
  <c r="S610" i="17"/>
  <c r="S609" i="17"/>
  <c r="S612" i="17"/>
  <c r="S405" i="17"/>
  <c r="S400" i="17"/>
  <c r="S403" i="17"/>
  <c r="S402" i="17"/>
  <c r="S404" i="17"/>
  <c r="S432" i="15"/>
  <c r="S394" i="17"/>
  <c r="S397" i="17"/>
  <c r="S395" i="17"/>
  <c r="S398" i="17"/>
  <c r="S425" i="15"/>
  <c r="S187" i="17"/>
  <c r="S186" i="17"/>
  <c r="S179" i="17"/>
  <c r="S178" i="17"/>
  <c r="S183" i="17"/>
  <c r="S184" i="17"/>
  <c r="O156" i="18"/>
  <c r="S196" i="15"/>
  <c r="S192" i="15"/>
  <c r="S191" i="15"/>
  <c r="S63" i="17"/>
  <c r="S62" i="17"/>
  <c r="S66" i="17"/>
  <c r="S64" i="17"/>
  <c r="S67" i="17"/>
  <c r="O53" i="18"/>
  <c r="O57" i="18"/>
  <c r="S68" i="15"/>
  <c r="S31" i="17"/>
  <c r="S33" i="15"/>
  <c r="R896" i="17"/>
  <c r="R978" i="15"/>
  <c r="R487" i="17"/>
  <c r="R489" i="17"/>
  <c r="R523" i="15"/>
  <c r="S487" i="17"/>
  <c r="S489" i="17"/>
  <c r="S523" i="15"/>
  <c r="S91" i="17"/>
  <c r="S96" i="15"/>
  <c r="S53" i="17"/>
  <c r="S54" i="15"/>
  <c r="S274" i="17"/>
  <c r="S273" i="17"/>
  <c r="S277" i="17"/>
  <c r="S276" i="17"/>
  <c r="S275" i="17"/>
  <c r="S278" i="17"/>
  <c r="R689" i="17"/>
  <c r="R688" i="17"/>
  <c r="R682" i="17"/>
  <c r="R685" i="17"/>
  <c r="R684" i="17"/>
  <c r="R683" i="17"/>
  <c r="R686" i="17"/>
  <c r="S896" i="17"/>
  <c r="S978" i="15"/>
  <c r="S144" i="17"/>
  <c r="S159" i="15"/>
  <c r="S942" i="17"/>
  <c r="S1034" i="15"/>
  <c r="R935" i="17"/>
  <c r="R934" i="17"/>
  <c r="R933" i="17"/>
  <c r="R936" i="17"/>
  <c r="R1029" i="15"/>
  <c r="R1030" i="15"/>
  <c r="S933" i="17"/>
  <c r="S935" i="17"/>
  <c r="S934" i="17"/>
  <c r="S936" i="17"/>
  <c r="H788" i="18"/>
  <c r="O788" i="18"/>
  <c r="S1029" i="15"/>
  <c r="S1030" i="15"/>
  <c r="S930" i="17"/>
  <c r="S924" i="17"/>
  <c r="S927" i="17"/>
  <c r="S926" i="17"/>
  <c r="S929" i="17"/>
  <c r="S1022" i="15"/>
  <c r="S889" i="17"/>
  <c r="S890" i="17"/>
  <c r="O750" i="18"/>
  <c r="S971" i="15"/>
  <c r="S884" i="17"/>
  <c r="S964" i="15"/>
  <c r="R875" i="17"/>
  <c r="R874" i="17"/>
  <c r="R877" i="17"/>
  <c r="R876" i="17"/>
  <c r="R878" i="17"/>
  <c r="R958" i="15"/>
  <c r="S874" i="17"/>
  <c r="S877" i="17"/>
  <c r="S876" i="17"/>
  <c r="S878" i="17"/>
  <c r="O740" i="18"/>
  <c r="S958" i="15"/>
  <c r="S858" i="17"/>
  <c r="S936" i="15"/>
  <c r="R599" i="17"/>
  <c r="R642" i="15"/>
  <c r="S428" i="17"/>
  <c r="S427" i="17"/>
  <c r="S430" i="17"/>
  <c r="O359" i="18"/>
  <c r="S462" i="15"/>
  <c r="R264" i="17"/>
  <c r="R278" i="15"/>
  <c r="S846" i="17"/>
  <c r="S922" i="15"/>
  <c r="S841" i="17"/>
  <c r="S840" i="17"/>
  <c r="S833" i="17"/>
  <c r="S832" i="17"/>
  <c r="S836" i="17"/>
  <c r="S835" i="17"/>
  <c r="S834" i="17"/>
  <c r="S838" i="17"/>
  <c r="S917" i="15"/>
  <c r="S902" i="17"/>
  <c r="S992" i="15"/>
  <c r="S995" i="15"/>
  <c r="S308" i="17"/>
  <c r="S310" i="17"/>
  <c r="S815" i="17"/>
  <c r="S817" i="17"/>
  <c r="S894" i="15"/>
  <c r="S784" i="17"/>
  <c r="S859" i="15"/>
  <c r="S755" i="17"/>
  <c r="S749" i="17"/>
  <c r="S752" i="17"/>
  <c r="S751" i="17"/>
  <c r="S753" i="17"/>
  <c r="S817" i="15"/>
  <c r="S819" i="15"/>
  <c r="S741" i="17"/>
  <c r="S803" i="15"/>
  <c r="S729" i="17"/>
  <c r="S789" i="15"/>
  <c r="S682" i="17"/>
  <c r="S685" i="17"/>
  <c r="S684" i="17"/>
  <c r="S683" i="17"/>
  <c r="S686" i="17"/>
  <c r="S649" i="17"/>
  <c r="S652" i="17"/>
  <c r="S698" i="15"/>
  <c r="S599" i="17"/>
  <c r="S642" i="15"/>
  <c r="S580" i="17"/>
  <c r="S621" i="15"/>
  <c r="S6" i="17"/>
  <c r="S5" i="15"/>
  <c r="S587" i="17"/>
  <c r="S628" i="15"/>
  <c r="S555" i="17"/>
  <c r="S593" i="15"/>
  <c r="S518" i="17"/>
  <c r="S551" i="15"/>
  <c r="S445" i="17"/>
  <c r="S449" i="17"/>
  <c r="S448" i="17"/>
  <c r="S447" i="17"/>
  <c r="S450" i="17"/>
  <c r="O377" i="18"/>
  <c r="O376" i="18"/>
  <c r="S244" i="17"/>
  <c r="S246" i="17"/>
  <c r="S257" i="15"/>
  <c r="S443" i="17"/>
  <c r="S474" i="15"/>
  <c r="S210" i="17"/>
  <c r="S211" i="17"/>
  <c r="S222" i="15"/>
  <c r="S437" i="17"/>
  <c r="S467" i="15"/>
  <c r="S469" i="15"/>
  <c r="S466" i="15"/>
  <c r="S476" i="17"/>
  <c r="S477" i="17"/>
  <c r="O400" i="18"/>
  <c r="S509" i="15"/>
  <c r="S378" i="17"/>
  <c r="S404" i="15"/>
  <c r="S334" i="17"/>
  <c r="S355" i="15"/>
  <c r="S149" i="17"/>
  <c r="S148" i="17"/>
  <c r="S151" i="17"/>
  <c r="O124" i="18"/>
  <c r="S103" i="17"/>
  <c r="S105" i="17"/>
  <c r="O86" i="18"/>
  <c r="S107" i="15"/>
  <c r="S58" i="17"/>
  <c r="S57" i="17"/>
  <c r="S60" i="17"/>
  <c r="O47" i="18"/>
  <c r="H46" i="18"/>
  <c r="O46" i="18" s="1"/>
  <c r="S58" i="15"/>
  <c r="R555" i="17"/>
  <c r="AC617" i="24"/>
  <c r="AC1143" i="24"/>
  <c r="AC805" i="24"/>
  <c r="AC803" i="24"/>
  <c r="AC2214" i="24"/>
  <c r="AC1917" i="24"/>
  <c r="AC124" i="24"/>
  <c r="AC100" i="24"/>
  <c r="AC1916" i="24"/>
  <c r="AC2053" i="24"/>
  <c r="AC603" i="24"/>
  <c r="AC1873" i="24"/>
  <c r="AC1872" i="24"/>
  <c r="AC44" i="24"/>
  <c r="AC1251" i="24"/>
  <c r="AC1289" i="24"/>
  <c r="AC42" i="24"/>
  <c r="AC1868" i="24"/>
  <c r="AC115" i="24"/>
  <c r="AC1867" i="24"/>
  <c r="AC1149" i="24"/>
  <c r="AC1281" i="24"/>
  <c r="S869" i="17"/>
  <c r="S872" i="17"/>
  <c r="S950" i="15"/>
  <c r="R668" i="17"/>
  <c r="R670" i="17"/>
  <c r="R671" i="17"/>
  <c r="R719" i="15"/>
  <c r="S591" i="17"/>
  <c r="S593" i="17"/>
  <c r="S635" i="15"/>
  <c r="R593" i="15"/>
  <c r="S483" i="17"/>
  <c r="S516" i="15"/>
  <c r="S339" i="17"/>
  <c r="S340" i="17"/>
  <c r="S362" i="15"/>
  <c r="S288" i="17"/>
  <c r="S287" i="17"/>
  <c r="S289" i="17"/>
  <c r="S291" i="17"/>
  <c r="S306" i="15"/>
  <c r="R94" i="17"/>
  <c r="R93" i="17"/>
  <c r="R97" i="17"/>
  <c r="R96" i="17"/>
  <c r="R98" i="17"/>
  <c r="S163" i="17"/>
  <c r="S173" i="15"/>
  <c r="S469" i="17"/>
  <c r="S468" i="17"/>
  <c r="S471" i="17"/>
  <c r="O393" i="18"/>
  <c r="S462" i="17"/>
  <c r="S464" i="17"/>
  <c r="S264" i="17"/>
  <c r="S278" i="15"/>
  <c r="S852" i="17"/>
  <c r="S929" i="15"/>
  <c r="S658" i="17"/>
  <c r="S705" i="15"/>
  <c r="S524" i="17"/>
  <c r="S558" i="15"/>
  <c r="S416" i="17"/>
  <c r="S446" i="15"/>
  <c r="S115" i="17"/>
  <c r="S114" i="17"/>
  <c r="S118" i="17"/>
  <c r="S117" i="17"/>
  <c r="S116" i="17"/>
  <c r="S119" i="17"/>
  <c r="S85" i="17"/>
  <c r="S89" i="15"/>
  <c r="S919" i="17"/>
  <c r="S917" i="17"/>
  <c r="S920" i="17"/>
  <c r="S922" i="17"/>
  <c r="O778" i="18"/>
  <c r="S914" i="17"/>
  <c r="S915" i="17"/>
  <c r="S1006" i="15"/>
  <c r="S905" i="17"/>
  <c r="S904" i="17"/>
  <c r="S908" i="17"/>
  <c r="S907" i="17"/>
  <c r="S906" i="17"/>
  <c r="S909" i="17"/>
  <c r="S1001" i="15"/>
  <c r="S861" i="17"/>
  <c r="S865" i="17"/>
  <c r="O728" i="18"/>
  <c r="S943" i="15"/>
  <c r="S823" i="17"/>
  <c r="S901" i="15"/>
  <c r="S788" i="17"/>
  <c r="S791" i="17"/>
  <c r="O662" i="18"/>
  <c r="S866" i="15"/>
  <c r="S809" i="17"/>
  <c r="S808" i="17"/>
  <c r="S811" i="17"/>
  <c r="S770" i="17"/>
  <c r="S772" i="17"/>
  <c r="S838" i="15"/>
  <c r="S765" i="17"/>
  <c r="S764" i="17"/>
  <c r="S766" i="17"/>
  <c r="O642" i="18"/>
  <c r="S831" i="15"/>
  <c r="S345" i="17"/>
  <c r="S369" i="15"/>
  <c r="H288" i="18"/>
  <c r="O288" i="18" s="1"/>
  <c r="S346" i="17"/>
  <c r="H286" i="18"/>
  <c r="O286" i="18" s="1"/>
  <c r="AA2034" i="24"/>
  <c r="S760" i="17"/>
  <c r="S824" i="15"/>
  <c r="S698" i="17"/>
  <c r="S697" i="17"/>
  <c r="S690" i="17"/>
  <c r="S693" i="17"/>
  <c r="S692" i="17"/>
  <c r="S695" i="17"/>
  <c r="S679" i="17"/>
  <c r="S674" i="17"/>
  <c r="S673" i="17"/>
  <c r="S678" i="17"/>
  <c r="S677" i="17"/>
  <c r="S676" i="17"/>
  <c r="H567" i="18"/>
  <c r="O567" i="18" s="1"/>
  <c r="S670" i="17"/>
  <c r="S668" i="17"/>
  <c r="S671" i="17"/>
  <c r="S719" i="15"/>
  <c r="S661" i="17"/>
  <c r="S660" i="17"/>
  <c r="S664" i="17"/>
  <c r="S662" i="17"/>
  <c r="S665" i="17"/>
  <c r="S710" i="15"/>
  <c r="S570" i="17"/>
  <c r="S572" i="17"/>
  <c r="S571" i="17"/>
  <c r="S574" i="17"/>
  <c r="O484" i="18"/>
  <c r="S616" i="15"/>
  <c r="S567" i="17"/>
  <c r="S607" i="15"/>
  <c r="S561" i="17"/>
  <c r="S600" i="15"/>
  <c r="S710" i="17"/>
  <c r="S761" i="15"/>
  <c r="S538" i="17"/>
  <c r="S540" i="17"/>
  <c r="S542" i="17"/>
  <c r="S579" i="15"/>
  <c r="S501" i="17"/>
  <c r="S537" i="15"/>
  <c r="S636" i="17"/>
  <c r="S638" i="17"/>
  <c r="S420" i="17"/>
  <c r="S423" i="17"/>
  <c r="O352" i="18"/>
  <c r="S453" i="15"/>
  <c r="S455" i="15"/>
  <c r="S408" i="17"/>
  <c r="S410" i="17"/>
  <c r="S439" i="15"/>
  <c r="S441" i="15"/>
  <c r="S389" i="17"/>
  <c r="S388" i="17"/>
  <c r="S391" i="17"/>
  <c r="O324" i="18"/>
  <c r="S420" i="15"/>
  <c r="S384" i="17"/>
  <c r="S411" i="15"/>
  <c r="AA999" i="24"/>
  <c r="AA998" i="24"/>
  <c r="X998" i="24"/>
  <c r="AA997" i="24"/>
  <c r="AA1006" i="24"/>
  <c r="X1006" i="24"/>
  <c r="Z1006" i="24" s="1"/>
  <c r="AA993" i="24"/>
  <c r="AC993" i="24" s="1"/>
  <c r="S355" i="17"/>
  <c r="S358" i="17"/>
  <c r="S357" i="17"/>
  <c r="S356" i="17"/>
  <c r="S359" i="17"/>
  <c r="O299" i="18"/>
  <c r="S352" i="17"/>
  <c r="S376" i="15"/>
  <c r="S321" i="17"/>
  <c r="S322" i="17"/>
  <c r="O266" i="18"/>
  <c r="O268" i="18"/>
  <c r="O269" i="18"/>
  <c r="S341" i="15"/>
  <c r="S280" i="17"/>
  <c r="S284" i="17"/>
  <c r="S283" i="17"/>
  <c r="S282" i="17"/>
  <c r="S285" i="17"/>
  <c r="S258" i="17"/>
  <c r="S271" i="15"/>
  <c r="S236" i="17"/>
  <c r="S239" i="17"/>
  <c r="S237" i="17"/>
  <c r="S240" i="17"/>
  <c r="S250" i="15"/>
  <c r="S231" i="17"/>
  <c r="S232" i="17"/>
  <c r="S233" i="17"/>
  <c r="S241" i="15"/>
  <c r="S242" i="15"/>
  <c r="S243" i="15"/>
  <c r="S214" i="17"/>
  <c r="S213" i="17"/>
  <c r="S216" i="17"/>
  <c r="S215" i="17"/>
  <c r="S218" i="17"/>
  <c r="O183" i="18"/>
  <c r="S231" i="15"/>
  <c r="S252" i="17"/>
  <c r="S264" i="15"/>
  <c r="S199" i="17"/>
  <c r="S208" i="15"/>
  <c r="S189" i="17"/>
  <c r="S188" i="17"/>
  <c r="S192" i="17"/>
  <c r="S191" i="17"/>
  <c r="S190" i="17"/>
  <c r="S193" i="17"/>
  <c r="O165" i="18"/>
  <c r="S169" i="17"/>
  <c r="S180" i="15"/>
  <c r="S137" i="17"/>
  <c r="O112" i="18"/>
  <c r="S145" i="15"/>
  <c r="S131" i="17"/>
  <c r="S138" i="15"/>
  <c r="S123" i="17"/>
  <c r="S125" i="17"/>
  <c r="S131" i="15"/>
  <c r="S79" i="17"/>
  <c r="S77" i="17"/>
  <c r="S82" i="15"/>
  <c r="S45" i="17"/>
  <c r="S47" i="17"/>
  <c r="S39" i="17"/>
  <c r="S34" i="17"/>
  <c r="S33" i="17"/>
  <c r="S38" i="17"/>
  <c r="S36" i="17"/>
  <c r="S40" i="17"/>
  <c r="H31" i="18"/>
  <c r="O31" i="18" s="1"/>
  <c r="S40" i="15"/>
  <c r="S42" i="15"/>
  <c r="S38" i="15"/>
  <c r="S37" i="15"/>
  <c r="S17" i="17"/>
  <c r="S16" i="17"/>
  <c r="S19" i="17"/>
  <c r="S21" i="15"/>
  <c r="R495" i="17"/>
  <c r="R530" i="15"/>
  <c r="R303" i="17"/>
  <c r="R320" i="15"/>
  <c r="R591" i="17"/>
  <c r="R593" i="17"/>
  <c r="R635" i="15"/>
  <c r="S545" i="17"/>
  <c r="S544" i="17"/>
  <c r="S548" i="17"/>
  <c r="S547" i="17"/>
  <c r="S546" i="17"/>
  <c r="S549" i="17"/>
  <c r="S588" i="15"/>
  <c r="S584" i="15"/>
  <c r="S72" i="17"/>
  <c r="S73" i="17"/>
  <c r="S75" i="15"/>
  <c r="R31" i="17"/>
  <c r="R33" i="15"/>
  <c r="Z1698" i="24"/>
  <c r="Z444" i="24"/>
  <c r="Z2473" i="24"/>
  <c r="Z1266" i="24"/>
  <c r="Z1019" i="24"/>
  <c r="Z2202" i="24"/>
  <c r="Z14" i="24"/>
  <c r="Z520" i="24"/>
  <c r="Z1403" i="24"/>
  <c r="Z2235" i="24"/>
  <c r="Z1317" i="24"/>
  <c r="Z415" i="24"/>
  <c r="Z347" i="24"/>
  <c r="Z805" i="24"/>
  <c r="Z936" i="24"/>
  <c r="Z1548" i="24"/>
  <c r="Z317" i="24"/>
  <c r="Z2264" i="24"/>
  <c r="Z2472" i="24"/>
  <c r="Z204" i="24"/>
  <c r="Z1417" i="24"/>
  <c r="Z2038" i="24"/>
  <c r="Z2295" i="24"/>
  <c r="Z1962" i="24"/>
  <c r="Z708" i="24"/>
  <c r="Z1681" i="24"/>
  <c r="Z2059" i="24"/>
  <c r="Z1265" i="24"/>
  <c r="Z1375" i="24"/>
  <c r="Z2217" i="24"/>
  <c r="Z1904" i="24"/>
  <c r="Z2457" i="24"/>
  <c r="Z443" i="24"/>
  <c r="Z378" i="24"/>
  <c r="Z2521" i="24"/>
  <c r="Z128" i="24"/>
  <c r="Z954" i="24"/>
  <c r="Z884" i="24"/>
  <c r="Z106" i="24"/>
  <c r="Z1122" i="24"/>
  <c r="Z1920" i="24"/>
  <c r="Z646" i="24"/>
  <c r="Z13" i="24"/>
  <c r="Z1889" i="24"/>
  <c r="Z919" i="24"/>
  <c r="Z2328" i="24"/>
  <c r="Z1797" i="24"/>
  <c r="Z1196" i="24"/>
  <c r="Z1582" i="24"/>
  <c r="Z1475" i="24"/>
  <c r="Z1563" i="24"/>
  <c r="Z1077" i="24"/>
  <c r="Z1761" i="24"/>
  <c r="Z519" i="24"/>
  <c r="Z1402" i="24"/>
  <c r="Z1300" i="24"/>
  <c r="Z1741" i="24"/>
  <c r="Z555" i="24"/>
  <c r="Z414" i="24"/>
  <c r="Z346" i="24"/>
  <c r="Z316" i="24"/>
  <c r="Z2058" i="24"/>
  <c r="Z935" i="24"/>
  <c r="Z2471" i="24"/>
  <c r="Z1416" i="24"/>
  <c r="Z1961" i="24"/>
  <c r="Z2294" i="24"/>
  <c r="Z1680" i="24"/>
  <c r="Z170" i="24"/>
  <c r="Z803" i="24"/>
  <c r="Z2456" i="24"/>
  <c r="Z1903" i="24"/>
  <c r="Z1374" i="24"/>
  <c r="Z1696" i="24"/>
  <c r="Z1264" i="24"/>
  <c r="Z442" i="24"/>
  <c r="Z2520" i="24"/>
  <c r="Z2216" i="24"/>
  <c r="Z883" i="24"/>
  <c r="Z1796" i="24"/>
  <c r="Z127" i="24"/>
  <c r="Z953" i="24"/>
  <c r="Z1919" i="24"/>
  <c r="Z645" i="24"/>
  <c r="Z1547" i="24"/>
  <c r="Z12" i="24"/>
  <c r="Z1888" i="24"/>
  <c r="Z1121" i="24"/>
  <c r="Z105" i="24"/>
  <c r="Z1562" i="24"/>
  <c r="Z1474" i="24"/>
  <c r="Z518" i="24"/>
  <c r="Z1581" i="24"/>
  <c r="Z2327" i="24"/>
  <c r="Z1195" i="24"/>
  <c r="Z1401" i="24"/>
  <c r="Z1760" i="24"/>
  <c r="Z1299" i="24"/>
  <c r="Z1740" i="24"/>
  <c r="Z554" i="24"/>
  <c r="Z412" i="24"/>
  <c r="Z1314" i="24"/>
  <c r="Z345" i="24"/>
  <c r="Z2057" i="24"/>
  <c r="Z934" i="24"/>
  <c r="Z426" i="24"/>
  <c r="Z2469" i="24"/>
  <c r="Z1415" i="24"/>
  <c r="Z2262" i="24"/>
  <c r="Z1263" i="24"/>
  <c r="Z201" i="24"/>
  <c r="Z2293" i="24"/>
  <c r="Z706" i="24"/>
  <c r="Z1075" i="24"/>
  <c r="Z969" i="24"/>
  <c r="Z314" i="24"/>
  <c r="Z802" i="24"/>
  <c r="Z1960" i="24"/>
  <c r="Z2455" i="24"/>
  <c r="Z1678" i="24"/>
  <c r="Z2035" i="24"/>
  <c r="Z1902" i="24"/>
  <c r="Z1372" i="24"/>
  <c r="Z1545" i="24"/>
  <c r="Z1695" i="24"/>
  <c r="Z440" i="24"/>
  <c r="Z169" i="24"/>
  <c r="Z2518" i="24"/>
  <c r="Z667" i="24"/>
  <c r="Z952" i="24"/>
  <c r="Z126" i="24"/>
  <c r="Z2343" i="24"/>
  <c r="Z848" i="24"/>
  <c r="Z1918" i="24"/>
  <c r="Z882" i="24"/>
  <c r="Z914" i="24"/>
  <c r="Z644" i="24"/>
  <c r="Z11" i="24"/>
  <c r="Z1795" i="24"/>
  <c r="Z1886" i="24"/>
  <c r="Z1119" i="24"/>
  <c r="Z2179" i="24"/>
  <c r="Z1193" i="24"/>
  <c r="Z517" i="24"/>
  <c r="Z1473" i="24"/>
  <c r="Z1560" i="24"/>
  <c r="Z1580" i="24"/>
  <c r="Z103" i="24"/>
  <c r="Z1759" i="24"/>
  <c r="Z1400" i="24"/>
  <c r="Z1837" i="24"/>
  <c r="Z1298" i="24"/>
  <c r="Z1780" i="24"/>
  <c r="Z1739" i="24"/>
  <c r="Z2214" i="24"/>
  <c r="Z2325" i="24"/>
  <c r="Z1015" i="24"/>
  <c r="Z2232" i="24"/>
  <c r="Z2261" i="24"/>
  <c r="Z1312" i="24"/>
  <c r="Z641" i="24"/>
  <c r="Z438" i="24"/>
  <c r="Z1577" i="24"/>
  <c r="Z2291" i="24"/>
  <c r="Z308" i="24"/>
  <c r="Z552" i="24"/>
  <c r="Z1471" i="24"/>
  <c r="Z425" i="24"/>
  <c r="Z1958" i="24"/>
  <c r="Z1693" i="24"/>
  <c r="Z912" i="24"/>
  <c r="Z122" i="24"/>
  <c r="Z967" i="24"/>
  <c r="Z664" i="24"/>
  <c r="Z167" i="24"/>
  <c r="Z1543" i="24"/>
  <c r="Z99" i="24"/>
  <c r="Z1916" i="24"/>
  <c r="Z1259" i="24"/>
  <c r="Z1014" i="24"/>
  <c r="Z407" i="24"/>
  <c r="Z2289" i="24"/>
  <c r="Z357" i="24"/>
  <c r="Z2051" i="24"/>
  <c r="Z964" i="24"/>
  <c r="Z1692" i="24"/>
  <c r="Z1070" i="24"/>
  <c r="Z1591" i="24"/>
  <c r="Z2466" i="24"/>
  <c r="Z340" i="24"/>
  <c r="Z424" i="24"/>
  <c r="Z551" i="24"/>
  <c r="Z1957" i="24"/>
  <c r="Z982" i="24"/>
  <c r="Z1369" i="24"/>
  <c r="Z302" i="24"/>
  <c r="Z2451" i="24"/>
  <c r="Z137" i="24"/>
  <c r="Z1541" i="24"/>
  <c r="Z1253" i="24"/>
  <c r="Z437" i="24"/>
  <c r="Z930" i="24"/>
  <c r="Z703" i="24"/>
  <c r="Z390" i="24"/>
  <c r="Z1087" i="24"/>
  <c r="Z2210" i="24"/>
  <c r="Z198" i="24"/>
  <c r="Z799" i="24"/>
  <c r="Z1412" i="24"/>
  <c r="Z661" i="24"/>
  <c r="Z1901" i="24"/>
  <c r="Z948" i="24"/>
  <c r="Z2173" i="24"/>
  <c r="Z1827" i="24"/>
  <c r="Z180" i="24"/>
  <c r="Z1490" i="24"/>
  <c r="Z165" i="24"/>
  <c r="Z911" i="24"/>
  <c r="Z2384" i="24"/>
  <c r="Z2340" i="24"/>
  <c r="Z1669" i="24"/>
  <c r="Z639" i="24"/>
  <c r="Z1913" i="24"/>
  <c r="Z603" i="24"/>
  <c r="Z119" i="24"/>
  <c r="Z775" i="24"/>
  <c r="Z1185" i="24"/>
  <c r="Z8" i="24"/>
  <c r="Z1874" i="24"/>
  <c r="Z1794" i="24"/>
  <c r="Z2248" i="24"/>
  <c r="Z877" i="24"/>
  <c r="Z2031" i="24"/>
  <c r="Z2194" i="24"/>
  <c r="Z2511" i="24"/>
  <c r="Z1575" i="24"/>
  <c r="Z2321" i="24"/>
  <c r="Z1755" i="24"/>
  <c r="Z844" i="24"/>
  <c r="Z1103" i="24"/>
  <c r="Z93" i="24"/>
  <c r="Z2486" i="24"/>
  <c r="Z1392" i="24"/>
  <c r="Z2022" i="24"/>
  <c r="Z1468" i="24"/>
  <c r="Z2072" i="24"/>
  <c r="Z1152" i="24"/>
  <c r="Z264" i="24"/>
  <c r="Z1557" i="24"/>
  <c r="Z372" i="24"/>
  <c r="Z1778" i="24"/>
  <c r="Z1291" i="24"/>
  <c r="Z1274" i="24"/>
  <c r="Z533" i="24"/>
  <c r="Z1013" i="24"/>
  <c r="Z1733" i="24"/>
  <c r="Z2228" i="24"/>
  <c r="Z1135" i="24"/>
  <c r="Z502" i="24"/>
  <c r="Z1042" i="24"/>
  <c r="Z2551" i="24"/>
  <c r="Z1311" i="24"/>
  <c r="Z1590" i="24"/>
  <c r="Z1310" i="24"/>
  <c r="Z1221" i="24"/>
  <c r="Z406" i="24"/>
  <c r="Z2396" i="24"/>
  <c r="Z550" i="24"/>
  <c r="Z356" i="24"/>
  <c r="Z816" i="24"/>
  <c r="Z423" i="24"/>
  <c r="Z1086" i="24"/>
  <c r="Z702" i="24"/>
  <c r="Z2049" i="24"/>
  <c r="Z2465" i="24"/>
  <c r="Z1025" i="24"/>
  <c r="Z929" i="24"/>
  <c r="Z623" i="24"/>
  <c r="Z389" i="24"/>
  <c r="Z197" i="24"/>
  <c r="Z1069" i="24"/>
  <c r="Z435" i="24"/>
  <c r="Z339" i="24"/>
  <c r="Z1691" i="24"/>
  <c r="Z1540" i="24"/>
  <c r="Z1989" i="24"/>
  <c r="Z2110" i="24"/>
  <c r="Z2030" i="24"/>
  <c r="Z774" i="24"/>
  <c r="Z1944" i="24"/>
  <c r="Z579" i="24"/>
  <c r="Z1273" i="24"/>
  <c r="Z164" i="24"/>
  <c r="Z300" i="24"/>
  <c r="Z2485" i="24"/>
  <c r="Z136" i="24"/>
  <c r="Z1012" i="24"/>
  <c r="Z1388" i="24"/>
  <c r="Z2070" i="24"/>
  <c r="Z686" i="24"/>
  <c r="Z1489" i="24"/>
  <c r="Z1956" i="24"/>
  <c r="Z179" i="24"/>
  <c r="Z963" i="24"/>
  <c r="Z2339" i="24"/>
  <c r="Z2450" i="24"/>
  <c r="Z1556" i="24"/>
  <c r="Z1252" i="24"/>
  <c r="Z1041" i="24"/>
  <c r="Z637" i="24"/>
  <c r="Z1912" i="24"/>
  <c r="Z118" i="24"/>
  <c r="Z2209" i="24"/>
  <c r="Z1900" i="24"/>
  <c r="Z1184" i="24"/>
  <c r="Z2172" i="24"/>
  <c r="Z658" i="24"/>
  <c r="Z843" i="24"/>
  <c r="Z1667" i="24"/>
  <c r="Z1826" i="24"/>
  <c r="Z1574" i="24"/>
  <c r="Z7" i="24"/>
  <c r="Z1411" i="24"/>
  <c r="Z876" i="24"/>
  <c r="Z91" i="24"/>
  <c r="Z1151" i="24"/>
  <c r="Z2193" i="24"/>
  <c r="Z2245" i="24"/>
  <c r="Z2383" i="24"/>
  <c r="Z263" i="24"/>
  <c r="Z598" i="24"/>
  <c r="Z2127" i="24"/>
  <c r="Z1099" i="24"/>
  <c r="Z946" i="24"/>
  <c r="Z1793" i="24"/>
  <c r="Z1753" i="24"/>
  <c r="Z2320" i="24"/>
  <c r="Z1467" i="24"/>
  <c r="Z371" i="24"/>
  <c r="Z1290" i="24"/>
  <c r="Z1871" i="24"/>
  <c r="Z1732" i="24"/>
  <c r="Z2508" i="24"/>
  <c r="Z1649" i="24"/>
  <c r="Z2227" i="24"/>
  <c r="Z2021" i="24"/>
  <c r="Z798" i="24"/>
  <c r="Z532" i="24"/>
  <c r="Z1134" i="24"/>
  <c r="Z44" i="24"/>
  <c r="Z500" i="24"/>
  <c r="Z1777" i="24"/>
  <c r="Z2550" i="24"/>
  <c r="Z90" i="24"/>
  <c r="Z657" i="24"/>
  <c r="Z908" i="24"/>
  <c r="Z1251" i="24"/>
  <c r="Z1387" i="24"/>
  <c r="Z928" i="24"/>
  <c r="Z1289" i="24"/>
  <c r="Z43" i="24"/>
  <c r="Z1870" i="24"/>
  <c r="Z1250" i="24"/>
  <c r="Z42" i="24"/>
  <c r="Z1039" i="24"/>
  <c r="Z530" i="24"/>
  <c r="Z1097" i="24"/>
  <c r="Z2337" i="24"/>
  <c r="Z2506" i="24"/>
  <c r="Z1869" i="24"/>
  <c r="Z1572" i="24"/>
  <c r="Z2208" i="24"/>
  <c r="Z88" i="24"/>
  <c r="Z2482" i="24"/>
  <c r="Z2171" i="24"/>
  <c r="Z2243" i="24"/>
  <c r="Z1750" i="24"/>
  <c r="Z1899" i="24"/>
  <c r="Z2449" i="24"/>
  <c r="Z1288" i="24"/>
  <c r="Z1465" i="24"/>
  <c r="Z655" i="24"/>
  <c r="Z1410" i="24"/>
  <c r="Z1386" i="24"/>
  <c r="Z1665" i="24"/>
  <c r="Z299" i="24"/>
  <c r="Z1068" i="24"/>
  <c r="Z797" i="24"/>
  <c r="Z196" i="24"/>
  <c r="Z1084" i="24"/>
  <c r="Z2287" i="24"/>
  <c r="Z84" i="24"/>
  <c r="Z1482" i="24"/>
  <c r="Z433" i="24"/>
  <c r="Z1038" i="24"/>
  <c r="Z6" i="24"/>
  <c r="Z2240" i="24"/>
  <c r="Z944" i="24"/>
  <c r="Z2028" i="24"/>
  <c r="Z1272" i="24"/>
  <c r="Z1539" i="24"/>
  <c r="Z526" i="24"/>
  <c r="Z1247" i="24"/>
  <c r="Z114" i="24"/>
  <c r="Z2020" i="24"/>
  <c r="Z1179" i="24"/>
  <c r="Z1382" i="24"/>
  <c r="Z1897" i="24"/>
  <c r="Z1748" i="24"/>
  <c r="Z1093" i="24"/>
  <c r="Z1866" i="24"/>
  <c r="Z1285" i="24"/>
  <c r="Z2223" i="24"/>
  <c r="Z369" i="24"/>
  <c r="Z1589" i="24"/>
  <c r="Z1379" i="24"/>
  <c r="Z489" i="24"/>
  <c r="Z1145" i="24"/>
  <c r="Z2016" i="24"/>
  <c r="Z1089" i="24"/>
  <c r="Z1281" i="24"/>
  <c r="Z1378" i="24"/>
  <c r="Z2219" i="24"/>
  <c r="Z429" i="24"/>
  <c r="Z2236" i="24"/>
  <c r="Z1478" i="24"/>
  <c r="Z80" i="24"/>
  <c r="Z1080" i="24"/>
  <c r="Z291" i="24"/>
  <c r="Z488" i="24"/>
  <c r="R580" i="17"/>
  <c r="R621" i="15"/>
  <c r="S457" i="17"/>
  <c r="S488" i="15"/>
  <c r="R125" i="17"/>
  <c r="R131" i="15"/>
  <c r="S11" i="17"/>
  <c r="S12" i="17"/>
  <c r="O9" i="18"/>
  <c r="S12" i="15"/>
  <c r="R833" i="17"/>
  <c r="R832" i="17"/>
  <c r="R834" i="17"/>
  <c r="R838" i="17"/>
  <c r="R915" i="15"/>
  <c r="R917" i="15"/>
  <c r="R772" i="17"/>
  <c r="R838" i="15"/>
  <c r="R366" i="17"/>
  <c r="R390" i="15"/>
  <c r="R17" i="17"/>
  <c r="R16" i="17"/>
  <c r="R19" i="17"/>
  <c r="R21" i="15"/>
  <c r="R181" i="17"/>
  <c r="R194" i="15"/>
  <c r="R584" i="17"/>
  <c r="R587" i="17"/>
  <c r="O491" i="18"/>
  <c r="R628" i="15"/>
  <c r="R333" i="17"/>
  <c r="R334" i="17"/>
  <c r="O278" i="18"/>
  <c r="R355" i="15"/>
  <c r="S735" i="17"/>
  <c r="S796" i="15"/>
  <c r="R227" i="17"/>
  <c r="R238" i="15"/>
  <c r="R236" i="15"/>
  <c r="R258" i="17"/>
  <c r="R271" i="15"/>
  <c r="R741" i="17"/>
  <c r="R214" i="17"/>
  <c r="R217" i="17"/>
  <c r="R216" i="17"/>
  <c r="R215" i="17"/>
  <c r="R218" i="17"/>
  <c r="O184" i="18"/>
  <c r="R618" i="17"/>
  <c r="R428" i="17"/>
  <c r="R427" i="17"/>
  <c r="R430" i="17"/>
  <c r="O360" i="18"/>
  <c r="O361" i="18"/>
  <c r="O362" i="18"/>
  <c r="R803" i="15"/>
  <c r="R231" i="15"/>
  <c r="R663" i="15"/>
  <c r="R462" i="15"/>
  <c r="R372" i="17"/>
  <c r="R397" i="15"/>
  <c r="R273" i="17"/>
  <c r="R277" i="17"/>
  <c r="R276" i="17"/>
  <c r="R275" i="17"/>
  <c r="R278" i="17"/>
  <c r="R294" i="15"/>
  <c r="R25" i="17"/>
  <c r="R26" i="15"/>
  <c r="Z648" i="24"/>
  <c r="Z1319" i="24"/>
  <c r="Z417" i="24"/>
  <c r="Z1964" i="24"/>
  <c r="Z938" i="24"/>
  <c r="Z319" i="24"/>
  <c r="Z2474" i="24"/>
  <c r="Z1267" i="24"/>
  <c r="Z1377" i="24"/>
  <c r="Z810" i="24"/>
  <c r="Z445" i="24"/>
  <c r="Z1124" i="24"/>
  <c r="Z957" i="24"/>
  <c r="Z2330" i="24"/>
  <c r="Z1922" i="24"/>
  <c r="Z108" i="24"/>
  <c r="Z1799" i="24"/>
  <c r="Z1891" i="24"/>
  <c r="Z1404" i="24"/>
  <c r="Z1301" i="24"/>
  <c r="Z439" i="24"/>
  <c r="Z2292" i="24"/>
  <c r="Z553" i="24"/>
  <c r="Z968" i="24"/>
  <c r="Z1118" i="24"/>
  <c r="Z516" i="24"/>
  <c r="Z1578" i="24"/>
  <c r="Z2517" i="24"/>
  <c r="Z1116" i="24"/>
  <c r="Z1115" i="24"/>
  <c r="Z511" i="24"/>
  <c r="Z1396" i="24"/>
  <c r="Z1111" i="24"/>
  <c r="Z509" i="24"/>
  <c r="Z1394" i="24"/>
  <c r="Z1876" i="24"/>
  <c r="Z2053" i="24"/>
  <c r="Z1108" i="24"/>
  <c r="Z1393" i="24"/>
  <c r="Z505" i="24"/>
  <c r="Z1389" i="24"/>
  <c r="Z499" i="24"/>
  <c r="Z2507" i="24"/>
  <c r="Z498" i="24"/>
  <c r="Z1096" i="24"/>
  <c r="Z1385" i="24"/>
  <c r="Z495" i="24"/>
  <c r="Z1085" i="24"/>
  <c r="Z2480" i="24"/>
  <c r="Z1790" i="24"/>
  <c r="Z1384" i="24"/>
  <c r="Z1095" i="24"/>
  <c r="Z1868" i="24"/>
  <c r="Z494" i="24"/>
  <c r="Z492" i="24"/>
  <c r="Z491" i="24"/>
  <c r="X1721" i="24"/>
  <c r="R631" i="17"/>
  <c r="R677" i="15"/>
  <c r="R608" i="17"/>
  <c r="R607" i="17"/>
  <c r="R610" i="17"/>
  <c r="R609" i="17"/>
  <c r="R612" i="17"/>
  <c r="O515" i="18"/>
  <c r="R437" i="17"/>
  <c r="R467" i="15"/>
  <c r="R469" i="15"/>
  <c r="R394" i="17"/>
  <c r="R393" i="17"/>
  <c r="R397" i="17"/>
  <c r="R395" i="17"/>
  <c r="R398" i="17"/>
  <c r="R425" i="15"/>
  <c r="R422" i="15"/>
  <c r="R186" i="17"/>
  <c r="R179" i="17"/>
  <c r="R178" i="17"/>
  <c r="R183" i="17"/>
  <c r="R184" i="17"/>
  <c r="R196" i="15"/>
  <c r="R192" i="15"/>
  <c r="R191" i="15"/>
  <c r="R405" i="17"/>
  <c r="R401" i="17"/>
  <c r="R400" i="17"/>
  <c r="R402" i="17"/>
  <c r="R404" i="17"/>
  <c r="O339" i="18"/>
  <c r="R432" i="15"/>
  <c r="R784" i="17"/>
  <c r="R859" i="15"/>
  <c r="R898" i="17"/>
  <c r="R902" i="17"/>
  <c r="R992" i="15"/>
  <c r="R852" i="17"/>
  <c r="R929" i="15"/>
  <c r="R778" i="17"/>
  <c r="R845" i="15"/>
  <c r="R729" i="17"/>
  <c r="R789" i="15"/>
  <c r="R622" i="17"/>
  <c r="R625" i="17"/>
  <c r="R670" i="15"/>
  <c r="R466" i="17"/>
  <c r="R469" i="17"/>
  <c r="R468" i="17"/>
  <c r="R471" i="17"/>
  <c r="Q372" i="17"/>
  <c r="Q397" i="15"/>
  <c r="R345" i="17"/>
  <c r="R346" i="17"/>
  <c r="R369" i="15"/>
  <c r="R297" i="17"/>
  <c r="R313" i="15"/>
  <c r="R109" i="17"/>
  <c r="R111" i="17"/>
  <c r="R117" i="15"/>
  <c r="R287" i="17"/>
  <c r="R290" i="17"/>
  <c r="R289" i="17"/>
  <c r="R291" i="17"/>
  <c r="R306" i="15"/>
  <c r="R137" i="17"/>
  <c r="R145" i="15"/>
  <c r="R63" i="17"/>
  <c r="R62" i="17"/>
  <c r="R66" i="17"/>
  <c r="R64" i="17"/>
  <c r="R67" i="17"/>
  <c r="R68" i="15"/>
  <c r="Q760" i="17"/>
  <c r="P760" i="17"/>
  <c r="O760" i="17"/>
  <c r="N760" i="17"/>
  <c r="M760" i="17"/>
  <c r="L760" i="17"/>
  <c r="K760" i="17"/>
  <c r="J760" i="17"/>
  <c r="I760" i="17"/>
  <c r="H760" i="17"/>
  <c r="R1022" i="15"/>
  <c r="R861" i="17"/>
  <c r="R862" i="17"/>
  <c r="R865" i="17"/>
  <c r="R943" i="15"/>
  <c r="X2273" i="24"/>
  <c r="AC2273" i="24" s="1"/>
  <c r="R846" i="17"/>
  <c r="O715" i="18"/>
  <c r="O714" i="18"/>
  <c r="O713" i="18"/>
  <c r="O712" i="18"/>
  <c r="R922" i="15"/>
  <c r="R788" i="17"/>
  <c r="R791" i="17"/>
  <c r="R866" i="15"/>
  <c r="R755" i="17"/>
  <c r="R749" i="17"/>
  <c r="R752" i="17"/>
  <c r="R751" i="17"/>
  <c r="R753" i="17"/>
  <c r="R817" i="15"/>
  <c r="R819" i="15"/>
  <c r="Q703" i="17"/>
  <c r="Q701" i="17"/>
  <c r="Q704" i="17"/>
  <c r="R703" i="17"/>
  <c r="R701" i="17"/>
  <c r="R704" i="17"/>
  <c r="R747" i="15"/>
  <c r="Q747" i="15"/>
  <c r="Z1381" i="24"/>
  <c r="Z1380" i="24"/>
  <c r="R511" i="17"/>
  <c r="R504" i="17"/>
  <c r="R508" i="17"/>
  <c r="R507" i="17"/>
  <c r="R510" i="17"/>
  <c r="O432" i="18"/>
  <c r="R544" i="15"/>
  <c r="R546" i="15"/>
  <c r="R462" i="17"/>
  <c r="R464" i="17"/>
  <c r="R244" i="17"/>
  <c r="R246" i="17"/>
  <c r="R257" i="15"/>
  <c r="R413" i="17"/>
  <c r="R415" i="17"/>
  <c r="R416" i="17"/>
  <c r="O350" i="18"/>
  <c r="R446" i="15"/>
  <c r="R384" i="17"/>
  <c r="R411" i="15"/>
  <c r="R281" i="17"/>
  <c r="R280" i="17"/>
  <c r="R284" i="17"/>
  <c r="R283" i="17"/>
  <c r="R282" i="17"/>
  <c r="R285" i="17"/>
  <c r="R301" i="15"/>
  <c r="R211" i="17"/>
  <c r="R222" i="15"/>
  <c r="R103" i="17"/>
  <c r="R105" i="17"/>
  <c r="R58" i="17"/>
  <c r="R57" i="17"/>
  <c r="R60" i="17"/>
  <c r="R58" i="15"/>
  <c r="Q58" i="17"/>
  <c r="Q57" i="17"/>
  <c r="Q60" i="17"/>
  <c r="Q58" i="15"/>
  <c r="R53" i="17"/>
  <c r="R54" i="15"/>
  <c r="R917" i="17"/>
  <c r="R921" i="17"/>
  <c r="R920" i="17"/>
  <c r="R919" i="17"/>
  <c r="R922" i="17"/>
  <c r="R884" i="17"/>
  <c r="R964" i="15"/>
  <c r="R966" i="15"/>
  <c r="R961" i="15"/>
  <c r="R871" i="17"/>
  <c r="R869" i="17"/>
  <c r="R872" i="17"/>
  <c r="R950" i="15"/>
  <c r="R952" i="15"/>
  <c r="R822" i="17"/>
  <c r="R823" i="17"/>
  <c r="R901" i="15"/>
  <c r="R760" i="17"/>
  <c r="R824" i="15"/>
  <c r="R723" i="17"/>
  <c r="R782" i="15"/>
  <c r="R644" i="17"/>
  <c r="R643" i="17"/>
  <c r="R642" i="17"/>
  <c r="R645" i="17"/>
  <c r="O541" i="18"/>
  <c r="R483" i="17"/>
  <c r="R516" i="15"/>
  <c r="R445" i="17"/>
  <c r="R449" i="17"/>
  <c r="R448" i="17"/>
  <c r="R447" i="17"/>
  <c r="R450" i="17"/>
  <c r="R423" i="17"/>
  <c r="R453" i="15"/>
  <c r="R321" i="17"/>
  <c r="R322" i="17"/>
  <c r="R341" i="15"/>
  <c r="Q258" i="17"/>
  <c r="Q271" i="15"/>
  <c r="Q163" i="17"/>
  <c r="Q173" i="15"/>
  <c r="R443" i="17"/>
  <c r="R474" i="15"/>
  <c r="R149" i="17"/>
  <c r="R148" i="17"/>
  <c r="R77" i="17"/>
  <c r="R79" i="17"/>
  <c r="R82" i="15"/>
  <c r="X31" i="24"/>
  <c r="X29" i="24"/>
  <c r="X33" i="24"/>
  <c r="X34" i="24"/>
  <c r="X21" i="24"/>
  <c r="X23" i="24"/>
  <c r="X26" i="24"/>
  <c r="X24" i="24"/>
  <c r="Z24" i="24" s="1"/>
  <c r="X35" i="24"/>
  <c r="R251" i="17"/>
  <c r="R250" i="17"/>
  <c r="R252" i="17"/>
  <c r="R264" i="15"/>
  <c r="Z1743" i="24"/>
  <c r="Z1047" i="24"/>
  <c r="Z1045" i="24"/>
  <c r="Z666" i="24"/>
  <c r="Z124" i="24"/>
  <c r="Z310" i="24"/>
  <c r="Z1883" i="24"/>
  <c r="Z640" i="24"/>
  <c r="Z1873" i="24"/>
  <c r="Z1872" i="24"/>
  <c r="Z87" i="24"/>
  <c r="Z527" i="24"/>
  <c r="Z115" i="24"/>
  <c r="Z1867" i="24"/>
  <c r="Z85" i="24"/>
  <c r="Z432" i="24"/>
  <c r="T2219" i="24"/>
  <c r="R717" i="17"/>
  <c r="O601" i="18"/>
  <c r="R775" i="15"/>
  <c r="X999" i="24"/>
  <c r="X997" i="24"/>
  <c r="R361" i="17"/>
  <c r="R355" i="17"/>
  <c r="R358" i="17"/>
  <c r="R357" i="17"/>
  <c r="R356" i="17"/>
  <c r="R359" i="17"/>
  <c r="O302" i="18"/>
  <c r="R352" i="17"/>
  <c r="R376" i="15"/>
  <c r="R649" i="17"/>
  <c r="R652" i="17"/>
  <c r="R698" i="15"/>
  <c r="R151" i="17"/>
  <c r="R117" i="17"/>
  <c r="R266" i="17"/>
  <c r="R285" i="15"/>
  <c r="R282" i="15"/>
  <c r="R199" i="17"/>
  <c r="R208" i="15"/>
  <c r="R163" i="17"/>
  <c r="R173" i="15"/>
  <c r="R157" i="17"/>
  <c r="Q157" i="17"/>
  <c r="R152" i="15"/>
  <c r="Q152" i="15"/>
  <c r="R947" i="17"/>
  <c r="R946" i="17"/>
  <c r="R949" i="17"/>
  <c r="R1043" i="15"/>
  <c r="R942" i="17"/>
  <c r="R1034" i="15"/>
  <c r="R1036" i="15"/>
  <c r="R914" i="17"/>
  <c r="R915" i="17"/>
  <c r="R1006" i="15"/>
  <c r="R889" i="17"/>
  <c r="R890" i="17"/>
  <c r="R971" i="15"/>
  <c r="R858" i="17"/>
  <c r="R936" i="15"/>
  <c r="R829" i="17"/>
  <c r="R828" i="17"/>
  <c r="R827" i="17"/>
  <c r="R830" i="17"/>
  <c r="O698" i="18"/>
  <c r="R308" i="17"/>
  <c r="R310" i="17"/>
  <c r="R815" i="17"/>
  <c r="R817" i="17"/>
  <c r="R894" i="15"/>
  <c r="R896" i="15"/>
  <c r="R809" i="17"/>
  <c r="R808" i="17"/>
  <c r="R811" i="17"/>
  <c r="R890" i="15"/>
  <c r="R885" i="15"/>
  <c r="R762" i="17"/>
  <c r="R765" i="17"/>
  <c r="R766" i="17"/>
  <c r="R831" i="15"/>
  <c r="R828" i="15"/>
  <c r="R735" i="17"/>
  <c r="R796" i="15"/>
  <c r="R674" i="17"/>
  <c r="R673" i="17"/>
  <c r="R678" i="17"/>
  <c r="R677" i="17"/>
  <c r="R676" i="17"/>
  <c r="R679" i="17"/>
  <c r="O571" i="18"/>
  <c r="R661" i="17"/>
  <c r="R660" i="17"/>
  <c r="R664" i="17"/>
  <c r="R663" i="17"/>
  <c r="R662" i="17"/>
  <c r="R665" i="17"/>
  <c r="R710" i="15"/>
  <c r="R658" i="17"/>
  <c r="R705" i="15"/>
  <c r="R605" i="17"/>
  <c r="R649" i="15"/>
  <c r="R647" i="15"/>
  <c r="R567" i="17"/>
  <c r="R607" i="15"/>
  <c r="R561" i="17"/>
  <c r="R600" i="15"/>
  <c r="R710" i="17"/>
  <c r="R761" i="15"/>
  <c r="R538" i="17"/>
  <c r="R540" i="17"/>
  <c r="R542" i="17"/>
  <c r="R579" i="15"/>
  <c r="R514" i="17"/>
  <c r="R516" i="17"/>
  <c r="R518" i="17"/>
  <c r="O436" i="18"/>
  <c r="O434" i="18"/>
  <c r="R551" i="15"/>
  <c r="R501" i="17"/>
  <c r="R537" i="15"/>
  <c r="R456" i="17"/>
  <c r="R455" i="17"/>
  <c r="R457" i="17"/>
  <c r="R408" i="17"/>
  <c r="R410" i="17"/>
  <c r="R439" i="15"/>
  <c r="R441" i="15"/>
  <c r="R378" i="17"/>
  <c r="R404" i="15"/>
  <c r="R339" i="17"/>
  <c r="R340" i="17"/>
  <c r="O283" i="18"/>
  <c r="R362" i="15"/>
  <c r="R236" i="17"/>
  <c r="R239" i="17"/>
  <c r="R237" i="17"/>
  <c r="R240" i="17"/>
  <c r="R250" i="15"/>
  <c r="R229" i="17"/>
  <c r="R232" i="17"/>
  <c r="R233" i="17"/>
  <c r="R243" i="15"/>
  <c r="R241" i="15"/>
  <c r="R189" i="17"/>
  <c r="R188" i="17"/>
  <c r="R192" i="17"/>
  <c r="R190" i="17"/>
  <c r="R193" i="17"/>
  <c r="R201" i="15"/>
  <c r="R169" i="17"/>
  <c r="R180" i="15"/>
  <c r="R144" i="17"/>
  <c r="R159" i="15"/>
  <c r="R131" i="17"/>
  <c r="R138" i="15"/>
  <c r="R72" i="17"/>
  <c r="R73" i="17"/>
  <c r="R75" i="15"/>
  <c r="R33" i="17"/>
  <c r="R34" i="17"/>
  <c r="R38" i="17"/>
  <c r="R37" i="17"/>
  <c r="R36" i="17"/>
  <c r="R40" i="17"/>
  <c r="O30" i="18"/>
  <c r="R42" i="15"/>
  <c r="R43" i="15"/>
  <c r="R45" i="17"/>
  <c r="R47" i="17"/>
  <c r="R6" i="17"/>
  <c r="R5" i="15"/>
  <c r="R905" i="17"/>
  <c r="R904" i="17"/>
  <c r="R908" i="17"/>
  <c r="R907" i="17"/>
  <c r="R906" i="17"/>
  <c r="R909" i="17"/>
  <c r="H768" i="18"/>
  <c r="O768" i="18" s="1"/>
  <c r="R1001" i="15"/>
  <c r="R572" i="17"/>
  <c r="R571" i="17"/>
  <c r="R574" i="17"/>
  <c r="R616" i="15"/>
  <c r="R545" i="17"/>
  <c r="R544" i="17"/>
  <c r="R548" i="17"/>
  <c r="R547" i="17"/>
  <c r="R546" i="17"/>
  <c r="R549" i="17"/>
  <c r="O460" i="18"/>
  <c r="R588" i="15"/>
  <c r="R584" i="15"/>
  <c r="R636" i="17"/>
  <c r="R638" i="17"/>
  <c r="R477" i="17"/>
  <c r="R509" i="15"/>
  <c r="R422" i="17"/>
  <c r="R420" i="17"/>
  <c r="R455" i="15"/>
  <c r="R115" i="17"/>
  <c r="R114" i="17"/>
  <c r="R118" i="17"/>
  <c r="R116" i="17"/>
  <c r="R119" i="17"/>
  <c r="O97" i="18"/>
  <c r="O101" i="18"/>
  <c r="R9" i="17"/>
  <c r="R11" i="17"/>
  <c r="R12" i="17"/>
  <c r="R12" i="15"/>
  <c r="R389" i="17"/>
  <c r="R388" i="17"/>
  <c r="R391" i="17"/>
  <c r="O325" i="18"/>
  <c r="R420" i="15"/>
  <c r="W1013" i="24"/>
  <c r="W1012" i="24"/>
  <c r="W1388" i="24"/>
  <c r="W1019" i="24"/>
  <c r="W1011" i="24"/>
  <c r="Q366" i="17"/>
  <c r="Q390" i="15"/>
  <c r="W938" i="24"/>
  <c r="W2330" i="24"/>
  <c r="W2459" i="24"/>
  <c r="W1565" i="24"/>
  <c r="W1267" i="24"/>
  <c r="W1377" i="24"/>
  <c r="W810" i="24"/>
  <c r="W108" i="24"/>
  <c r="W1891" i="24"/>
  <c r="W485" i="24"/>
  <c r="W1006" i="24"/>
  <c r="W1404" i="24"/>
  <c r="W1799" i="24"/>
  <c r="W720" i="24"/>
  <c r="W2039" i="24"/>
  <c r="W63" i="24"/>
  <c r="W253" i="24"/>
  <c r="W1433" i="24"/>
  <c r="W1937" i="24"/>
  <c r="W237" i="24"/>
  <c r="W789" i="24"/>
  <c r="W1266" i="24"/>
  <c r="W2202" i="24"/>
  <c r="W1361" i="24"/>
  <c r="W484" i="24"/>
  <c r="W1698" i="24"/>
  <c r="W2235" i="24"/>
  <c r="W1301" i="24"/>
  <c r="W2543" i="24"/>
  <c r="W520" i="24"/>
  <c r="W1598" i="24"/>
  <c r="W2472" i="24"/>
  <c r="W805" i="24"/>
  <c r="W1446" i="24"/>
  <c r="W936" i="24"/>
  <c r="W1417" i="24"/>
  <c r="W2457" i="24"/>
  <c r="W2328" i="24"/>
  <c r="W478" i="24"/>
  <c r="W1375" i="24"/>
  <c r="W2217" i="24"/>
  <c r="W1265" i="24"/>
  <c r="W128" i="24"/>
  <c r="W204" i="24"/>
  <c r="W1681" i="24"/>
  <c r="W106" i="24"/>
  <c r="W1582" i="24"/>
  <c r="W317" i="24"/>
  <c r="W1563" i="24"/>
  <c r="W646" i="24"/>
  <c r="W2264" i="24"/>
  <c r="W1548" i="24"/>
  <c r="W1889" i="24"/>
  <c r="W2521" i="24"/>
  <c r="W884" i="24"/>
  <c r="W1475" i="24"/>
  <c r="W1761" i="24"/>
  <c r="W2345" i="24"/>
  <c r="W1402" i="24"/>
  <c r="W1741" i="24"/>
  <c r="W1797" i="24"/>
  <c r="W2181" i="24"/>
  <c r="W555" i="24"/>
  <c r="W346" i="24"/>
  <c r="W235" i="24"/>
  <c r="W1416" i="24"/>
  <c r="W316" i="24"/>
  <c r="W935" i="24"/>
  <c r="W170" i="24"/>
  <c r="W2456" i="24"/>
  <c r="W803" i="24"/>
  <c r="W1374" i="24"/>
  <c r="W2327" i="24"/>
  <c r="W127" i="24"/>
  <c r="W1919" i="24"/>
  <c r="W1581" i="24"/>
  <c r="W1264" i="24"/>
  <c r="W477" i="24"/>
  <c r="W1562" i="24"/>
  <c r="W1547" i="24"/>
  <c r="W105" i="24"/>
  <c r="W1680" i="24"/>
  <c r="W1888" i="24"/>
  <c r="W2520" i="24"/>
  <c r="W645" i="24"/>
  <c r="W883" i="24"/>
  <c r="W1760" i="24"/>
  <c r="W1474" i="24"/>
  <c r="W1359" i="24"/>
  <c r="W1401" i="24"/>
  <c r="W1740" i="24"/>
  <c r="W1796" i="24"/>
  <c r="W233" i="24"/>
  <c r="W554" i="24"/>
  <c r="W345" i="24"/>
  <c r="W1444" i="24"/>
  <c r="W1415" i="24"/>
  <c r="W934" i="24"/>
  <c r="W2469" i="24"/>
  <c r="W2214" i="24"/>
  <c r="W1372" i="24"/>
  <c r="W2455" i="24"/>
  <c r="W1857" i="24"/>
  <c r="W126" i="24"/>
  <c r="W848" i="24"/>
  <c r="W802" i="24"/>
  <c r="W1678" i="24"/>
  <c r="W897" i="24"/>
  <c r="W1918" i="24"/>
  <c r="W2325" i="24"/>
  <c r="W1263" i="24"/>
  <c r="W882" i="24"/>
  <c r="W314" i="24"/>
  <c r="W1560" i="24"/>
  <c r="W1580" i="24"/>
  <c r="W2518" i="24"/>
  <c r="W667" i="24"/>
  <c r="W169" i="24"/>
  <c r="W644" i="24"/>
  <c r="W1886" i="24"/>
  <c r="W2343" i="24"/>
  <c r="W476" i="24"/>
  <c r="W2179" i="24"/>
  <c r="W1759" i="24"/>
  <c r="W103" i="24"/>
  <c r="W201" i="24"/>
  <c r="W1837" i="24"/>
  <c r="W1358" i="24"/>
  <c r="W1400" i="24"/>
  <c r="W1473" i="24"/>
  <c r="W1739" i="24"/>
  <c r="W2232" i="24"/>
  <c r="W1795" i="24"/>
  <c r="W2261" i="24"/>
  <c r="W516" i="24"/>
  <c r="W475" i="24"/>
  <c r="W1883" i="24"/>
  <c r="W472" i="24"/>
  <c r="W1916" i="24"/>
  <c r="W641" i="24"/>
  <c r="W122" i="24"/>
  <c r="W1577" i="24"/>
  <c r="W552" i="24"/>
  <c r="W567" i="24"/>
  <c r="W2342" i="24"/>
  <c r="W664" i="24"/>
  <c r="W1543" i="24"/>
  <c r="W1259" i="24"/>
  <c r="W167" i="24"/>
  <c r="W509" i="24"/>
  <c r="W2551" i="24"/>
  <c r="W2051" i="24"/>
  <c r="W502" i="24"/>
  <c r="W1274" i="24"/>
  <c r="W1733" i="24"/>
  <c r="W2228" i="24"/>
  <c r="W1794" i="24"/>
  <c r="W372" i="24"/>
  <c r="W1468" i="24"/>
  <c r="W1103" i="24"/>
  <c r="W93" i="24"/>
  <c r="W1135" i="24"/>
  <c r="W1291" i="24"/>
  <c r="W1755" i="24"/>
  <c r="W2511" i="24"/>
  <c r="W302" i="24"/>
  <c r="W982" i="24"/>
  <c r="W2072" i="24"/>
  <c r="W2340" i="24"/>
  <c r="W2173" i="24"/>
  <c r="W533" i="24"/>
  <c r="W2537" i="24"/>
  <c r="W1874" i="24"/>
  <c r="W1392" i="24"/>
  <c r="W1575" i="24"/>
  <c r="W1827" i="24"/>
  <c r="W1622" i="24"/>
  <c r="W1353" i="24"/>
  <c r="W1557" i="24"/>
  <c r="W844" i="24"/>
  <c r="W877" i="24"/>
  <c r="W2031" i="24"/>
  <c r="W2194" i="24"/>
  <c r="W948" i="24"/>
  <c r="W1087" i="24"/>
  <c r="W775" i="24"/>
  <c r="W1692" i="24"/>
  <c r="W1327" i="24"/>
  <c r="W264" i="24"/>
  <c r="W2248" i="24"/>
  <c r="W2022" i="24"/>
  <c r="W1185" i="24"/>
  <c r="W1345" i="24"/>
  <c r="W911" i="24"/>
  <c r="W165" i="24"/>
  <c r="W1441" i="24"/>
  <c r="W1070" i="24"/>
  <c r="W461" i="24"/>
  <c r="W1412" i="24"/>
  <c r="W1253" i="24"/>
  <c r="W639" i="24"/>
  <c r="W119" i="24"/>
  <c r="W1490" i="24"/>
  <c r="W661" i="24"/>
  <c r="W716" i="24"/>
  <c r="W8" i="24"/>
  <c r="W180" i="24"/>
  <c r="W198" i="24"/>
  <c r="W799" i="24"/>
  <c r="W1853" i="24"/>
  <c r="W1541" i="24"/>
  <c r="W229" i="24"/>
  <c r="W2321" i="24"/>
  <c r="W1669" i="24"/>
  <c r="W2384" i="24"/>
  <c r="W2210" i="24"/>
  <c r="W1913" i="24"/>
  <c r="W2571" i="24"/>
  <c r="W390" i="24"/>
  <c r="W565" i="24"/>
  <c r="W1369" i="24"/>
  <c r="W137" i="24"/>
  <c r="W1311" i="24"/>
  <c r="W1931" i="24"/>
  <c r="W1945" i="24"/>
  <c r="W56" i="24"/>
  <c r="W2486" i="24"/>
  <c r="W551" i="24"/>
  <c r="W2451" i="24"/>
  <c r="W247" i="24"/>
  <c r="W1957" i="24"/>
  <c r="W1525" i="24"/>
  <c r="W340" i="24"/>
  <c r="W930" i="24"/>
  <c r="W357" i="24"/>
  <c r="W1591" i="24"/>
  <c r="W964" i="24"/>
  <c r="W2466" i="24"/>
  <c r="W1426" i="24"/>
  <c r="W505" i="24"/>
  <c r="W598" i="24"/>
  <c r="W500" i="24"/>
  <c r="W2508" i="24"/>
  <c r="W2245" i="24"/>
  <c r="W2227" i="24"/>
  <c r="W1732" i="24"/>
  <c r="W1352" i="24"/>
  <c r="W1649" i="24"/>
  <c r="W1769" i="24"/>
  <c r="W1753" i="24"/>
  <c r="W1467" i="24"/>
  <c r="W263" i="24"/>
  <c r="W532" i="24"/>
  <c r="W1134" i="24"/>
  <c r="W371" i="24"/>
  <c r="W91" i="24"/>
  <c r="W44" i="24"/>
  <c r="W946" i="24"/>
  <c r="W1099" i="24"/>
  <c r="W1290" i="24"/>
  <c r="W1621" i="24"/>
  <c r="W1793" i="24"/>
  <c r="W2172" i="24"/>
  <c r="W1326" i="24"/>
  <c r="W7" i="24"/>
  <c r="W2320" i="24"/>
  <c r="W798" i="24"/>
  <c r="W300" i="24"/>
  <c r="W1871" i="24"/>
  <c r="W1852" i="24"/>
  <c r="W459" i="24"/>
  <c r="W2193" i="24"/>
  <c r="W1826" i="24"/>
  <c r="W658" i="24"/>
  <c r="W1411" i="24"/>
  <c r="W24" i="24"/>
  <c r="W1556" i="24"/>
  <c r="W876" i="24"/>
  <c r="W179" i="24"/>
  <c r="W843" i="24"/>
  <c r="W1574" i="24"/>
  <c r="W2209" i="24"/>
  <c r="W2339" i="24"/>
  <c r="W2536" i="24"/>
  <c r="W1667" i="24"/>
  <c r="W637" i="24"/>
  <c r="W2383" i="24"/>
  <c r="W2049" i="24"/>
  <c r="W118" i="24"/>
  <c r="W1489" i="24"/>
  <c r="W2070" i="24"/>
  <c r="W1956" i="24"/>
  <c r="W1252" i="24"/>
  <c r="W1777" i="24"/>
  <c r="W164" i="24"/>
  <c r="W246" i="24"/>
  <c r="W2450" i="24"/>
  <c r="W1069" i="24"/>
  <c r="W1440" i="24"/>
  <c r="W1273" i="24"/>
  <c r="W774" i="24"/>
  <c r="W1912" i="24"/>
  <c r="W895" i="24"/>
  <c r="W136" i="24"/>
  <c r="W1944" i="24"/>
  <c r="W686" i="24"/>
  <c r="W1425" i="24"/>
  <c r="W2030" i="24"/>
  <c r="W1368" i="24"/>
  <c r="W623" i="24"/>
  <c r="W2110" i="24"/>
  <c r="W1184" i="24"/>
  <c r="W1989" i="24"/>
  <c r="W339" i="24"/>
  <c r="W1691" i="24"/>
  <c r="W197" i="24"/>
  <c r="W1540" i="24"/>
  <c r="W2021" i="24"/>
  <c r="W389" i="24"/>
  <c r="W929" i="24"/>
  <c r="W1344" i="24"/>
  <c r="W356" i="24"/>
  <c r="W1086" i="24"/>
  <c r="W2485" i="24"/>
  <c r="W1524" i="24"/>
  <c r="W563" i="24"/>
  <c r="W1930" i="24"/>
  <c r="W1310" i="24"/>
  <c r="W228" i="24"/>
  <c r="W2465" i="24"/>
  <c r="W550" i="24"/>
  <c r="W715" i="24"/>
  <c r="W2569" i="24"/>
  <c r="W579" i="24"/>
  <c r="W55" i="24"/>
  <c r="W2396" i="24"/>
  <c r="W1590" i="24"/>
  <c r="W963" i="24"/>
  <c r="W1041" i="24"/>
  <c r="W1387" i="24"/>
  <c r="W1251" i="24"/>
  <c r="W90" i="24"/>
  <c r="W1325" i="24"/>
  <c r="W499" i="24"/>
  <c r="W1768" i="24"/>
  <c r="W261" i="24"/>
  <c r="W42" i="24"/>
  <c r="W1097" i="24"/>
  <c r="W2506" i="24"/>
  <c r="W299" i="24"/>
  <c r="W1572" i="24"/>
  <c r="W1869" i="24"/>
  <c r="W88" i="24"/>
  <c r="W456" i="24"/>
  <c r="W1791" i="24"/>
  <c r="W1750" i="24"/>
  <c r="W2449" i="24"/>
  <c r="W2171" i="24"/>
  <c r="W1465" i="24"/>
  <c r="W655" i="24"/>
  <c r="W1249" i="24"/>
  <c r="W1386" i="24"/>
  <c r="W1665" i="24"/>
  <c r="W196" i="24"/>
  <c r="W2482" i="24"/>
  <c r="W797" i="24"/>
  <c r="W1850" i="24"/>
  <c r="W1410" i="24"/>
  <c r="W2548" i="24"/>
  <c r="W1589" i="24"/>
  <c r="W492" i="24"/>
  <c r="W676" i="24"/>
  <c r="W1130" i="24"/>
  <c r="W41" i="24"/>
  <c r="W1647" i="24"/>
  <c r="W594" i="24"/>
  <c r="W1351" i="24"/>
  <c r="W2046" i="24"/>
  <c r="W369" i="24"/>
  <c r="W2223" i="24"/>
  <c r="W1439" i="24"/>
  <c r="W20" i="24"/>
  <c r="W1285" i="24"/>
  <c r="W2503" i="24"/>
  <c r="W1093" i="24"/>
  <c r="W1767" i="24"/>
  <c r="W1866" i="24"/>
  <c r="W1382" i="24"/>
  <c r="W1748" i="24"/>
  <c r="W1776" i="24"/>
  <c r="W944" i="24"/>
  <c r="W2191" i="24"/>
  <c r="W1424" i="24"/>
  <c r="W526" i="24"/>
  <c r="W2533" i="24"/>
  <c r="W114" i="24"/>
  <c r="W1247" i="24"/>
  <c r="W2240" i="24"/>
  <c r="W1539" i="24"/>
  <c r="W1272" i="24"/>
  <c r="W2020" i="24"/>
  <c r="W2028" i="24"/>
  <c r="W685" i="24"/>
  <c r="W767" i="24"/>
  <c r="W1038" i="24"/>
  <c r="W2382" i="24"/>
  <c r="W6" i="24"/>
  <c r="W450" i="24"/>
  <c r="W160" i="24"/>
  <c r="W84" i="24"/>
  <c r="W2335" i="24"/>
  <c r="W1179" i="24"/>
  <c r="W622" i="24"/>
  <c r="W355" i="24"/>
  <c r="W1482" i="24"/>
  <c r="W1084" i="24"/>
  <c r="W227" i="24"/>
  <c r="W242" i="24"/>
  <c r="W1664" i="24"/>
  <c r="W1067" i="24"/>
  <c r="W53" i="24"/>
  <c r="W714" i="24"/>
  <c r="W2565" i="24"/>
  <c r="W1690" i="24"/>
  <c r="W562" i="24"/>
  <c r="W195" i="24"/>
  <c r="W488" i="24"/>
  <c r="W672" i="24"/>
  <c r="W1126" i="24"/>
  <c r="W1089" i="24"/>
  <c r="W2529" i="24"/>
  <c r="W2042" i="24"/>
  <c r="W1378" i="24"/>
  <c r="W1281" i="24"/>
  <c r="W2219" i="24"/>
  <c r="W2236" i="24"/>
  <c r="W2016" i="24"/>
  <c r="W763" i="24"/>
  <c r="W2024" i="24"/>
  <c r="W80" i="24"/>
  <c r="W1478" i="24"/>
  <c r="W156" i="24"/>
  <c r="W1080" i="24"/>
  <c r="W49" i="24"/>
  <c r="W1420" i="24"/>
  <c r="W558" i="24"/>
  <c r="W618" i="24"/>
  <c r="W291" i="24"/>
  <c r="Q771" i="17"/>
  <c r="Q770" i="17"/>
  <c r="Q772" i="17"/>
  <c r="Q838" i="15"/>
  <c r="Q747" i="17"/>
  <c r="Q810" i="15"/>
  <c r="Q552" i="17"/>
  <c r="Q555" i="17"/>
  <c r="Q593" i="15"/>
  <c r="Q378" i="17"/>
  <c r="Q404" i="15"/>
  <c r="Q172" i="17"/>
  <c r="Q171" i="17"/>
  <c r="Q175" i="17"/>
  <c r="Q173" i="17"/>
  <c r="Q176" i="17"/>
  <c r="Q187" i="15"/>
  <c r="Q189" i="15"/>
  <c r="Q184" i="15"/>
  <c r="Q94" i="17"/>
  <c r="Q93" i="17"/>
  <c r="Q97" i="17"/>
  <c r="Q96" i="17"/>
  <c r="Q98" i="17"/>
  <c r="Q101" i="15"/>
  <c r="Q25" i="17"/>
  <c r="Q26" i="15"/>
  <c r="Q1029" i="15"/>
  <c r="Q1030" i="15"/>
  <c r="Q1026" i="15"/>
  <c r="Q1024" i="15"/>
  <c r="Q905" i="17"/>
  <c r="Q904" i="17"/>
  <c r="Q908" i="17"/>
  <c r="Q907" i="17"/>
  <c r="Q906" i="17"/>
  <c r="Q909" i="17"/>
  <c r="Q1001" i="15"/>
  <c r="Q308" i="17"/>
  <c r="Q310" i="17"/>
  <c r="Q712" i="17"/>
  <c r="Q716" i="17"/>
  <c r="Q714" i="17"/>
  <c r="Q717" i="17"/>
  <c r="Q775" i="15"/>
  <c r="Q605" i="17"/>
  <c r="Q649" i="15"/>
  <c r="Q647" i="15"/>
  <c r="Q599" i="17"/>
  <c r="Q642" i="15"/>
  <c r="Q587" i="17"/>
  <c r="Q628" i="15"/>
  <c r="Q580" i="17"/>
  <c r="Q621" i="15"/>
  <c r="Q530" i="17"/>
  <c r="Q565" i="15"/>
  <c r="Q483" i="17"/>
  <c r="Q516" i="15"/>
  <c r="Q394" i="17"/>
  <c r="Q393" i="17"/>
  <c r="Q397" i="17"/>
  <c r="Q395" i="17"/>
  <c r="Q398" i="17"/>
  <c r="Q425" i="15"/>
  <c r="Q423" i="15"/>
  <c r="Q422" i="15"/>
  <c r="Q334" i="17"/>
  <c r="Q355" i="15"/>
  <c r="Q332" i="15"/>
  <c r="Q331" i="15"/>
  <c r="Q303" i="17"/>
  <c r="O253" i="18"/>
  <c r="O252" i="18"/>
  <c r="O251" i="18"/>
  <c r="O250" i="18"/>
  <c r="Q320" i="15"/>
  <c r="Q317" i="15"/>
  <c r="Q297" i="17"/>
  <c r="O248" i="18"/>
  <c r="O247" i="18"/>
  <c r="O246" i="18"/>
  <c r="O245" i="18"/>
  <c r="Q313" i="15"/>
  <c r="Q222" i="17"/>
  <c r="Q225" i="17"/>
  <c r="Q227" i="17"/>
  <c r="O191" i="18"/>
  <c r="Q238" i="15"/>
  <c r="W498" i="24"/>
  <c r="W1555" i="24"/>
  <c r="W1381" i="24"/>
  <c r="W491" i="24"/>
  <c r="W489" i="24"/>
  <c r="W37" i="24"/>
  <c r="Q137" i="17"/>
  <c r="Q145" i="15"/>
  <c r="Q784" i="17"/>
  <c r="Q859" i="15"/>
  <c r="Q547" i="15"/>
  <c r="Q1043" i="15"/>
  <c r="Q914" i="17"/>
  <c r="Q915" i="17"/>
  <c r="Q1006" i="15"/>
  <c r="Q741" i="17"/>
  <c r="Q803" i="15"/>
  <c r="Q670" i="17"/>
  <c r="Q671" i="17"/>
  <c r="Q719" i="15"/>
  <c r="Q721" i="15"/>
  <c r="Q661" i="17"/>
  <c r="Q660" i="17"/>
  <c r="Q664" i="17"/>
  <c r="Q663" i="17"/>
  <c r="Q662" i="17"/>
  <c r="Q665" i="17"/>
  <c r="Q416" i="17"/>
  <c r="Q446" i="15"/>
  <c r="Q443" i="15"/>
  <c r="Q642" i="17"/>
  <c r="Q691" i="15"/>
  <c r="Q618" i="17"/>
  <c r="Q663" i="15"/>
  <c r="Q464" i="17"/>
  <c r="Q495" i="15"/>
  <c r="U1211" i="24"/>
  <c r="R1211" i="24"/>
  <c r="U1212" i="24"/>
  <c r="Z1212" i="24" s="1"/>
  <c r="U1214" i="24"/>
  <c r="U1210" i="24"/>
  <c r="U1206" i="24"/>
  <c r="Z1206" i="24" s="1"/>
  <c r="R1206" i="24"/>
  <c r="T1206" i="24" s="1"/>
  <c r="U1205" i="24"/>
  <c r="Z1205" i="24" s="1"/>
  <c r="U1213" i="24"/>
  <c r="Z1213" i="24" s="1"/>
  <c r="U1203" i="24"/>
  <c r="Z1203" i="24" s="1"/>
  <c r="Q467" i="15"/>
  <c r="Q437" i="17"/>
  <c r="O365" i="18"/>
  <c r="Q469" i="15"/>
  <c r="Q405" i="17"/>
  <c r="Q401" i="17"/>
  <c r="Q400" i="17"/>
  <c r="Q402" i="17"/>
  <c r="Q404" i="17"/>
  <c r="Q432" i="15"/>
  <c r="Q269" i="17"/>
  <c r="Q268" i="17"/>
  <c r="Q271" i="17"/>
  <c r="Q285" i="15"/>
  <c r="Q283" i="15"/>
  <c r="Q282" i="15"/>
  <c r="Q211" i="17"/>
  <c r="Q222" i="15"/>
  <c r="Q196" i="15"/>
  <c r="Q197" i="15"/>
  <c r="Q192" i="15"/>
  <c r="Q193" i="15"/>
  <c r="Q148" i="17"/>
  <c r="Q151" i="17"/>
  <c r="Q166" i="15"/>
  <c r="Q6" i="17"/>
  <c r="Q5" i="15"/>
  <c r="Q91" i="17"/>
  <c r="Q96" i="15"/>
  <c r="Q877" i="17"/>
  <c r="Q878" i="17"/>
  <c r="Q958" i="15"/>
  <c r="Q838" i="17"/>
  <c r="Q723" i="17"/>
  <c r="Q782" i="15"/>
  <c r="Q688" i="17"/>
  <c r="Q682" i="17"/>
  <c r="Q685" i="17"/>
  <c r="Q684" i="17"/>
  <c r="Q683" i="17"/>
  <c r="Q686" i="17"/>
  <c r="O575" i="18"/>
  <c r="O579" i="18"/>
  <c r="Q408" i="17"/>
  <c r="Q410" i="17"/>
  <c r="Q439" i="15"/>
  <c r="Q441" i="15"/>
  <c r="N124" i="15"/>
  <c r="N113" i="17"/>
  <c r="N115" i="17"/>
  <c r="N114" i="17"/>
  <c r="N118" i="17"/>
  <c r="N116" i="17"/>
  <c r="N119" i="17"/>
  <c r="N123" i="15"/>
  <c r="N121" i="15"/>
  <c r="O120" i="17"/>
  <c r="O115" i="17"/>
  <c r="O114" i="17"/>
  <c r="O118" i="17"/>
  <c r="O116" i="17"/>
  <c r="O119" i="17"/>
  <c r="O124" i="15"/>
  <c r="P124" i="15"/>
  <c r="P120" i="17"/>
  <c r="P115" i="17"/>
  <c r="P114" i="17"/>
  <c r="P118" i="17"/>
  <c r="P116" i="17"/>
  <c r="P119" i="17"/>
  <c r="P121" i="15"/>
  <c r="Q120" i="17"/>
  <c r="Q115" i="17"/>
  <c r="Q114" i="17"/>
  <c r="Q118" i="17"/>
  <c r="Q116" i="17"/>
  <c r="Q119" i="17"/>
  <c r="Q124" i="15"/>
  <c r="U1061" i="24"/>
  <c r="W1061" i="24" s="1"/>
  <c r="U1059" i="24"/>
  <c r="W1059" i="24" s="1"/>
  <c r="U1057" i="24"/>
  <c r="W1057" i="24" s="1"/>
  <c r="U1056" i="24"/>
  <c r="W1056" i="24" s="1"/>
  <c r="Q384" i="17"/>
  <c r="Q411" i="15"/>
  <c r="Q273" i="17"/>
  <c r="Q276" i="17"/>
  <c r="Q275" i="17"/>
  <c r="Q278" i="17"/>
  <c r="Q294" i="15"/>
  <c r="Q290" i="15"/>
  <c r="Q289" i="15"/>
  <c r="Q622" i="17"/>
  <c r="Q625" i="17"/>
  <c r="Q670" i="15"/>
  <c r="Q852" i="17"/>
  <c r="Q929" i="15"/>
  <c r="Q874" i="17"/>
  <c r="Q876" i="17"/>
  <c r="Q729" i="17"/>
  <c r="Q789" i="15"/>
  <c r="Q469" i="17"/>
  <c r="Q468" i="17"/>
  <c r="Q471" i="17"/>
  <c r="Q445" i="17"/>
  <c r="Q449" i="17"/>
  <c r="Q448" i="17"/>
  <c r="Q447" i="17"/>
  <c r="Q450" i="17"/>
  <c r="U78" i="24"/>
  <c r="Z78" i="24" s="1"/>
  <c r="U75" i="24"/>
  <c r="W75" i="24" s="1"/>
  <c r="U71" i="24"/>
  <c r="Z71" i="24" s="1"/>
  <c r="U70" i="24"/>
  <c r="Z70" i="24" s="1"/>
  <c r="Q31" i="17"/>
  <c r="Q33" i="15"/>
  <c r="Q949" i="17"/>
  <c r="Q1041" i="15"/>
  <c r="Q924" i="17"/>
  <c r="Q927" i="17"/>
  <c r="Q926" i="17"/>
  <c r="Q929" i="17"/>
  <c r="Q1022" i="15"/>
  <c r="U2308" i="24"/>
  <c r="Z2308" i="24" s="1"/>
  <c r="U2311" i="24"/>
  <c r="Z2311" i="24" s="1"/>
  <c r="U2306" i="24"/>
  <c r="Z2306" i="24" s="1"/>
  <c r="U2303" i="24"/>
  <c r="Z2303" i="24" s="1"/>
  <c r="U2302" i="24"/>
  <c r="Z2302" i="24" s="1"/>
  <c r="Q858" i="17"/>
  <c r="Q936" i="15"/>
  <c r="Q827" i="17"/>
  <c r="Q788" i="17"/>
  <c r="Q791" i="17"/>
  <c r="H661" i="18"/>
  <c r="O661" i="18" s="1"/>
  <c r="O666" i="18"/>
  <c r="O665" i="18"/>
  <c r="O664" i="18"/>
  <c r="Q866" i="15"/>
  <c r="Q658" i="17"/>
  <c r="Q705" i="15"/>
  <c r="Q608" i="17"/>
  <c r="Q607" i="17"/>
  <c r="Q610" i="17"/>
  <c r="Q609" i="17"/>
  <c r="Q612" i="17"/>
  <c r="O513" i="18"/>
  <c r="Q536" i="17"/>
  <c r="Q572" i="15"/>
  <c r="Q524" i="17"/>
  <c r="Q558" i="15"/>
  <c r="Q487" i="17"/>
  <c r="Q489" i="17"/>
  <c r="Q523" i="15"/>
  <c r="Q525" i="15"/>
  <c r="U1170" i="24"/>
  <c r="Z1170" i="24" s="1"/>
  <c r="U1173" i="24"/>
  <c r="R1173" i="24"/>
  <c r="U1171" i="24"/>
  <c r="U1168" i="24"/>
  <c r="R1168" i="24"/>
  <c r="U1167" i="24"/>
  <c r="Z1167" i="24" s="1"/>
  <c r="Q420" i="17"/>
  <c r="Q423" i="17"/>
  <c r="Q453" i="15"/>
  <c r="Q455" i="15"/>
  <c r="Q402" i="15"/>
  <c r="Q327" i="17"/>
  <c r="O272" i="18"/>
  <c r="Q348" i="15"/>
  <c r="Q328" i="17"/>
  <c r="Q321" i="17"/>
  <c r="Q322" i="17"/>
  <c r="Q341" i="15"/>
  <c r="Q199" i="17"/>
  <c r="Q208" i="15"/>
  <c r="Q169" i="17"/>
  <c r="Q180" i="15"/>
  <c r="Q85" i="17"/>
  <c r="Q89" i="15"/>
  <c r="Q72" i="17"/>
  <c r="Q73" i="17"/>
  <c r="Q75" i="15"/>
  <c r="P73" i="17"/>
  <c r="Q12" i="17"/>
  <c r="Q917" i="17"/>
  <c r="Q921" i="17"/>
  <c r="Q919" i="17"/>
  <c r="Q922" i="17"/>
  <c r="Q1013" i="15"/>
  <c r="Q830" i="17"/>
  <c r="Q244" i="17"/>
  <c r="Q246" i="17"/>
  <c r="Q443" i="17"/>
  <c r="Q429" i="17"/>
  <c r="Q428" i="17"/>
  <c r="Q427" i="17"/>
  <c r="Q430" i="17"/>
  <c r="Q77" i="17"/>
  <c r="Q79" i="17"/>
  <c r="W1743" i="24"/>
  <c r="W1403" i="24"/>
  <c r="W2059" i="24"/>
  <c r="W2058" i="24"/>
  <c r="U993" i="24"/>
  <c r="Z993" i="24" s="1"/>
  <c r="W2057" i="24"/>
  <c r="W666" i="24"/>
  <c r="W1578" i="24"/>
  <c r="W99" i="24"/>
  <c r="W1394" i="24"/>
  <c r="W2053" i="24"/>
  <c r="W1393" i="24"/>
  <c r="W603" i="24"/>
  <c r="U981" i="24"/>
  <c r="Z981" i="24" s="1"/>
  <c r="U1970" i="24"/>
  <c r="W1970" i="24" s="1"/>
  <c r="W2550" i="24"/>
  <c r="W657" i="24"/>
  <c r="W1380" i="24"/>
  <c r="W38" i="24"/>
  <c r="W1379" i="24"/>
  <c r="Q591" i="17"/>
  <c r="Q593" i="17"/>
  <c r="Q339" i="17"/>
  <c r="Q340" i="17"/>
  <c r="Q561" i="17"/>
  <c r="Q889" i="17"/>
  <c r="Q890" i="17"/>
  <c r="Q841" i="17"/>
  <c r="Q840" i="17"/>
  <c r="Q833" i="17"/>
  <c r="Q832" i="17"/>
  <c r="Q836" i="17"/>
  <c r="Q834" i="17"/>
  <c r="P268" i="17"/>
  <c r="P271" i="17"/>
  <c r="Q882" i="17"/>
  <c r="Q884" i="17"/>
  <c r="O744" i="18"/>
  <c r="Q869" i="17"/>
  <c r="Q872" i="17"/>
  <c r="Q952" i="15"/>
  <c r="Q861" i="17"/>
  <c r="Q860" i="17"/>
  <c r="Q862" i="17"/>
  <c r="Q865" i="17"/>
  <c r="Q945" i="15"/>
  <c r="Q942" i="15"/>
  <c r="Q765" i="17"/>
  <c r="Q766" i="17"/>
  <c r="Q509" i="17"/>
  <c r="Q511" i="17"/>
  <c r="Q505" i="17"/>
  <c r="Q504" i="17"/>
  <c r="Q508" i="17"/>
  <c r="Q507" i="17"/>
  <c r="Q510" i="17"/>
  <c r="O427" i="18"/>
  <c r="Q355" i="17"/>
  <c r="Q354" i="17"/>
  <c r="Q358" i="17"/>
  <c r="Q356" i="17"/>
  <c r="Q359" i="17"/>
  <c r="Q102" i="17"/>
  <c r="Q105" i="17"/>
  <c r="Q62" i="17"/>
  <c r="Q64" i="17"/>
  <c r="Q67" i="17"/>
  <c r="Q44" i="17"/>
  <c r="Q47" i="17"/>
  <c r="Q821" i="17"/>
  <c r="Q823" i="17"/>
  <c r="Q815" i="17"/>
  <c r="Q817" i="17"/>
  <c r="Q808" i="17"/>
  <c r="Q811" i="17"/>
  <c r="Q649" i="17"/>
  <c r="Q652" i="17"/>
  <c r="Q674" i="17"/>
  <c r="Q673" i="17"/>
  <c r="Q678" i="17"/>
  <c r="Q679" i="17"/>
  <c r="Q572" i="17"/>
  <c r="Q571" i="17"/>
  <c r="Q567" i="17"/>
  <c r="Q710" i="17"/>
  <c r="Q636" i="17"/>
  <c r="Q455" i="17"/>
  <c r="O382" i="18"/>
  <c r="Q345" i="17"/>
  <c r="Q346" i="17"/>
  <c r="Q280" i="17"/>
  <c r="Q284" i="17"/>
  <c r="Q282" i="17"/>
  <c r="Q285" i="17"/>
  <c r="Q232" i="17"/>
  <c r="Q231" i="17"/>
  <c r="Q233" i="17"/>
  <c r="Q189" i="17"/>
  <c r="Q188" i="17"/>
  <c r="Q192" i="17"/>
  <c r="Q190" i="17"/>
  <c r="Q193" i="17"/>
  <c r="Q34" i="17"/>
  <c r="Q33" i="17"/>
  <c r="Q38" i="17"/>
  <c r="Q36" i="17"/>
  <c r="Q40" i="17"/>
  <c r="Q144" i="17"/>
  <c r="Q131" i="17"/>
  <c r="O111" i="18"/>
  <c r="O110" i="18"/>
  <c r="O109" i="18"/>
  <c r="O108" i="18"/>
  <c r="P131" i="17"/>
  <c r="Q53" i="17"/>
  <c r="Q288" i="17"/>
  <c r="Q287" i="17"/>
  <c r="Q290" i="17"/>
  <c r="Q289" i="17"/>
  <c r="Q291" i="17"/>
  <c r="Q17" i="17"/>
  <c r="Q16" i="17"/>
  <c r="Q19" i="17"/>
  <c r="Q942" i="17"/>
  <c r="Q644" i="17"/>
  <c r="Q645" i="17"/>
  <c r="P599" i="17"/>
  <c r="Q574" i="17"/>
  <c r="P555" i="17"/>
  <c r="Q545" i="17"/>
  <c r="Q544" i="17"/>
  <c r="Q548" i="17"/>
  <c r="Q546" i="17"/>
  <c r="Q549" i="17"/>
  <c r="Q538" i="17"/>
  <c r="Q540" i="17"/>
  <c r="Q542" i="17"/>
  <c r="Q516" i="17"/>
  <c r="Q518" i="17"/>
  <c r="Q501" i="17"/>
  <c r="Q638" i="17"/>
  <c r="Q456" i="17"/>
  <c r="Q457" i="17"/>
  <c r="Q388" i="17"/>
  <c r="Q391" i="17"/>
  <c r="Q420" i="15"/>
  <c r="Q352" i="17"/>
  <c r="Q264" i="17"/>
  <c r="Q236" i="17"/>
  <c r="Q237" i="17"/>
  <c r="Q239" i="17"/>
  <c r="Q240" i="17"/>
  <c r="Q214" i="17"/>
  <c r="Q213" i="17"/>
  <c r="Q215" i="17"/>
  <c r="Q218" i="17"/>
  <c r="O185" i="18"/>
  <c r="Q755" i="17"/>
  <c r="Q749" i="17"/>
  <c r="Q752" i="17"/>
  <c r="Q751" i="17"/>
  <c r="Q753" i="17"/>
  <c r="O634" i="18"/>
  <c r="P749" i="17"/>
  <c r="P752" i="17"/>
  <c r="P751" i="17"/>
  <c r="P753" i="17"/>
  <c r="Q477" i="17"/>
  <c r="T2311" i="24"/>
  <c r="T2459" i="24"/>
  <c r="T1998" i="24"/>
  <c r="T1267" i="24"/>
  <c r="T108" i="24"/>
  <c r="T886" i="24"/>
  <c r="T485" i="24"/>
  <c r="T1404" i="24"/>
  <c r="T1143" i="24"/>
  <c r="T520" i="24"/>
  <c r="T2543" i="24"/>
  <c r="T1301" i="24"/>
  <c r="T1403" i="24"/>
  <c r="T1698" i="24"/>
  <c r="T2102" i="24"/>
  <c r="T484" i="24"/>
  <c r="T1019" i="24"/>
  <c r="T543" i="24"/>
  <c r="T2183" i="24"/>
  <c r="T1361" i="24"/>
  <c r="T2202" i="24"/>
  <c r="T1266" i="24"/>
  <c r="T155" i="24"/>
  <c r="T107" i="24"/>
  <c r="T1564" i="24"/>
  <c r="T789" i="24"/>
  <c r="T237" i="24"/>
  <c r="T630" i="24"/>
  <c r="T1433" i="24"/>
  <c r="T2218" i="24"/>
  <c r="T253" i="24"/>
  <c r="T205" i="24"/>
  <c r="T720" i="24"/>
  <c r="T2441" i="24"/>
  <c r="T572" i="24"/>
  <c r="T587" i="24"/>
  <c r="T2472" i="24"/>
  <c r="T2309" i="24"/>
  <c r="T2457" i="24"/>
  <c r="T1996" i="24"/>
  <c r="T478" i="24"/>
  <c r="T1265" i="24"/>
  <c r="T106" i="24"/>
  <c r="T317" i="24"/>
  <c r="T646" i="24"/>
  <c r="T2521" i="24"/>
  <c r="T884" i="24"/>
  <c r="T1402" i="24"/>
  <c r="T1741" i="24"/>
  <c r="T586" i="24"/>
  <c r="T235" i="24"/>
  <c r="T316" i="24"/>
  <c r="T170" i="24"/>
  <c r="T2456" i="24"/>
  <c r="T1919" i="24"/>
  <c r="T1264" i="24"/>
  <c r="T477" i="24"/>
  <c r="T105" i="24"/>
  <c r="T2520" i="24"/>
  <c r="T645" i="24"/>
  <c r="T883" i="24"/>
  <c r="T1401" i="24"/>
  <c r="T1740" i="24"/>
  <c r="T2058" i="24"/>
  <c r="T233" i="24"/>
  <c r="T585" i="24"/>
  <c r="T2306" i="24"/>
  <c r="T1444" i="24"/>
  <c r="T1994" i="24"/>
  <c r="T2469" i="24"/>
  <c r="T2455" i="24"/>
  <c r="T126" i="24"/>
  <c r="T1918" i="24"/>
  <c r="T1263" i="24"/>
  <c r="T882" i="24"/>
  <c r="T314" i="24"/>
  <c r="T2518" i="24"/>
  <c r="T169" i="24"/>
  <c r="T644" i="24"/>
  <c r="T476" i="24"/>
  <c r="T103" i="24"/>
  <c r="T1400" i="24"/>
  <c r="T1739" i="24"/>
  <c r="T472" i="24"/>
  <c r="T167" i="24"/>
  <c r="T2094" i="24"/>
  <c r="T1259" i="24"/>
  <c r="T641" i="24"/>
  <c r="T512" i="24"/>
  <c r="T2551" i="24"/>
  <c r="T2051" i="24"/>
  <c r="T502" i="24"/>
  <c r="T1274" i="24"/>
  <c r="T1733" i="24"/>
  <c r="T2228" i="24"/>
  <c r="T1013" i="24"/>
  <c r="T372" i="24"/>
  <c r="T1468" i="24"/>
  <c r="T1103" i="24"/>
  <c r="T2093" i="24"/>
  <c r="T26" i="24"/>
  <c r="T93" i="24"/>
  <c r="T1135" i="24"/>
  <c r="T1291" i="24"/>
  <c r="T2511" i="24"/>
  <c r="T302" i="24"/>
  <c r="T982" i="24"/>
  <c r="T2072" i="24"/>
  <c r="T2340" i="24"/>
  <c r="T2173" i="24"/>
  <c r="T533" i="24"/>
  <c r="T2537" i="24"/>
  <c r="T1874" i="24"/>
  <c r="T1575" i="24"/>
  <c r="T1392" i="24"/>
  <c r="T1827" i="24"/>
  <c r="T407" i="24"/>
  <c r="T45" i="24"/>
  <c r="T1622" i="24"/>
  <c r="T844" i="24"/>
  <c r="T1770" i="24"/>
  <c r="T1557" i="24"/>
  <c r="T877" i="24"/>
  <c r="T151" i="24"/>
  <c r="T2194" i="24"/>
  <c r="T2031" i="24"/>
  <c r="T948" i="24"/>
  <c r="T1087" i="24"/>
  <c r="T775" i="24"/>
  <c r="T1692" i="24"/>
  <c r="T1327" i="24"/>
  <c r="T264" i="24"/>
  <c r="T2248" i="24"/>
  <c r="T165" i="24"/>
  <c r="T1185" i="24"/>
  <c r="T2412" i="24"/>
  <c r="T1441" i="24"/>
  <c r="T1070" i="24"/>
  <c r="T461" i="24"/>
  <c r="T1412" i="24"/>
  <c r="T1253" i="24"/>
  <c r="T639" i="24"/>
  <c r="T119" i="24"/>
  <c r="T1490" i="24"/>
  <c r="T661" i="24"/>
  <c r="T896" i="24"/>
  <c r="T8" i="24"/>
  <c r="T180" i="24"/>
  <c r="T198" i="24"/>
  <c r="T1853" i="24"/>
  <c r="T1057" i="24"/>
  <c r="T799" i="24"/>
  <c r="T1541" i="24"/>
  <c r="T229" i="24"/>
  <c r="T2321" i="24"/>
  <c r="T1669" i="24"/>
  <c r="T2210" i="24"/>
  <c r="T2384" i="24"/>
  <c r="T1913" i="24"/>
  <c r="T390" i="24"/>
  <c r="T1369" i="24"/>
  <c r="T2571" i="24"/>
  <c r="T1311" i="24"/>
  <c r="T1990" i="24"/>
  <c r="T1931" i="24"/>
  <c r="T1945" i="24"/>
  <c r="T551" i="24"/>
  <c r="T2451" i="24"/>
  <c r="T247" i="24"/>
  <c r="T1957" i="24"/>
  <c r="T930" i="24"/>
  <c r="T357" i="24"/>
  <c r="T624" i="24"/>
  <c r="T1591" i="24"/>
  <c r="T964" i="24"/>
  <c r="T2466" i="24"/>
  <c r="T1426" i="24"/>
  <c r="T2303" i="24"/>
  <c r="T580" i="24"/>
  <c r="T603" i="24"/>
  <c r="T598" i="24"/>
  <c r="T500" i="24"/>
  <c r="T2245" i="24"/>
  <c r="T2227" i="24"/>
  <c r="T1732" i="24"/>
  <c r="T1352" i="24"/>
  <c r="T1753" i="24"/>
  <c r="T1649" i="24"/>
  <c r="T1769" i="24"/>
  <c r="T1467" i="24"/>
  <c r="T263" i="24"/>
  <c r="T532" i="24"/>
  <c r="T1134" i="24"/>
  <c r="T371" i="24"/>
  <c r="T91" i="24"/>
  <c r="T44" i="24"/>
  <c r="T1970" i="24"/>
  <c r="T1099" i="24"/>
  <c r="T946" i="24"/>
  <c r="T1290" i="24"/>
  <c r="T1621" i="24"/>
  <c r="T2172" i="24"/>
  <c r="T1326" i="24"/>
  <c r="T150" i="24"/>
  <c r="T7" i="24"/>
  <c r="T2320" i="24"/>
  <c r="T798" i="24"/>
  <c r="T981" i="24"/>
  <c r="T300" i="24"/>
  <c r="T1871" i="24"/>
  <c r="T1852" i="24"/>
  <c r="T658" i="24"/>
  <c r="T459" i="24"/>
  <c r="T1826" i="24"/>
  <c r="T2193" i="24"/>
  <c r="T746" i="24"/>
  <c r="T1411" i="24"/>
  <c r="T24" i="24"/>
  <c r="T1556" i="24"/>
  <c r="T876" i="24"/>
  <c r="T179" i="24"/>
  <c r="T843" i="24"/>
  <c r="T1574" i="24"/>
  <c r="T2209" i="24"/>
  <c r="T2536" i="24"/>
  <c r="T2339" i="24"/>
  <c r="T406" i="24"/>
  <c r="T1667" i="24"/>
  <c r="T1056" i="24"/>
  <c r="T637" i="24"/>
  <c r="T2383" i="24"/>
  <c r="T2049" i="24"/>
  <c r="T118" i="24"/>
  <c r="T1012" i="24"/>
  <c r="T1388" i="24"/>
  <c r="T1489" i="24"/>
  <c r="T2070" i="24"/>
  <c r="T1956" i="24"/>
  <c r="T1252" i="24"/>
  <c r="T702" i="24"/>
  <c r="T1777" i="24"/>
  <c r="T164" i="24"/>
  <c r="T2411" i="24"/>
  <c r="T246" i="24"/>
  <c r="T2432" i="24"/>
  <c r="T2450" i="24"/>
  <c r="T1069" i="24"/>
  <c r="T1273" i="24"/>
  <c r="T774" i="24"/>
  <c r="T1912" i="24"/>
  <c r="T895" i="24"/>
  <c r="T136" i="24"/>
  <c r="T1944" i="24"/>
  <c r="T1025" i="24"/>
  <c r="T686" i="24"/>
  <c r="T623" i="24"/>
  <c r="T1368" i="24"/>
  <c r="T1425" i="24"/>
  <c r="T2030" i="24"/>
  <c r="T2110" i="24"/>
  <c r="T1184" i="24"/>
  <c r="T1989" i="24"/>
  <c r="T197" i="24"/>
  <c r="T1691" i="24"/>
  <c r="T1540" i="24"/>
  <c r="T2092" i="24"/>
  <c r="T909" i="24"/>
  <c r="T389" i="24"/>
  <c r="T929" i="24"/>
  <c r="T1344" i="24"/>
  <c r="T356" i="24"/>
  <c r="T1086" i="24"/>
  <c r="T2485" i="24"/>
  <c r="T2302" i="24"/>
  <c r="T563" i="24"/>
  <c r="T423" i="24"/>
  <c r="T1930" i="24"/>
  <c r="T1310" i="24"/>
  <c r="T228" i="24"/>
  <c r="T2465" i="24"/>
  <c r="T550" i="24"/>
  <c r="T715" i="24"/>
  <c r="T2569" i="24"/>
  <c r="T859" i="24"/>
  <c r="T579" i="24"/>
  <c r="T1590" i="24"/>
  <c r="T963" i="24"/>
  <c r="T1041" i="24"/>
  <c r="T2550" i="24"/>
  <c r="T1768" i="24"/>
  <c r="T261" i="24"/>
  <c r="T42" i="24"/>
  <c r="T299" i="24"/>
  <c r="T88" i="24"/>
  <c r="T456" i="24"/>
  <c r="T2449" i="24"/>
  <c r="T2171" i="24"/>
  <c r="T1386" i="24"/>
  <c r="T636" i="24"/>
  <c r="T498" i="24"/>
  <c r="T2548" i="24"/>
  <c r="T1589" i="24"/>
  <c r="T492" i="24"/>
  <c r="T1789" i="24"/>
  <c r="T676" i="24"/>
  <c r="T1130" i="24"/>
  <c r="T41" i="24"/>
  <c r="T1647" i="24"/>
  <c r="T594" i="24"/>
  <c r="T1351" i="24"/>
  <c r="T2046" i="24"/>
  <c r="T369" i="24"/>
  <c r="T2223" i="24"/>
  <c r="T259" i="24"/>
  <c r="T20" i="24"/>
  <c r="T1285" i="24"/>
  <c r="T1767" i="24"/>
  <c r="T1093" i="24"/>
  <c r="T2503" i="24"/>
  <c r="T1866" i="24"/>
  <c r="T2091" i="24"/>
  <c r="T1382" i="24"/>
  <c r="T1748" i="24"/>
  <c r="T2409" i="24"/>
  <c r="T906" i="24"/>
  <c r="T148" i="24"/>
  <c r="T944" i="24"/>
  <c r="T653" i="24"/>
  <c r="T2191" i="24"/>
  <c r="T1424" i="24"/>
  <c r="T526" i="24"/>
  <c r="T2533" i="24"/>
  <c r="T1943" i="24"/>
  <c r="T114" i="24"/>
  <c r="T700" i="24"/>
  <c r="T1247" i="24"/>
  <c r="T1011" i="24"/>
  <c r="T2240" i="24"/>
  <c r="T1539" i="24"/>
  <c r="T1272" i="24"/>
  <c r="T685" i="24"/>
  <c r="T1341" i="24"/>
  <c r="T2028" i="24"/>
  <c r="T1054" i="24"/>
  <c r="T767" i="24"/>
  <c r="T1038" i="24"/>
  <c r="T2382" i="24"/>
  <c r="T2429" i="24"/>
  <c r="T6" i="24"/>
  <c r="T1024" i="24"/>
  <c r="T450" i="24"/>
  <c r="T160" i="24"/>
  <c r="T84" i="24"/>
  <c r="T1849" i="24"/>
  <c r="T741" i="24"/>
  <c r="T1820" i="24"/>
  <c r="T2335" i="24"/>
  <c r="T2168" i="24"/>
  <c r="T1910" i="24"/>
  <c r="T622" i="24"/>
  <c r="T1179" i="24"/>
  <c r="T355" i="24"/>
  <c r="T385" i="24"/>
  <c r="T1482" i="24"/>
  <c r="T1084" i="24"/>
  <c r="T227" i="24"/>
  <c r="T242" i="24"/>
  <c r="T1664" i="24"/>
  <c r="T1067" i="24"/>
  <c r="T2464" i="24"/>
  <c r="T714" i="24"/>
  <c r="T2565" i="24"/>
  <c r="T2207" i="24"/>
  <c r="T2479" i="24"/>
  <c r="T1690" i="24"/>
  <c r="T1927" i="24"/>
  <c r="T562" i="24"/>
  <c r="T195" i="24"/>
  <c r="T927" i="24"/>
  <c r="T2447" i="24"/>
  <c r="T295" i="24"/>
  <c r="T1555" i="24"/>
  <c r="T488" i="24"/>
  <c r="T672" i="24"/>
  <c r="T1126" i="24"/>
  <c r="T1089" i="24"/>
  <c r="T2529" i="24"/>
  <c r="T1763" i="24"/>
  <c r="T1378" i="24"/>
  <c r="T1744" i="24"/>
  <c r="T649" i="24"/>
  <c r="T1281" i="24"/>
  <c r="T2164" i="24"/>
  <c r="T696" i="24"/>
  <c r="T144" i="24"/>
  <c r="T2236" i="24"/>
  <c r="T1337" i="24"/>
  <c r="T763" i="24"/>
  <c r="T80" i="24"/>
  <c r="T255" i="24"/>
  <c r="T381" i="24"/>
  <c r="T1478" i="24"/>
  <c r="T156" i="24"/>
  <c r="T737" i="24"/>
  <c r="T1080" i="24"/>
  <c r="T2561" i="24"/>
  <c r="T1420" i="24"/>
  <c r="T558" i="24"/>
  <c r="T618" i="24"/>
  <c r="T291" i="24"/>
  <c r="T37" i="24"/>
  <c r="P62" i="17"/>
  <c r="P64" i="17"/>
  <c r="P67" i="17"/>
  <c r="P109" i="17"/>
  <c r="P111" i="17"/>
  <c r="U1977" i="24"/>
  <c r="Z1977" i="24" s="1"/>
  <c r="U1975" i="24"/>
  <c r="Z1975" i="24" s="1"/>
  <c r="U1971" i="24"/>
  <c r="Z1971" i="24" s="1"/>
  <c r="Q735" i="17"/>
  <c r="O771" i="18"/>
  <c r="P914" i="17"/>
  <c r="P915" i="17"/>
  <c r="O914" i="17"/>
  <c r="O915" i="17"/>
  <c r="N914" i="17"/>
  <c r="N915" i="17"/>
  <c r="O752" i="18"/>
  <c r="O751" i="18"/>
  <c r="O749" i="18"/>
  <c r="O890" i="17"/>
  <c r="N890" i="17"/>
  <c r="P890" i="17"/>
  <c r="P703" i="17"/>
  <c r="P704" i="17"/>
  <c r="P524" i="17"/>
  <c r="P244" i="17"/>
  <c r="P246" i="17"/>
  <c r="P227" i="17"/>
  <c r="P211" i="17"/>
  <c r="P199" i="17"/>
  <c r="O773" i="18"/>
  <c r="O772" i="18"/>
  <c r="O770" i="18"/>
  <c r="P858" i="17"/>
  <c r="P307" i="17"/>
  <c r="P310" i="17"/>
  <c r="P784" i="17"/>
  <c r="P530" i="17"/>
  <c r="P489" i="17"/>
  <c r="P123" i="17"/>
  <c r="P125" i="17"/>
  <c r="I115" i="17"/>
  <c r="E115" i="17"/>
  <c r="P918" i="17"/>
  <c r="O918" i="17"/>
  <c r="N918" i="17"/>
  <c r="M918" i="17"/>
  <c r="L918" i="17"/>
  <c r="K918" i="17"/>
  <c r="J918" i="17"/>
  <c r="I918" i="17"/>
  <c r="H918" i="17"/>
  <c r="L179" i="17"/>
  <c r="P179" i="17"/>
  <c r="O179" i="17"/>
  <c r="K179" i="17"/>
  <c r="P545" i="17"/>
  <c r="N545" i="17"/>
  <c r="J545" i="17"/>
  <c r="I545" i="17"/>
  <c r="H545" i="17"/>
  <c r="M925" i="17"/>
  <c r="P214" i="17"/>
  <c r="O214" i="17"/>
  <c r="N214" i="17"/>
  <c r="M214" i="17"/>
  <c r="M281" i="17"/>
  <c r="P288" i="17"/>
  <c r="O288" i="17"/>
  <c r="M288" i="17"/>
  <c r="L288" i="17"/>
  <c r="O505" i="17"/>
  <c r="N505" i="17"/>
  <c r="P355" i="17"/>
  <c r="O355" i="17"/>
  <c r="P189" i="17"/>
  <c r="K189" i="17"/>
  <c r="O189" i="17"/>
  <c r="P875" i="17"/>
  <c r="O875" i="17"/>
  <c r="N875" i="17"/>
  <c r="M833" i="17"/>
  <c r="L833" i="17"/>
  <c r="K833" i="17"/>
  <c r="P868" i="17"/>
  <c r="O868" i="17"/>
  <c r="N868" i="17"/>
  <c r="L868" i="17"/>
  <c r="O668" i="17"/>
  <c r="P172" i="17"/>
  <c r="O172" i="17"/>
  <c r="N172" i="17"/>
  <c r="M172" i="17"/>
  <c r="P608" i="17"/>
  <c r="O94" i="17"/>
  <c r="N94" i="17"/>
  <c r="M94" i="17"/>
  <c r="P661" i="17"/>
  <c r="G691" i="17"/>
  <c r="E691" i="17"/>
  <c r="P763" i="17"/>
  <c r="L763" i="17"/>
  <c r="I763" i="17"/>
  <c r="P861" i="17"/>
  <c r="P236" i="17"/>
  <c r="L855" i="17"/>
  <c r="F34" i="17"/>
  <c r="E34" i="17"/>
  <c r="D34" i="17"/>
  <c r="L34" i="17"/>
  <c r="N34" i="17"/>
  <c r="P34" i="17"/>
  <c r="O290" i="18"/>
  <c r="T1743" i="24"/>
  <c r="R1213" i="24"/>
  <c r="T1213" i="24" s="1"/>
  <c r="T1598" i="24"/>
  <c r="O79" i="24"/>
  <c r="T79" i="24" s="1"/>
  <c r="P933" i="17"/>
  <c r="P936" i="17"/>
  <c r="T2059" i="24"/>
  <c r="T2057" i="24"/>
  <c r="T516" i="24"/>
  <c r="T475" i="24"/>
  <c r="T513" i="24"/>
  <c r="T511" i="24"/>
  <c r="T1396" i="24"/>
  <c r="T509" i="24"/>
  <c r="T1394" i="24"/>
  <c r="T1393" i="24"/>
  <c r="T505" i="24"/>
  <c r="R212" i="24"/>
  <c r="T212" i="24" s="1"/>
  <c r="R1167" i="24"/>
  <c r="T1167" i="24" s="1"/>
  <c r="R1205" i="24"/>
  <c r="T1205" i="24" s="1"/>
  <c r="O70" i="24"/>
  <c r="Q70" i="24" s="1"/>
  <c r="T90" i="24"/>
  <c r="T1387" i="24"/>
  <c r="T499" i="24"/>
  <c r="T493" i="24"/>
  <c r="R1203" i="24"/>
  <c r="T1203" i="24" s="1"/>
  <c r="R211" i="24"/>
  <c r="T211" i="24" s="1"/>
  <c r="O69" i="24"/>
  <c r="Q69" i="24" s="1"/>
  <c r="T1689" i="24"/>
  <c r="T1381" i="24"/>
  <c r="T491" i="24"/>
  <c r="T905" i="24"/>
  <c r="T40" i="24"/>
  <c r="T1380" i="24"/>
  <c r="T490" i="24"/>
  <c r="T82" i="24"/>
  <c r="T855" i="24"/>
  <c r="T738" i="24"/>
  <c r="T1379" i="24"/>
  <c r="R1199" i="24"/>
  <c r="T1199" i="24" s="1"/>
  <c r="Q37" i="24"/>
  <c r="P187" i="17"/>
  <c r="P186" i="17"/>
  <c r="P178" i="17"/>
  <c r="P183" i="17"/>
  <c r="P181" i="17"/>
  <c r="P184" i="17"/>
  <c r="P896" i="17"/>
  <c r="P163" i="17"/>
  <c r="P400" i="17"/>
  <c r="P402" i="17"/>
  <c r="P404" i="17"/>
  <c r="O832" i="17"/>
  <c r="O858" i="17"/>
  <c r="O784" i="17"/>
  <c r="O741" i="17"/>
  <c r="O717" i="17"/>
  <c r="O555" i="17"/>
  <c r="O530" i="17"/>
  <c r="O631" i="17"/>
  <c r="O439" i="17"/>
  <c r="O443" i="17"/>
  <c r="P464" i="17"/>
  <c r="P815" i="17"/>
  <c r="P817" i="17"/>
  <c r="O815" i="17"/>
  <c r="O817" i="17"/>
  <c r="P698" i="17"/>
  <c r="P697" i="17"/>
  <c r="P690" i="17"/>
  <c r="P692" i="17"/>
  <c r="P695" i="17"/>
  <c r="P683" i="17"/>
  <c r="P686" i="17"/>
  <c r="P622" i="17"/>
  <c r="P625" i="17"/>
  <c r="P495" i="17"/>
  <c r="P445" i="17"/>
  <c r="P449" i="17"/>
  <c r="P447" i="17"/>
  <c r="P450" i="17"/>
  <c r="P443" i="17"/>
  <c r="P393" i="17"/>
  <c r="P397" i="17"/>
  <c r="P395" i="17"/>
  <c r="P398" i="17"/>
  <c r="P372" i="17"/>
  <c r="P366" i="17"/>
  <c r="P340" i="17"/>
  <c r="P258" i="17"/>
  <c r="P205" i="17"/>
  <c r="P157" i="17"/>
  <c r="P97" i="17"/>
  <c r="P95" i="17"/>
  <c r="P98" i="17"/>
  <c r="P416" i="17"/>
  <c r="O349" i="18"/>
  <c r="O348" i="18"/>
  <c r="O347" i="18"/>
  <c r="O704" i="17"/>
  <c r="O246" i="17"/>
  <c r="P946" i="17"/>
  <c r="P949" i="17"/>
  <c r="P942" i="17"/>
  <c r="P924" i="17"/>
  <c r="P926" i="17"/>
  <c r="P929" i="17"/>
  <c r="P917" i="17"/>
  <c r="P921" i="17"/>
  <c r="P919" i="17"/>
  <c r="P922" i="17"/>
  <c r="P904" i="17"/>
  <c r="P906" i="17"/>
  <c r="P909" i="17"/>
  <c r="P884" i="17"/>
  <c r="P874" i="17"/>
  <c r="P876" i="17"/>
  <c r="P869" i="17"/>
  <c r="P872" i="17"/>
  <c r="P864" i="17"/>
  <c r="P865" i="17"/>
  <c r="P832" i="17"/>
  <c r="P836" i="17"/>
  <c r="P834" i="17"/>
  <c r="P838" i="17"/>
  <c r="P902" i="17"/>
  <c r="P825" i="17"/>
  <c r="P829" i="17"/>
  <c r="P827" i="17"/>
  <c r="P830" i="17"/>
  <c r="P823" i="17"/>
  <c r="P806" i="17"/>
  <c r="P808" i="17"/>
  <c r="P811" i="17"/>
  <c r="P778" i="17"/>
  <c r="P765" i="17"/>
  <c r="P764" i="17"/>
  <c r="P766" i="17"/>
  <c r="P741" i="17"/>
  <c r="P729" i="17"/>
  <c r="P723" i="17"/>
  <c r="P717" i="17"/>
  <c r="P673" i="17"/>
  <c r="P678" i="17"/>
  <c r="P676" i="17"/>
  <c r="P679" i="17"/>
  <c r="P660" i="17"/>
  <c r="P664" i="17"/>
  <c r="P662" i="17"/>
  <c r="P665" i="17"/>
  <c r="P658" i="17"/>
  <c r="P649" i="17"/>
  <c r="P652" i="17"/>
  <c r="P618" i="17"/>
  <c r="P605" i="17"/>
  <c r="P609" i="17"/>
  <c r="P612" i="17"/>
  <c r="P591" i="17"/>
  <c r="P593" i="17"/>
  <c r="P587" i="17"/>
  <c r="P85" i="17"/>
  <c r="P580" i="17"/>
  <c r="P571" i="17"/>
  <c r="P574" i="17"/>
  <c r="P567" i="17"/>
  <c r="P561" i="17"/>
  <c r="P710" i="17"/>
  <c r="P544" i="17"/>
  <c r="P548" i="17"/>
  <c r="P546" i="17"/>
  <c r="P549" i="17"/>
  <c r="O463" i="18"/>
  <c r="P542" i="17"/>
  <c r="P514" i="17"/>
  <c r="P516" i="17"/>
  <c r="P518" i="17"/>
  <c r="P511" i="17"/>
  <c r="P504" i="17"/>
  <c r="P508" i="17"/>
  <c r="P507" i="17"/>
  <c r="P510" i="17"/>
  <c r="P509" i="17"/>
  <c r="P501" i="17"/>
  <c r="P638" i="17"/>
  <c r="P316" i="17"/>
  <c r="P483" i="17"/>
  <c r="P468" i="17"/>
  <c r="P471" i="17"/>
  <c r="P456" i="17"/>
  <c r="P454" i="17"/>
  <c r="P457" i="17"/>
  <c r="R1210" i="24"/>
  <c r="P434" i="17"/>
  <c r="P437" i="17"/>
  <c r="P429" i="17"/>
  <c r="P427" i="17"/>
  <c r="P430" i="17"/>
  <c r="R1171" i="24"/>
  <c r="P423" i="17"/>
  <c r="P408" i="17"/>
  <c r="P410" i="17"/>
  <c r="O211" i="17"/>
  <c r="P384" i="17"/>
  <c r="P378" i="17"/>
  <c r="P33" i="17"/>
  <c r="P38" i="17"/>
  <c r="P36" i="17"/>
  <c r="P40" i="17"/>
  <c r="P358" i="17"/>
  <c r="P356" i="17"/>
  <c r="P359" i="17"/>
  <c r="P352" i="17"/>
  <c r="P345" i="17"/>
  <c r="P346" i="17"/>
  <c r="P334" i="17"/>
  <c r="Q906" i="24"/>
  <c r="P328" i="17"/>
  <c r="P321" i="17"/>
  <c r="P322" i="17"/>
  <c r="P287" i="17"/>
  <c r="P290" i="17"/>
  <c r="P289" i="17"/>
  <c r="P291" i="17"/>
  <c r="P280" i="17"/>
  <c r="P284" i="17"/>
  <c r="P282" i="17"/>
  <c r="P285" i="17"/>
  <c r="P273" i="17"/>
  <c r="P277" i="17"/>
  <c r="P275" i="17"/>
  <c r="P278" i="17"/>
  <c r="P266" i="17"/>
  <c r="P264" i="17"/>
  <c r="P235" i="17"/>
  <c r="P239" i="17"/>
  <c r="P240" i="17"/>
  <c r="P232" i="17"/>
  <c r="P231" i="17"/>
  <c r="P233" i="17"/>
  <c r="P217" i="17"/>
  <c r="P215" i="17"/>
  <c r="P218" i="17"/>
  <c r="P252" i="17"/>
  <c r="P188" i="17"/>
  <c r="P192" i="17"/>
  <c r="P190" i="17"/>
  <c r="P193" i="17"/>
  <c r="O163" i="18"/>
  <c r="P177" i="17"/>
  <c r="P171" i="17"/>
  <c r="P175" i="17"/>
  <c r="P173" i="17"/>
  <c r="P176" i="17"/>
  <c r="P148" i="17"/>
  <c r="P151" i="17"/>
  <c r="P144" i="17"/>
  <c r="P102" i="17"/>
  <c r="P105" i="17"/>
  <c r="P91" i="17"/>
  <c r="P77" i="17"/>
  <c r="P79" i="17"/>
  <c r="P57" i="17"/>
  <c r="P60" i="17"/>
  <c r="P53" i="17"/>
  <c r="P42" i="17"/>
  <c r="P47" i="17"/>
  <c r="P31" i="17"/>
  <c r="P25" i="17"/>
  <c r="P16" i="17"/>
  <c r="P19" i="17"/>
  <c r="O16" i="17"/>
  <c r="O19" i="17"/>
  <c r="P12" i="17"/>
  <c r="P6" i="17"/>
  <c r="O6" i="17"/>
  <c r="Q1143" i="24"/>
  <c r="Q1213" i="24"/>
  <c r="Q520" i="24"/>
  <c r="Q1301" i="24"/>
  <c r="Q1403" i="24"/>
  <c r="Q1762" i="24"/>
  <c r="Q1698" i="24"/>
  <c r="Q484" i="24"/>
  <c r="Q1019" i="24"/>
  <c r="Q694" i="24"/>
  <c r="Q2183" i="24"/>
  <c r="Q1335" i="24"/>
  <c r="Q129" i="24"/>
  <c r="Q155" i="24"/>
  <c r="Q1549" i="24"/>
  <c r="Q1376" i="24"/>
  <c r="Q107" i="24"/>
  <c r="Q2102" i="24"/>
  <c r="Q572" i="24"/>
  <c r="Q671" i="24"/>
  <c r="Q720" i="24"/>
  <c r="Q1598" i="24"/>
  <c r="Q543" i="24"/>
  <c r="Q2543" i="24"/>
  <c r="Q444" i="24"/>
  <c r="Q735" i="24"/>
  <c r="Q205" i="24"/>
  <c r="Q2581" i="24"/>
  <c r="Q2218" i="24"/>
  <c r="Q253" i="24"/>
  <c r="Q1266" i="24"/>
  <c r="Q1458" i="24"/>
  <c r="Q630" i="24"/>
  <c r="Q1433" i="24"/>
  <c r="Q2441" i="24"/>
  <c r="Q1361" i="24"/>
  <c r="Q789" i="24"/>
  <c r="Q2329" i="24"/>
  <c r="Q1979" i="24"/>
  <c r="Q1042" i="24"/>
  <c r="Q1971" i="24"/>
  <c r="Q1274" i="24"/>
  <c r="Q502" i="24"/>
  <c r="Q1103" i="24"/>
  <c r="Q2248" i="24"/>
  <c r="Q1013" i="24"/>
  <c r="Q1291" i="24"/>
  <c r="Q2228" i="24"/>
  <c r="Q1945" i="24"/>
  <c r="Q372" i="24"/>
  <c r="Q264" i="24"/>
  <c r="Q119" i="24"/>
  <c r="Q1327" i="24"/>
  <c r="Q1874" i="24"/>
  <c r="Q2051" i="24"/>
  <c r="Q1575" i="24"/>
  <c r="Q2072" i="24"/>
  <c r="Q1392" i="24"/>
  <c r="Q2511" i="24"/>
  <c r="Q45" i="24"/>
  <c r="Q2093" i="24"/>
  <c r="Q2173" i="24"/>
  <c r="Q844" i="24"/>
  <c r="Q1622" i="24"/>
  <c r="Q26" i="24"/>
  <c r="Q1770" i="24"/>
  <c r="Q1135" i="24"/>
  <c r="Q2194" i="24"/>
  <c r="Q1591" i="24"/>
  <c r="Q1468" i="24"/>
  <c r="Q1087" i="24"/>
  <c r="Q533" i="24"/>
  <c r="Q877" i="24"/>
  <c r="Q2005" i="24"/>
  <c r="Q93" i="24"/>
  <c r="Q461" i="24"/>
  <c r="Q1412" i="24"/>
  <c r="Q1913" i="24"/>
  <c r="Q2031" i="24"/>
  <c r="Q2537" i="24"/>
  <c r="Q1733" i="24"/>
  <c r="Q390" i="24"/>
  <c r="Q687" i="24"/>
  <c r="Q775" i="24"/>
  <c r="Q1490" i="24"/>
  <c r="Q896" i="24"/>
  <c r="Q1827" i="24"/>
  <c r="Q1957" i="24"/>
  <c r="Q1070" i="24"/>
  <c r="Q1692" i="24"/>
  <c r="Q1057" i="24"/>
  <c r="Q1206" i="24"/>
  <c r="Q1369" i="24"/>
  <c r="Q151" i="24"/>
  <c r="Q639" i="24"/>
  <c r="Q661" i="24"/>
  <c r="Q1426" i="24"/>
  <c r="Q1454" i="24"/>
  <c r="Q2210" i="24"/>
  <c r="Q2384" i="24"/>
  <c r="Q799" i="24"/>
  <c r="Q2551" i="24"/>
  <c r="Q198" i="24"/>
  <c r="Q302" i="24"/>
  <c r="Q407" i="24"/>
  <c r="Q930" i="24"/>
  <c r="Q180" i="24"/>
  <c r="Q1253" i="24"/>
  <c r="Q2340" i="24"/>
  <c r="Q357" i="24"/>
  <c r="Q2289" i="24"/>
  <c r="Q213" i="24"/>
  <c r="Q703" i="24"/>
  <c r="Q437" i="24"/>
  <c r="Q1541" i="24"/>
  <c r="Q247" i="24"/>
  <c r="Q2434" i="24"/>
  <c r="Q624" i="24"/>
  <c r="Q2571" i="24"/>
  <c r="Q964" i="24"/>
  <c r="Q340" i="24"/>
  <c r="Q424" i="24"/>
  <c r="Q2321" i="24"/>
  <c r="Q603" i="24"/>
  <c r="Q1944" i="24"/>
  <c r="Q1970" i="24"/>
  <c r="Q500" i="24"/>
  <c r="Q1134" i="24"/>
  <c r="Q1290" i="24"/>
  <c r="Q1753" i="24"/>
  <c r="Q1099" i="24"/>
  <c r="Q371" i="24"/>
  <c r="Q44" i="24"/>
  <c r="Q1649" i="24"/>
  <c r="Q1769" i="24"/>
  <c r="Q2245" i="24"/>
  <c r="Q1871" i="24"/>
  <c r="Q746" i="24"/>
  <c r="Q1273" i="24"/>
  <c r="Q532" i="24"/>
  <c r="Q2227" i="24"/>
  <c r="Q1411" i="24"/>
  <c r="Q1621" i="24"/>
  <c r="Q1467" i="24"/>
  <c r="Q212" i="24"/>
  <c r="Q728" i="24"/>
  <c r="Q843" i="24"/>
  <c r="Q91" i="24"/>
  <c r="Q1574" i="24"/>
  <c r="Q150" i="24"/>
  <c r="Q300" i="24"/>
  <c r="Q658" i="24"/>
  <c r="Q2172" i="24"/>
  <c r="Q459" i="24"/>
  <c r="Q1167" i="24"/>
  <c r="Q2550" i="24"/>
  <c r="Q118" i="24"/>
  <c r="Q798" i="24"/>
  <c r="Q946" i="24"/>
  <c r="Q2092" i="24"/>
  <c r="Q24" i="24"/>
  <c r="Q774" i="24"/>
  <c r="Q1732" i="24"/>
  <c r="Q1056" i="24"/>
  <c r="Q1590" i="24"/>
  <c r="Q179" i="24"/>
  <c r="Q1041" i="24"/>
  <c r="Q876" i="24"/>
  <c r="Q2209" i="24"/>
  <c r="Q2288" i="24"/>
  <c r="Q1777" i="24"/>
  <c r="Q1326" i="24"/>
  <c r="Q637" i="24"/>
  <c r="Q1826" i="24"/>
  <c r="Q2383" i="24"/>
  <c r="Q2049" i="24"/>
  <c r="Q1012" i="24"/>
  <c r="Q1388" i="24"/>
  <c r="Q1489" i="24"/>
  <c r="Q2070" i="24"/>
  <c r="Q2485" i="24"/>
  <c r="Q686" i="24"/>
  <c r="Q1956" i="24"/>
  <c r="Q1252" i="24"/>
  <c r="Q136" i="24"/>
  <c r="Q246" i="24"/>
  <c r="Q2536" i="24"/>
  <c r="Q1205" i="24"/>
  <c r="Q1352" i="24"/>
  <c r="Q1453" i="24"/>
  <c r="Q2432" i="24"/>
  <c r="Q1069" i="24"/>
  <c r="Q895" i="24"/>
  <c r="Q623" i="24"/>
  <c r="Q1368" i="24"/>
  <c r="Q1425" i="24"/>
  <c r="Q2569" i="24"/>
  <c r="Q197" i="24"/>
  <c r="Q435" i="24"/>
  <c r="Q1912" i="24"/>
  <c r="Q1540" i="24"/>
  <c r="Q909" i="24"/>
  <c r="Q1691" i="24"/>
  <c r="Q2030" i="24"/>
  <c r="Q2193" i="24"/>
  <c r="Q2339" i="24"/>
  <c r="Q1086" i="24"/>
  <c r="Q389" i="24"/>
  <c r="Q406" i="24"/>
  <c r="Q929" i="24"/>
  <c r="Q563" i="24"/>
  <c r="Q1310" i="24"/>
  <c r="Q1344" i="24"/>
  <c r="Q356" i="24"/>
  <c r="Q715" i="24"/>
  <c r="Q228" i="24"/>
  <c r="Q339" i="24"/>
  <c r="Q702" i="24"/>
  <c r="Q423" i="24"/>
  <c r="Q963" i="24"/>
  <c r="Q2320" i="24"/>
  <c r="Q598" i="24"/>
  <c r="Q1351" i="24"/>
  <c r="Q1943" i="24"/>
  <c r="Q492" i="24"/>
  <c r="Q1647" i="24"/>
  <c r="Q1130" i="24"/>
  <c r="Q369" i="24"/>
  <c r="Q1767" i="24"/>
  <c r="Q114" i="24"/>
  <c r="Q1093" i="24"/>
  <c r="Q1203" i="24"/>
  <c r="Q1969" i="24"/>
  <c r="Q2223" i="24"/>
  <c r="Q1285" i="24"/>
  <c r="Q41" i="24"/>
  <c r="Q259" i="24"/>
  <c r="Q1866" i="24"/>
  <c r="Q1409" i="24"/>
  <c r="Q1589" i="24"/>
  <c r="Q2091" i="24"/>
  <c r="Q2548" i="24"/>
  <c r="Q1382" i="24"/>
  <c r="Q1748" i="24"/>
  <c r="Q2533" i="24"/>
  <c r="Q20" i="24"/>
  <c r="Q653" i="24"/>
  <c r="Q2191" i="24"/>
  <c r="Q1690" i="24"/>
  <c r="Q2503" i="24"/>
  <c r="Q2168" i="24"/>
  <c r="Q685" i="24"/>
  <c r="Q944" i="24"/>
  <c r="Q1011" i="24"/>
  <c r="Q1324" i="24"/>
  <c r="Q1539" i="24"/>
  <c r="Q1272" i="24"/>
  <c r="Q1367" i="24"/>
  <c r="Q450" i="24"/>
  <c r="Q148" i="24"/>
  <c r="Q622" i="24"/>
  <c r="Q1247" i="24"/>
  <c r="Q2003" i="24"/>
  <c r="Q2382" i="24"/>
  <c r="Q2429" i="24"/>
  <c r="Q2046" i="24"/>
  <c r="Q211" i="24"/>
  <c r="Q1038" i="24"/>
  <c r="Q562" i="24"/>
  <c r="Q1424" i="24"/>
  <c r="Q526" i="24"/>
  <c r="Q2240" i="24"/>
  <c r="Q741" i="24"/>
  <c r="Q84" i="24"/>
  <c r="Q1054" i="24"/>
  <c r="Q242" i="24"/>
  <c r="Q2479" i="24"/>
  <c r="Q714" i="24"/>
  <c r="Q1910" i="24"/>
  <c r="Q1570" i="24"/>
  <c r="Q1820" i="24"/>
  <c r="Q385" i="24"/>
  <c r="Q433" i="24"/>
  <c r="Q1341" i="24"/>
  <c r="Q1452" i="24"/>
  <c r="Q700" i="24"/>
  <c r="Q1482" i="24"/>
  <c r="Q2028" i="24"/>
  <c r="Q1084" i="24"/>
  <c r="Q227" i="24"/>
  <c r="Q355" i="24"/>
  <c r="Q767" i="24"/>
  <c r="Q2335" i="24"/>
  <c r="Q1067" i="24"/>
  <c r="Q725" i="24"/>
  <c r="Q2565" i="24"/>
  <c r="Q2207" i="24"/>
  <c r="Q2287" i="24"/>
  <c r="Q195" i="24"/>
  <c r="Q338" i="24"/>
  <c r="Q927" i="24"/>
  <c r="Q295" i="24"/>
  <c r="Q795" i="24"/>
  <c r="Q422" i="24"/>
  <c r="Q766" i="24"/>
  <c r="Q713" i="24"/>
  <c r="Q1323" i="24"/>
  <c r="Q1689" i="24"/>
  <c r="Q905" i="24"/>
  <c r="Q491" i="24"/>
  <c r="Q1381" i="24"/>
  <c r="Q490" i="24"/>
  <c r="Q763" i="24"/>
  <c r="Q2164" i="24"/>
  <c r="Q1126" i="24"/>
  <c r="Q1089" i="24"/>
  <c r="Q1763" i="24"/>
  <c r="Q2529" i="24"/>
  <c r="Q2219" i="24"/>
  <c r="Q1199" i="24"/>
  <c r="Q2475" i="24"/>
  <c r="Q1281" i="24"/>
  <c r="Q1772" i="24"/>
  <c r="Q2236" i="24"/>
  <c r="Q1378" i="24"/>
  <c r="Q1744" i="24"/>
  <c r="Q144" i="24"/>
  <c r="Q1363" i="24"/>
  <c r="Q1337" i="24"/>
  <c r="Q207" i="24"/>
  <c r="Q429" i="24"/>
  <c r="Q681" i="24"/>
  <c r="Q80" i="24"/>
  <c r="Q558" i="24"/>
  <c r="Q649" i="24"/>
  <c r="Q446" i="24"/>
  <c r="Q381" i="24"/>
  <c r="Q618" i="24"/>
  <c r="Q522" i="24"/>
  <c r="Q1478" i="24"/>
  <c r="Q737" i="24"/>
  <c r="Q696" i="24"/>
  <c r="Q1080" i="24"/>
  <c r="Q1420" i="24"/>
  <c r="Q1063" i="24"/>
  <c r="Q2561" i="24"/>
  <c r="Q291" i="24"/>
  <c r="Q488" i="24"/>
  <c r="P388" i="17"/>
  <c r="P391" i="17"/>
  <c r="P735" i="17"/>
  <c r="P771" i="17"/>
  <c r="P770" i="17"/>
  <c r="P772" i="17"/>
  <c r="P642" i="17"/>
  <c r="P645" i="17"/>
  <c r="H403" i="18"/>
  <c r="O403" i="18" s="1"/>
  <c r="O483" i="17"/>
  <c r="P477" i="17"/>
  <c r="O477" i="17"/>
  <c r="O205" i="17"/>
  <c r="O109" i="17"/>
  <c r="O111" i="17"/>
  <c r="O151" i="17"/>
  <c r="O334" i="17"/>
  <c r="O157" i="17"/>
  <c r="O852" i="17"/>
  <c r="O698" i="17"/>
  <c r="O697" i="17"/>
  <c r="K697" i="17"/>
  <c r="G697" i="17"/>
  <c r="E697" i="17"/>
  <c r="O690" i="17"/>
  <c r="O694" i="17"/>
  <c r="O692" i="17"/>
  <c r="O695" i="17"/>
  <c r="O679" i="17"/>
  <c r="O524" i="17"/>
  <c r="O393" i="17"/>
  <c r="O395" i="17"/>
  <c r="O398" i="17"/>
  <c r="O169" i="17"/>
  <c r="O64" i="17"/>
  <c r="O67" i="17"/>
  <c r="Q594" i="24"/>
  <c r="Q765" i="24"/>
  <c r="Q82" i="24"/>
  <c r="Q1380" i="24"/>
  <c r="Q764" i="24"/>
  <c r="Q1379" i="24"/>
  <c r="Q738" i="24"/>
  <c r="I488" i="24"/>
  <c r="O902" i="17"/>
  <c r="O908" i="17"/>
  <c r="O906" i="17"/>
  <c r="O909" i="17"/>
  <c r="H651" i="18"/>
  <c r="O651" i="18" s="1"/>
  <c r="O622" i="17"/>
  <c r="O625" i="17"/>
  <c r="O580" i="17"/>
  <c r="O536" i="17"/>
  <c r="O489" i="17"/>
  <c r="O461" i="17"/>
  <c r="O464" i="17"/>
  <c r="O400" i="17"/>
  <c r="O402" i="17"/>
  <c r="O404" i="17"/>
  <c r="O187" i="17"/>
  <c r="O186" i="17"/>
  <c r="O182" i="17"/>
  <c r="O180" i="17"/>
  <c r="O178" i="17"/>
  <c r="O183" i="17"/>
  <c r="O181" i="17"/>
  <c r="O184" i="17"/>
  <c r="O85" i="18"/>
  <c r="O105" i="17"/>
  <c r="O658" i="17"/>
  <c r="O660" i="17"/>
  <c r="O665" i="17"/>
  <c r="O495" i="17"/>
  <c r="O778" i="17"/>
  <c r="O316" i="17"/>
  <c r="O102" i="17"/>
  <c r="O747" i="18"/>
  <c r="O746" i="18"/>
  <c r="O745" i="18"/>
  <c r="O884" i="17"/>
  <c r="O742" i="18"/>
  <c r="O874" i="17"/>
  <c r="O877" i="17"/>
  <c r="O876" i="17"/>
  <c r="O878" i="17"/>
  <c r="O823" i="17"/>
  <c r="O649" i="17"/>
  <c r="O652" i="17"/>
  <c r="O618" i="17"/>
  <c r="N580" i="17"/>
  <c r="O514" i="17"/>
  <c r="O518" i="17"/>
  <c r="O511" i="17"/>
  <c r="O504" i="17"/>
  <c r="O508" i="17"/>
  <c r="O507" i="17"/>
  <c r="O510" i="17"/>
  <c r="O423" i="17"/>
  <c r="O378" i="17"/>
  <c r="O372" i="17"/>
  <c r="O290" i="17"/>
  <c r="O289" i="17"/>
  <c r="O291" i="17"/>
  <c r="O284" i="17"/>
  <c r="O282" i="17"/>
  <c r="O285" i="17"/>
  <c r="O268" i="17"/>
  <c r="O271" i="17"/>
  <c r="O95" i="17"/>
  <c r="O98" i="17"/>
  <c r="O73" i="17"/>
  <c r="O25" i="17"/>
  <c r="I24" i="24"/>
  <c r="I80" i="24"/>
  <c r="I148" i="24"/>
  <c r="I20" i="24"/>
  <c r="I433" i="24"/>
  <c r="O176" i="17"/>
  <c r="O766" i="17"/>
  <c r="M70" i="24"/>
  <c r="M79" i="24"/>
  <c r="M69" i="24"/>
  <c r="O31" i="17"/>
  <c r="O942" i="17"/>
  <c r="O917" i="17"/>
  <c r="O921" i="17"/>
  <c r="O919" i="17"/>
  <c r="O922" i="17"/>
  <c r="O933" i="17"/>
  <c r="O936" i="17"/>
  <c r="O924" i="17"/>
  <c r="O926" i="17"/>
  <c r="O929" i="17"/>
  <c r="O869" i="17"/>
  <c r="O872" i="17"/>
  <c r="O836" i="17"/>
  <c r="O834" i="17"/>
  <c r="O838" i="17"/>
  <c r="O825" i="17"/>
  <c r="O829" i="17"/>
  <c r="O827" i="17"/>
  <c r="O830" i="17"/>
  <c r="O307" i="17"/>
  <c r="O310" i="17"/>
  <c r="O808" i="17"/>
  <c r="O811" i="17"/>
  <c r="O762" i="17"/>
  <c r="O765" i="17"/>
  <c r="O747" i="17"/>
  <c r="O723" i="17"/>
  <c r="O683" i="17"/>
  <c r="O686" i="17"/>
  <c r="O670" i="17"/>
  <c r="O671" i="17"/>
  <c r="O612" i="17"/>
  <c r="O605" i="17"/>
  <c r="O593" i="17"/>
  <c r="O495" i="18"/>
  <c r="O494" i="18"/>
  <c r="O493" i="18"/>
  <c r="O587" i="17"/>
  <c r="O478" i="18"/>
  <c r="O477" i="18"/>
  <c r="O476" i="18"/>
  <c r="O475" i="18"/>
  <c r="O567" i="17"/>
  <c r="O561" i="17"/>
  <c r="O710" i="17"/>
  <c r="O501" i="17"/>
  <c r="O345" i="17"/>
  <c r="O346" i="17"/>
  <c r="O231" i="17"/>
  <c r="O233" i="17"/>
  <c r="O12" i="17"/>
  <c r="O538" i="17"/>
  <c r="O540" i="17"/>
  <c r="O542" i="17"/>
  <c r="O638" i="17"/>
  <c r="O468" i="17"/>
  <c r="O471" i="17"/>
  <c r="O429" i="17"/>
  <c r="O427" i="17"/>
  <c r="O430" i="17"/>
  <c r="O408" i="17"/>
  <c r="O410" i="17"/>
  <c r="O354" i="17"/>
  <c r="O356" i="17"/>
  <c r="O359" i="17"/>
  <c r="O352" i="17"/>
  <c r="O340" i="17"/>
  <c r="O328" i="17"/>
  <c r="O322" i="17"/>
  <c r="O264" i="17"/>
  <c r="O273" i="17"/>
  <c r="O277" i="17"/>
  <c r="O275" i="17"/>
  <c r="O278" i="17"/>
  <c r="O235" i="17"/>
  <c r="O237" i="17"/>
  <c r="O240" i="17"/>
  <c r="O252" i="17"/>
  <c r="O188" i="17"/>
  <c r="O192" i="17"/>
  <c r="O190" i="17"/>
  <c r="O193" i="17"/>
  <c r="N163" i="17"/>
  <c r="O163" i="17"/>
  <c r="O144" i="17"/>
  <c r="O137" i="17"/>
  <c r="N85" i="17"/>
  <c r="O85" i="17"/>
  <c r="O57" i="17"/>
  <c r="O60" i="17"/>
  <c r="O53" i="17"/>
  <c r="O47" i="17"/>
  <c r="O33" i="17"/>
  <c r="O38" i="17"/>
  <c r="O36" i="17"/>
  <c r="O40" i="17"/>
  <c r="O860" i="17"/>
  <c r="O864" i="17"/>
  <c r="O865" i="17"/>
  <c r="O217" i="17"/>
  <c r="O215" i="17"/>
  <c r="O218" i="17"/>
  <c r="O571" i="17"/>
  <c r="O574" i="17"/>
  <c r="O388" i="17"/>
  <c r="O391" i="17"/>
  <c r="N268" i="17"/>
  <c r="N271" i="17"/>
  <c r="O735" i="17"/>
  <c r="I520" i="24"/>
  <c r="I1301" i="24"/>
  <c r="I1240" i="24"/>
  <c r="I1403" i="24"/>
  <c r="I484" i="24"/>
  <c r="I1698" i="24"/>
  <c r="I2062" i="24"/>
  <c r="I155" i="24"/>
  <c r="I543" i="24"/>
  <c r="I694" i="24"/>
  <c r="I2183" i="24"/>
  <c r="I2581" i="24"/>
  <c r="I671" i="24"/>
  <c r="I720" i="24"/>
  <c r="I1049" i="24"/>
  <c r="I48" i="24"/>
  <c r="I760" i="24"/>
  <c r="I1433" i="24"/>
  <c r="I107" i="24"/>
  <c r="I572" i="24"/>
  <c r="I253" i="24"/>
  <c r="I647" i="24"/>
  <c r="I1318" i="24"/>
  <c r="I1458" i="24"/>
  <c r="I2118" i="24"/>
  <c r="I1361" i="24"/>
  <c r="I1549" i="24"/>
  <c r="I1123" i="24"/>
  <c r="I461" i="24"/>
  <c r="I687" i="24"/>
  <c r="I1490" i="24"/>
  <c r="I1913" i="24"/>
  <c r="I1311" i="24"/>
  <c r="I1042" i="24"/>
  <c r="I2486" i="24"/>
  <c r="I45" i="24"/>
  <c r="I1253" i="24"/>
  <c r="I639" i="24"/>
  <c r="I247" i="24"/>
  <c r="I2173" i="24"/>
  <c r="I2031" i="24"/>
  <c r="I357" i="24"/>
  <c r="I407" i="24"/>
  <c r="I2111" i="24"/>
  <c r="I930" i="24"/>
  <c r="I1070" i="24"/>
  <c r="I1454" i="24"/>
  <c r="I2571" i="24"/>
  <c r="I1353" i="24"/>
  <c r="I1874" i="24"/>
  <c r="I1541" i="24"/>
  <c r="I1235" i="24"/>
  <c r="I1135" i="24"/>
  <c r="I1692" i="24"/>
  <c r="I1103" i="24"/>
  <c r="I1057" i="24"/>
  <c r="I1441" i="24"/>
  <c r="I1345" i="24"/>
  <c r="I302" i="24"/>
  <c r="I1087" i="24"/>
  <c r="I1733" i="24"/>
  <c r="I502" i="24"/>
  <c r="I603" i="24"/>
  <c r="I1291" i="24"/>
  <c r="I2228" i="24"/>
  <c r="I2248" i="24"/>
  <c r="I1392" i="24"/>
  <c r="I1622" i="24"/>
  <c r="I877" i="24"/>
  <c r="I533" i="24"/>
  <c r="I372" i="24"/>
  <c r="I26" i="24"/>
  <c r="I2194" i="24"/>
  <c r="I93" i="24"/>
  <c r="I2005" i="24"/>
  <c r="I437" i="24"/>
  <c r="I151" i="24"/>
  <c r="I1468" i="24"/>
  <c r="I264" i="24"/>
  <c r="I661" i="24"/>
  <c r="I896" i="24"/>
  <c r="I748" i="24"/>
  <c r="I799" i="24"/>
  <c r="I658" i="24"/>
  <c r="I459" i="24"/>
  <c r="I2227" i="24"/>
  <c r="I91" i="24"/>
  <c r="I1440" i="24"/>
  <c r="I2049" i="24"/>
  <c r="I2172" i="24"/>
  <c r="I637" i="24"/>
  <c r="I2485" i="24"/>
  <c r="I44" i="24"/>
  <c r="I876" i="24"/>
  <c r="I1252" i="24"/>
  <c r="I1425" i="24"/>
  <c r="I2110" i="24"/>
  <c r="I1691" i="24"/>
  <c r="I1352" i="24"/>
  <c r="I1489" i="24"/>
  <c r="I2193" i="24"/>
  <c r="I356" i="24"/>
  <c r="I246" i="24"/>
  <c r="I686" i="24"/>
  <c r="I1453" i="24"/>
  <c r="I1912" i="24"/>
  <c r="I895" i="24"/>
  <c r="I1086" i="24"/>
  <c r="I929" i="24"/>
  <c r="I2030" i="24"/>
  <c r="I435" i="24"/>
  <c r="I406" i="24"/>
  <c r="I1310" i="24"/>
  <c r="I2569" i="24"/>
  <c r="I563" i="24"/>
  <c r="I715" i="24"/>
  <c r="I1167" i="24"/>
  <c r="I1871" i="24"/>
  <c r="I1540" i="24"/>
  <c r="I1621" i="24"/>
  <c r="I1099" i="24"/>
  <c r="I500" i="24"/>
  <c r="I300" i="24"/>
  <c r="I1056" i="24"/>
  <c r="I598" i="24"/>
  <c r="I1134" i="24"/>
  <c r="I1234" i="24"/>
  <c r="I1388" i="24"/>
  <c r="I2245" i="24"/>
  <c r="I371" i="24"/>
  <c r="I1290" i="24"/>
  <c r="I1649" i="24"/>
  <c r="I532" i="24"/>
  <c r="I1467" i="24"/>
  <c r="I150" i="24"/>
  <c r="I1344" i="24"/>
  <c r="I1732" i="24"/>
  <c r="I746" i="24"/>
  <c r="I946" i="24"/>
  <c r="I798" i="24"/>
  <c r="I491" i="24"/>
  <c r="I1381" i="24"/>
  <c r="I1380" i="24"/>
  <c r="I490" i="24"/>
  <c r="I738" i="24"/>
  <c r="I1379" i="24"/>
  <c r="I489" i="24"/>
  <c r="I1093" i="24"/>
  <c r="I1539" i="24"/>
  <c r="I1285" i="24"/>
  <c r="I1084" i="24"/>
  <c r="I944" i="24"/>
  <c r="I1866" i="24"/>
  <c r="I369" i="24"/>
  <c r="I259" i="24"/>
  <c r="I1231" i="24"/>
  <c r="I653" i="24"/>
  <c r="I1690" i="24"/>
  <c r="I355" i="24"/>
  <c r="I594" i="24"/>
  <c r="I2168" i="24"/>
  <c r="I1247" i="24"/>
  <c r="I1382" i="24"/>
  <c r="I2240" i="24"/>
  <c r="I450" i="24"/>
  <c r="I2109" i="24"/>
  <c r="I2191" i="24"/>
  <c r="I1424" i="24"/>
  <c r="I41" i="24"/>
  <c r="I1038" i="24"/>
  <c r="I685" i="24"/>
  <c r="I2003" i="24"/>
  <c r="I84" i="24"/>
  <c r="I562" i="24"/>
  <c r="I242" i="24"/>
  <c r="I385" i="24"/>
  <c r="I1910" i="24"/>
  <c r="I2479" i="24"/>
  <c r="I526" i="24"/>
  <c r="I1452" i="24"/>
  <c r="I927" i="24"/>
  <c r="I2028" i="24"/>
  <c r="I1067" i="24"/>
  <c r="I741" i="24"/>
  <c r="I795" i="24"/>
  <c r="I635" i="24"/>
  <c r="I714" i="24"/>
  <c r="I891" i="24"/>
  <c r="I1482" i="24"/>
  <c r="I1351" i="24"/>
  <c r="I2565" i="24"/>
  <c r="I1307" i="24"/>
  <c r="I1166" i="24"/>
  <c r="I2046" i="24"/>
  <c r="I492" i="24"/>
  <c r="I676" i="24"/>
  <c r="I1647" i="24"/>
  <c r="I295" i="24"/>
  <c r="I1341" i="24"/>
  <c r="I1130" i="24"/>
  <c r="I1731" i="24"/>
  <c r="I2223" i="24"/>
  <c r="I1617" i="24"/>
  <c r="I1054" i="24"/>
  <c r="I1281" i="24"/>
  <c r="I1089" i="24"/>
  <c r="I2529" i="24"/>
  <c r="I1126" i="24"/>
  <c r="I1535" i="24"/>
  <c r="I1478" i="24"/>
  <c r="I631" i="24"/>
  <c r="I429" i="24"/>
  <c r="I737" i="24"/>
  <c r="I681" i="24"/>
  <c r="I522" i="24"/>
  <c r="I381" i="24"/>
  <c r="I1420" i="24"/>
  <c r="I558" i="24"/>
  <c r="I1999" i="24"/>
  <c r="I2042" i="24"/>
  <c r="I2164" i="24"/>
  <c r="I649" i="24"/>
  <c r="I1063" i="24"/>
  <c r="I446" i="24"/>
  <c r="I291" i="24"/>
  <c r="I1378" i="24"/>
  <c r="I144" i="24"/>
  <c r="I1034" i="24"/>
  <c r="I2475" i="24"/>
  <c r="I1080" i="24"/>
  <c r="I2219" i="24"/>
  <c r="I1337" i="24"/>
  <c r="I1227" i="24"/>
  <c r="I2236" i="24"/>
  <c r="I672" i="24"/>
  <c r="I791" i="24"/>
  <c r="H14" i="24"/>
  <c r="H8" i="24"/>
  <c r="H7" i="24"/>
  <c r="H6" i="24"/>
  <c r="M717" i="17"/>
  <c r="M599" i="17"/>
  <c r="M169" i="17"/>
  <c r="O489" i="18"/>
  <c r="O488" i="18"/>
  <c r="O487" i="18"/>
  <c r="O486" i="18"/>
  <c r="M578" i="17"/>
  <c r="N354" i="17"/>
  <c r="N358" i="17"/>
  <c r="N359" i="17"/>
  <c r="N917" i="17"/>
  <c r="N921" i="17"/>
  <c r="N919" i="17"/>
  <c r="N922" i="17"/>
  <c r="O177" i="17"/>
  <c r="O175" i="17"/>
  <c r="O173" i="17"/>
  <c r="O171" i="17"/>
  <c r="O645" i="17"/>
  <c r="M898" i="17"/>
  <c r="O949" i="17"/>
  <c r="N949" i="17"/>
  <c r="O771" i="17"/>
  <c r="O770" i="17"/>
  <c r="O772" i="17"/>
  <c r="O544" i="17"/>
  <c r="O548" i="17"/>
  <c r="O546" i="17"/>
  <c r="O549" i="17"/>
  <c r="O437" i="17"/>
  <c r="O434" i="17"/>
  <c r="N437" i="17"/>
  <c r="N434" i="17"/>
  <c r="O79" i="17"/>
  <c r="N858" i="17"/>
  <c r="N690" i="17"/>
  <c r="N692" i="17"/>
  <c r="N695" i="17"/>
  <c r="N157" i="17"/>
  <c r="L322" i="17"/>
  <c r="O33" i="18"/>
  <c r="N811" i="17"/>
  <c r="N808" i="17"/>
  <c r="N806" i="17"/>
  <c r="M890" i="17"/>
  <c r="N683" i="17"/>
  <c r="N686" i="17"/>
  <c r="N625" i="17"/>
  <c r="N489" i="17"/>
  <c r="N400" i="17"/>
  <c r="N402" i="17"/>
  <c r="N404" i="17"/>
  <c r="N273" i="17"/>
  <c r="N277" i="17"/>
  <c r="N275" i="17"/>
  <c r="N278" i="17"/>
  <c r="N137" i="17"/>
  <c r="N57" i="17"/>
  <c r="N60" i="17"/>
  <c r="N169" i="17"/>
  <c r="N679" i="17"/>
  <c r="N784" i="17"/>
  <c r="O604" i="18"/>
  <c r="O603" i="18"/>
  <c r="N717" i="17"/>
  <c r="H556" i="18"/>
  <c r="O556" i="18" s="1"/>
  <c r="N660" i="17"/>
  <c r="N662" i="17"/>
  <c r="N665" i="17"/>
  <c r="N618" i="17"/>
  <c r="N599" i="17"/>
  <c r="N477" i="17"/>
  <c r="O397" i="18"/>
  <c r="O396" i="18"/>
  <c r="O395" i="18"/>
  <c r="N468" i="17"/>
  <c r="N471" i="17"/>
  <c r="N443" i="17"/>
  <c r="N211" i="17"/>
  <c r="N151" i="17"/>
  <c r="F8" i="24"/>
  <c r="F7" i="24"/>
  <c r="F14" i="24"/>
  <c r="F6" i="24"/>
  <c r="O6" i="18"/>
  <c r="O5" i="18"/>
  <c r="O4" i="18"/>
  <c r="O3" i="18"/>
  <c r="N852" i="17"/>
  <c r="N237" i="17"/>
  <c r="N240" i="17"/>
  <c r="N536" i="17"/>
  <c r="N178" i="17"/>
  <c r="N183" i="17"/>
  <c r="N181" i="17"/>
  <c r="N184" i="17"/>
  <c r="N6" i="17"/>
  <c r="N933" i="17"/>
  <c r="N936" i="17"/>
  <c r="N778" i="17"/>
  <c r="N747" i="17"/>
  <c r="N741" i="17"/>
  <c r="N704" i="17"/>
  <c r="N658" i="17"/>
  <c r="N649" i="17"/>
  <c r="N652" i="17"/>
  <c r="N518" i="17"/>
  <c r="N408" i="17"/>
  <c r="N410" i="17"/>
  <c r="N205" i="17"/>
  <c r="O40" i="18"/>
  <c r="O39" i="18"/>
  <c r="O38" i="18"/>
  <c r="O36" i="18"/>
  <c r="N47" i="17"/>
  <c r="N93" i="15"/>
  <c r="N105" i="17"/>
  <c r="N874" i="17"/>
  <c r="N877" i="17"/>
  <c r="N876" i="17"/>
  <c r="N878" i="17"/>
  <c r="N511" i="17"/>
  <c r="N504" i="17"/>
  <c r="N503" i="17"/>
  <c r="N508" i="17"/>
  <c r="N507" i="17"/>
  <c r="N510" i="17"/>
  <c r="N509" i="17"/>
  <c r="N457" i="17"/>
  <c r="N287" i="17"/>
  <c r="N289" i="17"/>
  <c r="N291" i="17"/>
  <c r="N31" i="17"/>
  <c r="O757" i="18"/>
  <c r="O756" i="18"/>
  <c r="O755" i="18"/>
  <c r="O754" i="18"/>
  <c r="N896" i="17"/>
  <c r="O645" i="18"/>
  <c r="O455" i="18"/>
  <c r="N538" i="17"/>
  <c r="N540" i="17"/>
  <c r="N542" i="17"/>
  <c r="O532" i="18"/>
  <c r="O531" i="18"/>
  <c r="O530" i="18"/>
  <c r="O529" i="18"/>
  <c r="O528" i="18"/>
  <c r="O387" i="18"/>
  <c r="N461" i="17"/>
  <c r="N464" i="17"/>
  <c r="N393" i="17"/>
  <c r="N397" i="17"/>
  <c r="N395" i="17"/>
  <c r="N398" i="17"/>
  <c r="N340" i="17"/>
  <c r="N334" i="17"/>
  <c r="N231" i="17"/>
  <c r="N233" i="17"/>
  <c r="N109" i="17"/>
  <c r="N111" i="17"/>
  <c r="N95" i="17"/>
  <c r="N98" i="17"/>
  <c r="N67" i="17"/>
  <c r="M477" i="17"/>
  <c r="M280" i="17"/>
  <c r="M284" i="17"/>
  <c r="M282" i="17"/>
  <c r="M285" i="17"/>
  <c r="M372" i="17"/>
  <c r="M665" i="17"/>
  <c r="M678" i="17"/>
  <c r="M675" i="17"/>
  <c r="M673" i="17"/>
  <c r="M679" i="17"/>
  <c r="M151" i="17"/>
  <c r="M178" i="17"/>
  <c r="M183" i="17"/>
  <c r="M181" i="17"/>
  <c r="M184" i="17"/>
  <c r="M102" i="17"/>
  <c r="M105" i="17"/>
  <c r="O629" i="18"/>
  <c r="O628" i="18"/>
  <c r="O627" i="18"/>
  <c r="O626" i="18"/>
  <c r="M57" i="17"/>
  <c r="M60" i="17"/>
  <c r="M625" i="17"/>
  <c r="M31" i="17"/>
  <c r="M487" i="17"/>
  <c r="M489" i="17"/>
  <c r="O428" i="18"/>
  <c r="M511" i="17"/>
  <c r="M504" i="17"/>
  <c r="M503" i="17"/>
  <c r="M508" i="17"/>
  <c r="M507" i="17"/>
  <c r="M506" i="17"/>
  <c r="M510" i="17"/>
  <c r="M509" i="17"/>
  <c r="M704" i="17"/>
  <c r="M408" i="17"/>
  <c r="M410" i="17"/>
  <c r="O77" i="18"/>
  <c r="O76" i="18"/>
  <c r="O75" i="18"/>
  <c r="O74" i="18"/>
  <c r="M85" i="17"/>
  <c r="M67" i="17"/>
  <c r="M109" i="17"/>
  <c r="M111" i="17"/>
  <c r="M393" i="17"/>
  <c r="M395" i="17"/>
  <c r="M398" i="17"/>
  <c r="M924" i="17"/>
  <c r="M926" i="17"/>
  <c r="M929" i="17"/>
  <c r="M871" i="17"/>
  <c r="M869" i="17"/>
  <c r="M872" i="17"/>
  <c r="M852" i="17"/>
  <c r="M823" i="17"/>
  <c r="O660" i="18"/>
  <c r="O659" i="18"/>
  <c r="O658" i="18"/>
  <c r="O657" i="18"/>
  <c r="M784" i="17"/>
  <c r="L784" i="17"/>
  <c r="M735" i="17"/>
  <c r="M723" i="17"/>
  <c r="M402" i="17"/>
  <c r="M404" i="17"/>
  <c r="M555" i="17"/>
  <c r="M434" i="17"/>
  <c r="M437" i="17"/>
  <c r="M378" i="17"/>
  <c r="M199" i="17"/>
  <c r="M19" i="17"/>
  <c r="M936" i="17"/>
  <c r="M942" i="17"/>
  <c r="M346" i="17"/>
  <c r="M450" i="17"/>
  <c r="L827" i="17"/>
  <c r="L830" i="17"/>
  <c r="M536" i="17"/>
  <c r="M524" i="17"/>
  <c r="L356" i="17"/>
  <c r="M356" i="17"/>
  <c r="M359" i="17"/>
  <c r="M235" i="17"/>
  <c r="M240" i="17"/>
  <c r="M33" i="17"/>
  <c r="M38" i="17"/>
  <c r="M36" i="17"/>
  <c r="M40" i="17"/>
  <c r="M119" i="17"/>
  <c r="M948" i="17"/>
  <c r="M946" i="17"/>
  <c r="M949" i="17"/>
  <c r="M917" i="17"/>
  <c r="M921" i="17"/>
  <c r="M919" i="17"/>
  <c r="M922" i="17"/>
  <c r="M906" i="17"/>
  <c r="M909" i="17"/>
  <c r="M874" i="17"/>
  <c r="M877" i="17"/>
  <c r="M876" i="17"/>
  <c r="M878" i="17"/>
  <c r="M839" i="17"/>
  <c r="M832" i="17"/>
  <c r="M836" i="17"/>
  <c r="M834" i="17"/>
  <c r="M838" i="17"/>
  <c r="M53" i="17"/>
  <c r="M829" i="17"/>
  <c r="M827" i="17"/>
  <c r="M830" i="17"/>
  <c r="M806" i="17"/>
  <c r="M811" i="17"/>
  <c r="M765" i="17"/>
  <c r="M766" i="17"/>
  <c r="M690" i="17"/>
  <c r="M692" i="17"/>
  <c r="M695" i="17"/>
  <c r="M671" i="17"/>
  <c r="M618" i="17"/>
  <c r="M612" i="17"/>
  <c r="M605" i="17"/>
  <c r="M231" i="17"/>
  <c r="M233" i="17"/>
  <c r="M544" i="17"/>
  <c r="M548" i="17"/>
  <c r="M546" i="17"/>
  <c r="M549" i="17"/>
  <c r="M538" i="17"/>
  <c r="M540" i="17"/>
  <c r="M530" i="17"/>
  <c r="M495" i="17"/>
  <c r="M340" i="17"/>
  <c r="M322" i="17"/>
  <c r="M638" i="17"/>
  <c r="M468" i="17"/>
  <c r="M471" i="17"/>
  <c r="M457" i="17"/>
  <c r="M445" i="17"/>
  <c r="M449" i="17"/>
  <c r="M447" i="17"/>
  <c r="M443" i="17"/>
  <c r="M427" i="17"/>
  <c r="M430" i="17"/>
  <c r="M391" i="17"/>
  <c r="M384" i="17"/>
  <c r="M352" i="17"/>
  <c r="M328" i="17"/>
  <c r="M289" i="17"/>
  <c r="M291" i="17"/>
  <c r="M275" i="17"/>
  <c r="M278" i="17"/>
  <c r="M268" i="17"/>
  <c r="M271" i="17"/>
  <c r="M264" i="17"/>
  <c r="M217" i="17"/>
  <c r="M215" i="17"/>
  <c r="M218" i="17"/>
  <c r="M211" i="17"/>
  <c r="M205" i="17"/>
  <c r="M188" i="17"/>
  <c r="M190" i="17"/>
  <c r="M193" i="17"/>
  <c r="M171" i="17"/>
  <c r="M175" i="17"/>
  <c r="M173" i="17"/>
  <c r="M176" i="17"/>
  <c r="O133" i="18"/>
  <c r="O132" i="18"/>
  <c r="O131" i="18"/>
  <c r="O130" i="18"/>
  <c r="M144" i="17"/>
  <c r="M95" i="17"/>
  <c r="M98" i="17"/>
  <c r="M79" i="17"/>
  <c r="M571" i="17"/>
  <c r="M574" i="17"/>
  <c r="L211" i="17"/>
  <c r="M858" i="17"/>
  <c r="M865" i="17"/>
  <c r="M640" i="17"/>
  <c r="M644" i="17"/>
  <c r="M645" i="17"/>
  <c r="O407" i="18"/>
  <c r="O406" i="18"/>
  <c r="O405" i="18"/>
  <c r="O404" i="18"/>
  <c r="L536" i="17"/>
  <c r="L423" i="17"/>
  <c r="L391" i="17"/>
  <c r="L178" i="17"/>
  <c r="L183" i="17"/>
  <c r="L181" i="17"/>
  <c r="L184" i="17"/>
  <c r="L879" i="17"/>
  <c r="L874" i="17"/>
  <c r="L877" i="17"/>
  <c r="L876" i="17"/>
  <c r="L878" i="17"/>
  <c r="L936" i="17"/>
  <c r="L622" i="17"/>
  <c r="L625" i="17"/>
  <c r="L95" i="17"/>
  <c r="L98" i="17"/>
  <c r="L53" i="17"/>
  <c r="O45" i="18"/>
  <c r="O44" i="18"/>
  <c r="O43" i="18"/>
  <c r="O42" i="18"/>
  <c r="L555" i="17"/>
  <c r="K555" i="17"/>
  <c r="O464" i="18"/>
  <c r="O467" i="18"/>
  <c r="O466" i="18"/>
  <c r="O465" i="18"/>
  <c r="K393" i="17"/>
  <c r="K395" i="17"/>
  <c r="K398" i="17"/>
  <c r="K443" i="17"/>
  <c r="L443" i="17"/>
  <c r="L240" i="17"/>
  <c r="O199" i="18"/>
  <c r="L917" i="17"/>
  <c r="L921" i="17"/>
  <c r="L919" i="17"/>
  <c r="L922" i="17"/>
  <c r="L683" i="17"/>
  <c r="L686" i="17"/>
  <c r="O577" i="18"/>
  <c r="L109" i="17"/>
  <c r="L111" i="17"/>
  <c r="O11" i="18"/>
  <c r="O10" i="18"/>
  <c r="O8" i="18"/>
  <c r="L287" i="17"/>
  <c r="L289" i="17"/>
  <c r="L291" i="17"/>
  <c r="L652" i="17"/>
  <c r="I530" i="17"/>
  <c r="J530" i="17"/>
  <c r="K530" i="17"/>
  <c r="L530" i="17"/>
  <c r="O447" i="18"/>
  <c r="O446" i="18"/>
  <c r="O445" i="18"/>
  <c r="O444" i="18"/>
  <c r="L171" i="17"/>
  <c r="L173" i="17"/>
  <c r="L176" i="17"/>
  <c r="O379" i="18"/>
  <c r="L896" i="17"/>
  <c r="L867" i="17"/>
  <c r="L869" i="17"/>
  <c r="L872" i="17"/>
  <c r="O737" i="18"/>
  <c r="O735" i="18"/>
  <c r="L852" i="17"/>
  <c r="L762" i="17"/>
  <c r="L765" i="17"/>
  <c r="L766" i="17"/>
  <c r="L723" i="17"/>
  <c r="L704" i="17"/>
  <c r="L612" i="17"/>
  <c r="O425" i="18"/>
  <c r="G443" i="17"/>
  <c r="H443" i="17"/>
  <c r="I443" i="17"/>
  <c r="J442" i="17"/>
  <c r="J443" i="17"/>
  <c r="O373" i="18"/>
  <c r="O372" i="18"/>
  <c r="O371" i="18"/>
  <c r="O370" i="18"/>
  <c r="O368" i="18"/>
  <c r="L400" i="17"/>
  <c r="L403" i="17"/>
  <c r="L402" i="17"/>
  <c r="L404" i="17"/>
  <c r="H335" i="18"/>
  <c r="O335" i="18" s="1"/>
  <c r="L434" i="17"/>
  <c r="L437" i="17"/>
  <c r="O367" i="18"/>
  <c r="O366" i="18"/>
  <c r="O364" i="18"/>
  <c r="L384" i="17"/>
  <c r="L378" i="17"/>
  <c r="L352" i="17"/>
  <c r="L192" i="17"/>
  <c r="L190" i="17"/>
  <c r="L264" i="17"/>
  <c r="L942" i="17"/>
  <c r="L949" i="17"/>
  <c r="L340" i="17"/>
  <c r="L151" i="17"/>
  <c r="L924" i="17"/>
  <c r="L926" i="17"/>
  <c r="L929" i="17"/>
  <c r="O785" i="18"/>
  <c r="O783" i="18"/>
  <c r="L73" i="17"/>
  <c r="L31" i="17"/>
  <c r="L468" i="17"/>
  <c r="L471" i="17"/>
  <c r="L823" i="17"/>
  <c r="L215" i="17"/>
  <c r="L218" i="17"/>
  <c r="L778" i="17"/>
  <c r="L501" i="17"/>
  <c r="L906" i="17"/>
  <c r="L909" i="17"/>
  <c r="L839" i="17"/>
  <c r="L836" i="17"/>
  <c r="L834" i="17"/>
  <c r="L832" i="17"/>
  <c r="L838" i="17"/>
  <c r="L837" i="17"/>
  <c r="L806" i="17"/>
  <c r="L808" i="17"/>
  <c r="L811" i="17"/>
  <c r="O640" i="18"/>
  <c r="O639" i="18"/>
  <c r="O638" i="18"/>
  <c r="O637" i="18"/>
  <c r="L679" i="17"/>
  <c r="L671" i="17"/>
  <c r="O565" i="18"/>
  <c r="O563" i="18"/>
  <c r="L665" i="17"/>
  <c r="L642" i="17"/>
  <c r="L645" i="17"/>
  <c r="O544" i="18"/>
  <c r="L393" i="17"/>
  <c r="L395" i="17"/>
  <c r="L398" i="17"/>
  <c r="L346" i="17"/>
  <c r="L144" i="17"/>
  <c r="O122" i="18"/>
  <c r="O120" i="18"/>
  <c r="O118" i="18"/>
  <c r="L227" i="17"/>
  <c r="L618" i="17"/>
  <c r="L571" i="17"/>
  <c r="L574" i="17"/>
  <c r="O483" i="18"/>
  <c r="O482" i="18"/>
  <c r="L710" i="17"/>
  <c r="O594" i="18"/>
  <c r="L544" i="17"/>
  <c r="L546" i="17"/>
  <c r="L549" i="17"/>
  <c r="L504" i="17"/>
  <c r="L507" i="17"/>
  <c r="L510" i="17"/>
  <c r="J489" i="17"/>
  <c r="K489" i="17"/>
  <c r="L638" i="17"/>
  <c r="L487" i="17"/>
  <c r="L489" i="17"/>
  <c r="L457" i="17"/>
  <c r="L427" i="17"/>
  <c r="L430" i="17"/>
  <c r="L359" i="17"/>
  <c r="L231" i="17"/>
  <c r="L233" i="17"/>
  <c r="L205" i="17"/>
  <c r="O171" i="18"/>
  <c r="J53" i="17"/>
  <c r="H53" i="17"/>
  <c r="L188" i="17"/>
  <c r="L193" i="17"/>
  <c r="L169" i="17"/>
  <c r="L114" i="17"/>
  <c r="L118" i="17"/>
  <c r="L116" i="17"/>
  <c r="L119" i="17"/>
  <c r="L105" i="17"/>
  <c r="L57" i="17"/>
  <c r="L60" i="17"/>
  <c r="O51" i="18"/>
  <c r="O50" i="18"/>
  <c r="O49" i="18"/>
  <c r="L33" i="17"/>
  <c r="L38" i="17"/>
  <c r="L36" i="17"/>
  <c r="L40" i="17"/>
  <c r="L25" i="17"/>
  <c r="L729" i="17"/>
  <c r="L19" i="17"/>
  <c r="L865" i="17"/>
  <c r="F264" i="17"/>
  <c r="G264" i="17"/>
  <c r="L735" i="17"/>
  <c r="L137" i="17"/>
  <c r="L540" i="17"/>
  <c r="L542" i="17"/>
  <c r="E949" i="17"/>
  <c r="D946" i="17"/>
  <c r="D949" i="17"/>
  <c r="C948" i="17"/>
  <c r="C949" i="17"/>
  <c r="F946" i="17"/>
  <c r="F949" i="17"/>
  <c r="H949" i="17"/>
  <c r="I946" i="17"/>
  <c r="I949" i="17"/>
  <c r="F942" i="17"/>
  <c r="D942" i="17"/>
  <c r="C942" i="17"/>
  <c r="E942" i="17"/>
  <c r="H942" i="17"/>
  <c r="G942" i="17"/>
  <c r="I942" i="17"/>
  <c r="C936" i="17"/>
  <c r="D936" i="17"/>
  <c r="E936" i="17"/>
  <c r="F936" i="17"/>
  <c r="G936" i="17"/>
  <c r="H936" i="17"/>
  <c r="I936" i="17"/>
  <c r="J936" i="17"/>
  <c r="G741" i="17"/>
  <c r="H741" i="17"/>
  <c r="I741" i="17"/>
  <c r="F924" i="17"/>
  <c r="F926" i="17"/>
  <c r="F929" i="17"/>
  <c r="E924" i="17"/>
  <c r="E926" i="17"/>
  <c r="E929" i="17"/>
  <c r="D924" i="17"/>
  <c r="D926" i="17"/>
  <c r="D929" i="17"/>
  <c r="C924" i="17"/>
  <c r="C926" i="17"/>
  <c r="C929" i="17"/>
  <c r="G928" i="17"/>
  <c r="G926" i="17"/>
  <c r="G929" i="17"/>
  <c r="I924" i="17"/>
  <c r="I926" i="17"/>
  <c r="I929" i="17"/>
  <c r="J924" i="17"/>
  <c r="J926" i="17"/>
  <c r="J929" i="17"/>
  <c r="C919" i="17"/>
  <c r="C922" i="17"/>
  <c r="E917" i="17"/>
  <c r="E919" i="17"/>
  <c r="E922" i="17"/>
  <c r="D917" i="17"/>
  <c r="D919" i="17"/>
  <c r="D922" i="17"/>
  <c r="F917" i="17"/>
  <c r="F919" i="17"/>
  <c r="F922" i="17"/>
  <c r="G917" i="17"/>
  <c r="G919" i="17"/>
  <c r="G922" i="17"/>
  <c r="H919" i="17"/>
  <c r="H922" i="17"/>
  <c r="I921" i="17"/>
  <c r="I919" i="17"/>
  <c r="I917" i="17"/>
  <c r="I922" i="17"/>
  <c r="J917" i="17"/>
  <c r="J921" i="17"/>
  <c r="J919" i="17"/>
  <c r="J922" i="17"/>
  <c r="E906" i="17"/>
  <c r="E909" i="17"/>
  <c r="D906" i="17"/>
  <c r="D909" i="17"/>
  <c r="C909" i="17"/>
  <c r="F909" i="17"/>
  <c r="G906" i="17"/>
  <c r="G909" i="17"/>
  <c r="H906" i="17"/>
  <c r="H909" i="17"/>
  <c r="I906" i="17"/>
  <c r="I909" i="17"/>
  <c r="J906" i="17"/>
  <c r="J909" i="17"/>
  <c r="E896" i="17"/>
  <c r="F896" i="17"/>
  <c r="D896" i="17"/>
  <c r="C896" i="17"/>
  <c r="F874" i="17"/>
  <c r="F877" i="17"/>
  <c r="F876" i="17"/>
  <c r="F878" i="17"/>
  <c r="E874" i="17"/>
  <c r="E877" i="17"/>
  <c r="E876" i="17"/>
  <c r="E878" i="17"/>
  <c r="D874" i="17"/>
  <c r="D877" i="17"/>
  <c r="D876" i="17"/>
  <c r="D878" i="17"/>
  <c r="C877" i="17"/>
  <c r="C876" i="17"/>
  <c r="C878" i="17"/>
  <c r="G874" i="17"/>
  <c r="G877" i="17"/>
  <c r="G876" i="17"/>
  <c r="G878" i="17"/>
  <c r="I878" i="17"/>
  <c r="H878" i="17"/>
  <c r="H877" i="17"/>
  <c r="H876" i="17"/>
  <c r="I877" i="17"/>
  <c r="I876" i="17"/>
  <c r="I874" i="17"/>
  <c r="J877" i="17"/>
  <c r="J876" i="17"/>
  <c r="J878" i="17"/>
  <c r="E869" i="17"/>
  <c r="E872" i="17"/>
  <c r="D872" i="17"/>
  <c r="F869" i="17"/>
  <c r="F872" i="17"/>
  <c r="G867" i="17"/>
  <c r="G872" i="17"/>
  <c r="H869" i="17"/>
  <c r="H872" i="17"/>
  <c r="I869" i="17"/>
  <c r="I872" i="17"/>
  <c r="J869" i="17"/>
  <c r="J872" i="17"/>
  <c r="G865" i="17"/>
  <c r="F865" i="17"/>
  <c r="E865" i="17"/>
  <c r="D865" i="17"/>
  <c r="C865" i="17"/>
  <c r="H865" i="17"/>
  <c r="I865" i="17"/>
  <c r="K865" i="17"/>
  <c r="J865" i="17"/>
  <c r="J857" i="17"/>
  <c r="J858" i="17"/>
  <c r="C839" i="17"/>
  <c r="C832" i="17"/>
  <c r="C834" i="17"/>
  <c r="C838" i="17"/>
  <c r="D839" i="17"/>
  <c r="D832" i="17"/>
  <c r="D836" i="17"/>
  <c r="D834" i="17"/>
  <c r="D838" i="17"/>
  <c r="E839" i="17"/>
  <c r="E832" i="17"/>
  <c r="E834" i="17"/>
  <c r="E838" i="17"/>
  <c r="F839" i="17"/>
  <c r="F832" i="17"/>
  <c r="F836" i="17"/>
  <c r="F834" i="17"/>
  <c r="F838" i="17"/>
  <c r="H839" i="17"/>
  <c r="H832" i="17"/>
  <c r="H834" i="17"/>
  <c r="H838" i="17"/>
  <c r="G839" i="17"/>
  <c r="I839" i="17"/>
  <c r="I832" i="17"/>
  <c r="I834" i="17"/>
  <c r="I838" i="17"/>
  <c r="J839" i="17"/>
  <c r="J832" i="17"/>
  <c r="J834" i="17"/>
  <c r="J838" i="17"/>
  <c r="G832" i="17"/>
  <c r="G834" i="17"/>
  <c r="G838" i="17"/>
  <c r="E902" i="17"/>
  <c r="D902" i="17"/>
  <c r="C902" i="17"/>
  <c r="F830" i="17"/>
  <c r="E830" i="17"/>
  <c r="G830" i="17"/>
  <c r="H830" i="17"/>
  <c r="I830" i="17"/>
  <c r="J830" i="17"/>
  <c r="E307" i="17"/>
  <c r="E310" i="17"/>
  <c r="H309" i="17"/>
  <c r="H310" i="17"/>
  <c r="E823" i="17"/>
  <c r="D823" i="17"/>
  <c r="C823" i="17"/>
  <c r="E811" i="17"/>
  <c r="D811" i="17"/>
  <c r="C811" i="17"/>
  <c r="H806" i="17"/>
  <c r="H808" i="17"/>
  <c r="H811" i="17"/>
  <c r="I806" i="17"/>
  <c r="I808" i="17"/>
  <c r="I811" i="17"/>
  <c r="J808" i="17"/>
  <c r="J811" i="17"/>
  <c r="F772" i="17"/>
  <c r="E772" i="17"/>
  <c r="D772" i="17"/>
  <c r="C772" i="17"/>
  <c r="H772" i="17"/>
  <c r="I772" i="17"/>
  <c r="J772" i="17"/>
  <c r="I766" i="17"/>
  <c r="H766" i="17"/>
  <c r="F760" i="17"/>
  <c r="E760" i="17"/>
  <c r="D760" i="17"/>
  <c r="C760" i="17"/>
  <c r="F729" i="17"/>
  <c r="H723" i="17"/>
  <c r="I723" i="17"/>
  <c r="J723" i="17"/>
  <c r="H704" i="17"/>
  <c r="I704" i="17"/>
  <c r="F690" i="17"/>
  <c r="F692" i="17"/>
  <c r="F695" i="17"/>
  <c r="E690" i="17"/>
  <c r="E692" i="17"/>
  <c r="E695" i="17"/>
  <c r="G690" i="17"/>
  <c r="G692" i="17"/>
  <c r="G695" i="17"/>
  <c r="H690" i="17"/>
  <c r="H692" i="17"/>
  <c r="H695" i="17"/>
  <c r="I690" i="17"/>
  <c r="I692" i="17"/>
  <c r="I695" i="17"/>
  <c r="J692" i="17"/>
  <c r="J690" i="17"/>
  <c r="J695" i="17"/>
  <c r="G686" i="17"/>
  <c r="F686" i="17"/>
  <c r="E686" i="17"/>
  <c r="D686" i="17"/>
  <c r="C686" i="17"/>
  <c r="H686" i="17"/>
  <c r="I686" i="17"/>
  <c r="I679" i="17"/>
  <c r="H679" i="17"/>
  <c r="J679" i="17"/>
  <c r="F671" i="17"/>
  <c r="J665" i="17"/>
  <c r="I665" i="17"/>
  <c r="H665" i="17"/>
  <c r="G665" i="17"/>
  <c r="F662" i="17"/>
  <c r="F665" i="17"/>
  <c r="E662" i="17"/>
  <c r="E665" i="17"/>
  <c r="D665" i="17"/>
  <c r="C665" i="17"/>
  <c r="I658" i="17"/>
  <c r="H658" i="17"/>
  <c r="G658" i="17"/>
  <c r="F658" i="17"/>
  <c r="J658" i="17"/>
  <c r="E652" i="17"/>
  <c r="D652" i="17"/>
  <c r="C652" i="17"/>
  <c r="F652" i="17"/>
  <c r="G652" i="17"/>
  <c r="H652" i="17"/>
  <c r="G645" i="17"/>
  <c r="F645" i="17"/>
  <c r="E645" i="17"/>
  <c r="D645" i="17"/>
  <c r="C645" i="17"/>
  <c r="I645" i="17"/>
  <c r="H645" i="17"/>
  <c r="J645" i="17"/>
  <c r="F622" i="17"/>
  <c r="F625" i="17"/>
  <c r="G622" i="17"/>
  <c r="G625" i="17"/>
  <c r="H622" i="17"/>
  <c r="H625" i="17"/>
  <c r="J622" i="17"/>
  <c r="J625" i="17"/>
  <c r="I622" i="17"/>
  <c r="I625" i="17"/>
  <c r="E618" i="17"/>
  <c r="D618" i="17"/>
  <c r="C618" i="17"/>
  <c r="G618" i="17"/>
  <c r="F612" i="17"/>
  <c r="G612" i="17"/>
  <c r="H612" i="17"/>
  <c r="H605" i="17"/>
  <c r="J605" i="17"/>
  <c r="D593" i="17"/>
  <c r="G571" i="17"/>
  <c r="G574" i="17"/>
  <c r="H571" i="17"/>
  <c r="H574" i="17"/>
  <c r="E571" i="17"/>
  <c r="E574" i="17"/>
  <c r="I571" i="17"/>
  <c r="I574" i="17"/>
  <c r="H561" i="17"/>
  <c r="F561" i="17"/>
  <c r="I561" i="17"/>
  <c r="J561" i="17"/>
  <c r="H548" i="17"/>
  <c r="H544" i="17"/>
  <c r="H546" i="17"/>
  <c r="H549" i="17"/>
  <c r="G544" i="17"/>
  <c r="G546" i="17"/>
  <c r="G549" i="17"/>
  <c r="F544" i="17"/>
  <c r="F546" i="17"/>
  <c r="F549" i="17"/>
  <c r="E544" i="17"/>
  <c r="E546" i="17"/>
  <c r="E549" i="17"/>
  <c r="D544" i="17"/>
  <c r="D546" i="17"/>
  <c r="D549" i="17"/>
  <c r="C544" i="17"/>
  <c r="C546" i="17"/>
  <c r="C549" i="17"/>
  <c r="I546" i="17"/>
  <c r="I544" i="17"/>
  <c r="I549" i="17"/>
  <c r="J544" i="17"/>
  <c r="J546" i="17"/>
  <c r="J549" i="17"/>
  <c r="G540" i="17"/>
  <c r="G542" i="17"/>
  <c r="F542" i="17"/>
  <c r="E540" i="17"/>
  <c r="E542" i="17"/>
  <c r="D540" i="17"/>
  <c r="D542" i="17"/>
  <c r="C542" i="17"/>
  <c r="H540" i="17"/>
  <c r="H542" i="17"/>
  <c r="I540" i="17"/>
  <c r="I542" i="17"/>
  <c r="J540" i="17"/>
  <c r="J542" i="17"/>
  <c r="J536" i="17"/>
  <c r="I536" i="17"/>
  <c r="H536" i="17"/>
  <c r="F524" i="17"/>
  <c r="E524" i="17"/>
  <c r="D524" i="17"/>
  <c r="C524" i="17"/>
  <c r="G524" i="17"/>
  <c r="H524" i="17"/>
  <c r="I524" i="17"/>
  <c r="J524" i="17"/>
  <c r="F504" i="17"/>
  <c r="F507" i="17"/>
  <c r="F510" i="17"/>
  <c r="E504" i="17"/>
  <c r="E508" i="17"/>
  <c r="E507" i="17"/>
  <c r="E510" i="17"/>
  <c r="G504" i="17"/>
  <c r="G508" i="17"/>
  <c r="G507" i="17"/>
  <c r="G510" i="17"/>
  <c r="H504" i="17"/>
  <c r="H507" i="17"/>
  <c r="H510" i="17"/>
  <c r="I504" i="17"/>
  <c r="I508" i="17"/>
  <c r="I507" i="17"/>
  <c r="I510" i="17"/>
  <c r="J504" i="17"/>
  <c r="J507" i="17"/>
  <c r="J510" i="17"/>
  <c r="F501" i="17"/>
  <c r="E501" i="17"/>
  <c r="D501" i="17"/>
  <c r="C501" i="17"/>
  <c r="J501" i="17"/>
  <c r="I501" i="17"/>
  <c r="H501" i="17"/>
  <c r="G501" i="17"/>
  <c r="I495" i="17"/>
  <c r="H495" i="17"/>
  <c r="F635" i="17"/>
  <c r="F638" i="17"/>
  <c r="E638" i="17"/>
  <c r="D635" i="17"/>
  <c r="D638" i="17"/>
  <c r="C638" i="17"/>
  <c r="G635" i="17"/>
  <c r="G638" i="17"/>
  <c r="H635" i="17"/>
  <c r="H638" i="17"/>
  <c r="I638" i="17"/>
  <c r="J635" i="17"/>
  <c r="J638" i="17"/>
  <c r="L477" i="17"/>
  <c r="E471" i="17"/>
  <c r="F471" i="17"/>
  <c r="G468" i="17"/>
  <c r="G471" i="17"/>
  <c r="H468" i="17"/>
  <c r="H471" i="17"/>
  <c r="I468" i="17"/>
  <c r="I471" i="17"/>
  <c r="J468" i="17"/>
  <c r="J471" i="17"/>
  <c r="J457" i="17"/>
  <c r="F432" i="17"/>
  <c r="F437" i="17"/>
  <c r="E432" i="17"/>
  <c r="E437" i="17"/>
  <c r="D432" i="17"/>
  <c r="D437" i="17"/>
  <c r="C437" i="17"/>
  <c r="I432" i="17"/>
  <c r="I437" i="17"/>
  <c r="H432" i="17"/>
  <c r="H437" i="17"/>
  <c r="J432" i="17"/>
  <c r="J437" i="17"/>
  <c r="F430" i="17"/>
  <c r="C430" i="17"/>
  <c r="D430" i="17"/>
  <c r="E427" i="17"/>
  <c r="E430" i="17"/>
  <c r="G427" i="17"/>
  <c r="G430" i="17"/>
  <c r="H427" i="17"/>
  <c r="H430" i="17"/>
  <c r="I427" i="17"/>
  <c r="I430" i="17"/>
  <c r="J427" i="17"/>
  <c r="J430" i="17"/>
  <c r="C423" i="17"/>
  <c r="D423" i="17"/>
  <c r="E423" i="17"/>
  <c r="F423" i="17"/>
  <c r="G423" i="17"/>
  <c r="H423" i="17"/>
  <c r="I418" i="17"/>
  <c r="I423" i="17"/>
  <c r="G410" i="17"/>
  <c r="F410" i="17"/>
  <c r="E410" i="17"/>
  <c r="D410" i="17"/>
  <c r="C410" i="17"/>
  <c r="H408" i="17"/>
  <c r="H410" i="17"/>
  <c r="I408" i="17"/>
  <c r="I410" i="17"/>
  <c r="I400" i="17"/>
  <c r="I402" i="17"/>
  <c r="I404" i="17"/>
  <c r="J400" i="17"/>
  <c r="J402" i="17"/>
  <c r="J404" i="17"/>
  <c r="I393" i="17"/>
  <c r="I395" i="17"/>
  <c r="I398" i="17"/>
  <c r="G391" i="17"/>
  <c r="H391" i="17"/>
  <c r="I391" i="17"/>
  <c r="J391" i="17"/>
  <c r="I384" i="17"/>
  <c r="D378" i="17"/>
  <c r="C378" i="17"/>
  <c r="G378" i="17"/>
  <c r="F378" i="17"/>
  <c r="H378" i="17"/>
  <c r="E378" i="17"/>
  <c r="J378" i="17"/>
  <c r="I378" i="17"/>
  <c r="F359" i="17"/>
  <c r="E359" i="17"/>
  <c r="D359" i="17"/>
  <c r="C359" i="17"/>
  <c r="G359" i="17"/>
  <c r="H359" i="17"/>
  <c r="I356" i="17"/>
  <c r="I359" i="17"/>
  <c r="F352" i="17"/>
  <c r="E352" i="17"/>
  <c r="D352" i="17"/>
  <c r="C352" i="17"/>
  <c r="E346" i="17"/>
  <c r="D346" i="17"/>
  <c r="C346" i="17"/>
  <c r="G346" i="17"/>
  <c r="H346" i="17"/>
  <c r="I346" i="17"/>
  <c r="J346" i="17"/>
  <c r="H340" i="17"/>
  <c r="G340" i="17"/>
  <c r="F340" i="17"/>
  <c r="E340" i="17"/>
  <c r="D340" i="17"/>
  <c r="C340" i="17"/>
  <c r="I340" i="17"/>
  <c r="J340" i="17"/>
  <c r="E334" i="17"/>
  <c r="F334" i="17"/>
  <c r="G334" i="17"/>
  <c r="H334" i="17"/>
  <c r="H328" i="17"/>
  <c r="G328" i="17"/>
  <c r="F328" i="17"/>
  <c r="I328" i="17"/>
  <c r="J328" i="17"/>
  <c r="F322" i="17"/>
  <c r="E322" i="17"/>
  <c r="G322" i="17"/>
  <c r="H322" i="17"/>
  <c r="I322" i="17"/>
  <c r="K322" i="17"/>
  <c r="F316" i="17"/>
  <c r="E316" i="17"/>
  <c r="D316" i="17"/>
  <c r="C316" i="17"/>
  <c r="E291" i="17"/>
  <c r="D291" i="17"/>
  <c r="C291" i="17"/>
  <c r="F291" i="17"/>
  <c r="G291" i="17"/>
  <c r="H291" i="17"/>
  <c r="I289" i="17"/>
  <c r="I291" i="17"/>
  <c r="J289" i="17"/>
  <c r="J291" i="17"/>
  <c r="E285" i="17"/>
  <c r="G285" i="17"/>
  <c r="F285" i="17"/>
  <c r="H284" i="17"/>
  <c r="H282" i="17"/>
  <c r="H285" i="17"/>
  <c r="I284" i="17"/>
  <c r="I282" i="17"/>
  <c r="I285" i="17"/>
  <c r="J284" i="17"/>
  <c r="J282" i="17"/>
  <c r="J285" i="17"/>
  <c r="J278" i="17"/>
  <c r="F268" i="17"/>
  <c r="F271" i="17"/>
  <c r="E271" i="17"/>
  <c r="G268" i="17"/>
  <c r="G271" i="17"/>
  <c r="I271" i="17"/>
  <c r="H271" i="17"/>
  <c r="J268" i="17"/>
  <c r="C264" i="17"/>
  <c r="D264" i="17"/>
  <c r="E264" i="17"/>
  <c r="H264" i="17"/>
  <c r="J264" i="17"/>
  <c r="F237" i="17"/>
  <c r="F240" i="17"/>
  <c r="G240" i="17"/>
  <c r="H237" i="17"/>
  <c r="H240" i="17"/>
  <c r="I235" i="17"/>
  <c r="I237" i="17"/>
  <c r="I240" i="17"/>
  <c r="J239" i="17"/>
  <c r="J240" i="17"/>
  <c r="G231" i="17"/>
  <c r="G233" i="17"/>
  <c r="F231" i="17"/>
  <c r="F233" i="17"/>
  <c r="E232" i="17"/>
  <c r="E233" i="17"/>
  <c r="D232" i="17"/>
  <c r="D233" i="17"/>
  <c r="C233" i="17"/>
  <c r="H231" i="17"/>
  <c r="H233" i="17"/>
  <c r="I231" i="17"/>
  <c r="I233" i="17"/>
  <c r="K233" i="17"/>
  <c r="E227" i="17"/>
  <c r="F227" i="17"/>
  <c r="E218" i="17"/>
  <c r="D218" i="17"/>
  <c r="C218" i="17"/>
  <c r="G213" i="17"/>
  <c r="G218" i="17"/>
  <c r="H218" i="17"/>
  <c r="I215" i="17"/>
  <c r="I218" i="17"/>
  <c r="J213" i="17"/>
  <c r="J215" i="17"/>
  <c r="J218" i="17"/>
  <c r="H248" i="17"/>
  <c r="J248" i="17"/>
  <c r="F205" i="17"/>
  <c r="E205" i="17"/>
  <c r="D205" i="17"/>
  <c r="C205" i="17"/>
  <c r="G205" i="17"/>
  <c r="H205" i="17"/>
  <c r="I205" i="17"/>
  <c r="J205" i="17"/>
  <c r="G199" i="17"/>
  <c r="I190" i="17"/>
  <c r="I193" i="17"/>
  <c r="J188" i="17"/>
  <c r="J190" i="17"/>
  <c r="J193" i="17"/>
  <c r="C184" i="17"/>
  <c r="G181" i="17"/>
  <c r="G184" i="17"/>
  <c r="I181" i="17"/>
  <c r="I184" i="17"/>
  <c r="H181" i="17"/>
  <c r="H184" i="17"/>
  <c r="J181" i="17"/>
  <c r="J184" i="17"/>
  <c r="G173" i="17"/>
  <c r="G176" i="17"/>
  <c r="F173" i="17"/>
  <c r="F176" i="17"/>
  <c r="E173" i="17"/>
  <c r="E176" i="17"/>
  <c r="D173" i="17"/>
  <c r="D176" i="17"/>
  <c r="C173" i="17"/>
  <c r="C176" i="17"/>
  <c r="H173" i="17"/>
  <c r="H176" i="17"/>
  <c r="I171" i="17"/>
  <c r="I175" i="17"/>
  <c r="I173" i="17"/>
  <c r="I176" i="17"/>
  <c r="J171" i="17"/>
  <c r="J173" i="17"/>
  <c r="J176" i="17"/>
  <c r="H169" i="17"/>
  <c r="G169" i="17"/>
  <c r="E163" i="17"/>
  <c r="D163" i="17"/>
  <c r="C163" i="17"/>
  <c r="G163" i="17"/>
  <c r="F163" i="17"/>
  <c r="H163" i="17"/>
  <c r="E151" i="17"/>
  <c r="D151" i="17"/>
  <c r="C151" i="17"/>
  <c r="G151" i="17"/>
  <c r="J151" i="17"/>
  <c r="J139" i="17"/>
  <c r="J144" i="17"/>
  <c r="E139" i="17"/>
  <c r="E144" i="17"/>
  <c r="D139" i="17"/>
  <c r="D144" i="17"/>
  <c r="C139" i="17"/>
  <c r="C144" i="17"/>
  <c r="I125" i="17"/>
  <c r="J125" i="17"/>
  <c r="E118" i="17"/>
  <c r="E116" i="17"/>
  <c r="E114" i="17"/>
  <c r="E119" i="17"/>
  <c r="G116" i="17"/>
  <c r="G119" i="17"/>
  <c r="H114" i="17"/>
  <c r="H119" i="17"/>
  <c r="J114" i="17"/>
  <c r="J116" i="17"/>
  <c r="J119" i="17"/>
  <c r="I114" i="17"/>
  <c r="I118" i="17"/>
  <c r="I119" i="17"/>
  <c r="I116" i="17"/>
  <c r="H105" i="17"/>
  <c r="G105" i="17"/>
  <c r="F105" i="17"/>
  <c r="I105" i="17"/>
  <c r="J105" i="17"/>
  <c r="E98" i="17"/>
  <c r="C98" i="17"/>
  <c r="H93" i="17"/>
  <c r="H98" i="17"/>
  <c r="G98" i="17"/>
  <c r="F98" i="17"/>
  <c r="D98" i="17"/>
  <c r="I98" i="17"/>
  <c r="J98" i="17"/>
  <c r="C85" i="17"/>
  <c r="D85" i="17"/>
  <c r="E85" i="17"/>
  <c r="G85" i="17"/>
  <c r="F85" i="17"/>
  <c r="H85" i="17"/>
  <c r="I85" i="17"/>
  <c r="J85" i="17"/>
  <c r="I79" i="17"/>
  <c r="H79" i="17"/>
  <c r="C73" i="17"/>
  <c r="D73" i="17"/>
  <c r="E73" i="17"/>
  <c r="F73" i="17"/>
  <c r="G73" i="17"/>
  <c r="H73" i="17"/>
  <c r="I73" i="17"/>
  <c r="J73" i="17"/>
  <c r="E62" i="17"/>
  <c r="E67" i="17"/>
  <c r="D67" i="17"/>
  <c r="C67" i="17"/>
  <c r="G67" i="17"/>
  <c r="F67" i="17"/>
  <c r="H67" i="17"/>
  <c r="J67" i="17"/>
  <c r="I67" i="17"/>
  <c r="J57" i="17"/>
  <c r="J60" i="17"/>
  <c r="I57" i="17"/>
  <c r="I60" i="17"/>
  <c r="H57" i="17"/>
  <c r="H60" i="17"/>
  <c r="G60" i="17"/>
  <c r="F60" i="17"/>
  <c r="E60" i="17"/>
  <c r="D60" i="17"/>
  <c r="C60" i="17"/>
  <c r="K949" i="17"/>
  <c r="G949" i="17"/>
  <c r="J949" i="17"/>
  <c r="O794" i="18"/>
  <c r="O795" i="18"/>
  <c r="O796" i="18"/>
  <c r="O797" i="18"/>
  <c r="K942" i="17"/>
  <c r="J942" i="17"/>
  <c r="O791" i="18"/>
  <c r="O792" i="18"/>
  <c r="K936" i="17"/>
  <c r="O624" i="18"/>
  <c r="O621" i="18"/>
  <c r="O622" i="18"/>
  <c r="O623" i="18"/>
  <c r="J741" i="17"/>
  <c r="H928" i="17"/>
  <c r="H926" i="17"/>
  <c r="H929" i="17"/>
  <c r="K919" i="17"/>
  <c r="K922" i="17"/>
  <c r="K906" i="17"/>
  <c r="K909" i="17"/>
  <c r="K896" i="17"/>
  <c r="J896" i="17"/>
  <c r="I896" i="17"/>
  <c r="H896" i="17"/>
  <c r="G896" i="17"/>
  <c r="K869" i="17"/>
  <c r="K872" i="17"/>
  <c r="O729" i="18"/>
  <c r="O717" i="18"/>
  <c r="O718" i="18"/>
  <c r="O719" i="18"/>
  <c r="O720" i="18"/>
  <c r="K852" i="17"/>
  <c r="K839" i="17"/>
  <c r="K832" i="17"/>
  <c r="K836" i="17"/>
  <c r="K834" i="17"/>
  <c r="K838" i="17"/>
  <c r="O759" i="18"/>
  <c r="O760" i="18"/>
  <c r="O762" i="18"/>
  <c r="O701" i="18"/>
  <c r="K830" i="17"/>
  <c r="I310" i="17"/>
  <c r="O259" i="18"/>
  <c r="O258" i="18"/>
  <c r="O257" i="18"/>
  <c r="O255" i="18"/>
  <c r="F823" i="17"/>
  <c r="G823" i="17"/>
  <c r="H823" i="17"/>
  <c r="I823" i="17"/>
  <c r="J823" i="17"/>
  <c r="K823" i="17"/>
  <c r="O688" i="18"/>
  <c r="O689" i="18"/>
  <c r="O690" i="18"/>
  <c r="K770" i="17"/>
  <c r="K772" i="17"/>
  <c r="G772" i="17"/>
  <c r="K811" i="17"/>
  <c r="O655" i="18"/>
  <c r="O654" i="18"/>
  <c r="O653" i="18"/>
  <c r="O652" i="18"/>
  <c r="J778" i="17"/>
  <c r="I778" i="17"/>
  <c r="H778" i="17"/>
  <c r="G778" i="17"/>
  <c r="F778" i="17"/>
  <c r="E778" i="17"/>
  <c r="D778" i="17"/>
  <c r="C778" i="17"/>
  <c r="O647" i="18"/>
  <c r="O648" i="18"/>
  <c r="O649" i="18"/>
  <c r="O650" i="18"/>
  <c r="J766" i="17"/>
  <c r="H615" i="18"/>
  <c r="O615" i="18"/>
  <c r="O616" i="18"/>
  <c r="O617" i="18"/>
  <c r="O618" i="18"/>
  <c r="O619" i="18"/>
  <c r="K735" i="17"/>
  <c r="J735" i="17"/>
  <c r="H735" i="17"/>
  <c r="G735" i="17"/>
  <c r="F735" i="17"/>
  <c r="E735" i="17"/>
  <c r="D735" i="17"/>
  <c r="I735" i="17"/>
  <c r="C735" i="17"/>
  <c r="H729" i="17"/>
  <c r="G729" i="17"/>
  <c r="J729" i="17"/>
  <c r="I729" i="17"/>
  <c r="O611" i="18"/>
  <c r="K729" i="17"/>
  <c r="E729" i="17"/>
  <c r="D729" i="17"/>
  <c r="C729" i="17"/>
  <c r="O609" i="18"/>
  <c r="O608" i="18"/>
  <c r="O607" i="18"/>
  <c r="O606" i="18"/>
  <c r="K723" i="17"/>
  <c r="C723" i="17"/>
  <c r="D723" i="17"/>
  <c r="E723" i="17"/>
  <c r="F723" i="17"/>
  <c r="G723" i="17"/>
  <c r="G704" i="17"/>
  <c r="J704" i="17"/>
  <c r="K704" i="17"/>
  <c r="K692" i="17"/>
  <c r="K690" i="17"/>
  <c r="K695" i="17"/>
  <c r="J686" i="17"/>
  <c r="K679" i="17"/>
  <c r="J671" i="17"/>
  <c r="I671" i="17"/>
  <c r="H671" i="17"/>
  <c r="G671" i="17"/>
  <c r="K671" i="17"/>
  <c r="K665" i="17"/>
  <c r="O552" i="18"/>
  <c r="O553" i="18"/>
  <c r="O554" i="18"/>
  <c r="O555" i="18"/>
  <c r="K658" i="17"/>
  <c r="I652" i="17"/>
  <c r="J652" i="17"/>
  <c r="O550" i="18"/>
  <c r="K645" i="17"/>
  <c r="K652" i="17"/>
  <c r="K622" i="17"/>
  <c r="K625" i="17"/>
  <c r="O525" i="18"/>
  <c r="O527" i="18"/>
  <c r="O518" i="18"/>
  <c r="O519" i="18"/>
  <c r="O520" i="18"/>
  <c r="O521" i="18"/>
  <c r="I618" i="17"/>
  <c r="H618" i="17"/>
  <c r="K612" i="17"/>
  <c r="O514" i="18"/>
  <c r="O507" i="18"/>
  <c r="O508" i="18"/>
  <c r="O509" i="18"/>
  <c r="O510" i="18"/>
  <c r="O505" i="18"/>
  <c r="O504" i="18"/>
  <c r="O503" i="18"/>
  <c r="O502" i="18"/>
  <c r="K599" i="17"/>
  <c r="O500" i="18"/>
  <c r="O499" i="18"/>
  <c r="O498" i="18"/>
  <c r="F593" i="17"/>
  <c r="E593" i="17"/>
  <c r="G593" i="17"/>
  <c r="C593" i="17"/>
  <c r="O470" i="18"/>
  <c r="O472" i="18"/>
  <c r="O473" i="18"/>
  <c r="O595" i="18"/>
  <c r="O596" i="18"/>
  <c r="O597" i="18"/>
  <c r="O598" i="18"/>
  <c r="K544" i="17"/>
  <c r="K546" i="17"/>
  <c r="K549" i="17"/>
  <c r="K540" i="17"/>
  <c r="K542" i="17"/>
  <c r="K536" i="17"/>
  <c r="O452" i="18"/>
  <c r="O449" i="18"/>
  <c r="O450" i="18"/>
  <c r="O451" i="18"/>
  <c r="O439" i="18"/>
  <c r="O440" i="18"/>
  <c r="O441" i="18"/>
  <c r="O442" i="18"/>
  <c r="K524" i="17"/>
  <c r="K518" i="17"/>
  <c r="O435" i="18"/>
  <c r="O437" i="18"/>
  <c r="K504" i="17"/>
  <c r="K508" i="17"/>
  <c r="K507" i="17"/>
  <c r="K510" i="17"/>
  <c r="O422" i="18"/>
  <c r="O419" i="18"/>
  <c r="O420" i="18"/>
  <c r="O421" i="18"/>
  <c r="K501" i="17"/>
  <c r="J495" i="17"/>
  <c r="O414" i="18"/>
  <c r="O415" i="18"/>
  <c r="O416" i="18"/>
  <c r="O417" i="18"/>
  <c r="K495" i="17"/>
  <c r="K638" i="17"/>
  <c r="O538" i="18"/>
  <c r="O534" i="18"/>
  <c r="O536" i="18"/>
  <c r="O537" i="18"/>
  <c r="O410" i="18"/>
  <c r="O411" i="18"/>
  <c r="O412" i="18"/>
  <c r="I477" i="17"/>
  <c r="K477" i="17"/>
  <c r="O399" i="18"/>
  <c r="O401" i="18"/>
  <c r="O402" i="18"/>
  <c r="K468" i="17"/>
  <c r="K471" i="17"/>
  <c r="O389" i="18"/>
  <c r="O390" i="18"/>
  <c r="O391" i="18"/>
  <c r="K457" i="17"/>
  <c r="O381" i="18"/>
  <c r="O384" i="18"/>
  <c r="O385" i="18"/>
  <c r="O205" i="18"/>
  <c r="O204" i="18"/>
  <c r="O203" i="18"/>
  <c r="G432" i="17"/>
  <c r="G437" i="17"/>
  <c r="K432" i="17"/>
  <c r="K434" i="17"/>
  <c r="K437" i="17"/>
  <c r="K427" i="17"/>
  <c r="K430" i="17"/>
  <c r="O354" i="18"/>
  <c r="J423" i="17"/>
  <c r="K423" i="17"/>
  <c r="J408" i="17"/>
  <c r="J410" i="17"/>
  <c r="K408" i="17"/>
  <c r="K410" i="17"/>
  <c r="O343" i="18"/>
  <c r="O344" i="18"/>
  <c r="O345" i="18"/>
  <c r="J393" i="17"/>
  <c r="J395" i="17"/>
  <c r="J398" i="17"/>
  <c r="K400" i="17"/>
  <c r="K402" i="17"/>
  <c r="K404" i="17"/>
  <c r="K391" i="17"/>
  <c r="O326" i="18"/>
  <c r="O327" i="18"/>
  <c r="O328" i="18"/>
  <c r="O319" i="18"/>
  <c r="O320" i="18"/>
  <c r="O321" i="18"/>
  <c r="O322" i="18"/>
  <c r="K384" i="17"/>
  <c r="K378" i="17"/>
  <c r="O315" i="18"/>
  <c r="O316" i="18"/>
  <c r="O317" i="18"/>
  <c r="O309" i="18"/>
  <c r="O310" i="18"/>
  <c r="O311" i="18"/>
  <c r="O312" i="18"/>
  <c r="O304" i="18"/>
  <c r="O305" i="18"/>
  <c r="O306" i="18"/>
  <c r="O307" i="18"/>
  <c r="K359" i="17"/>
  <c r="J359" i="17"/>
  <c r="H352" i="17"/>
  <c r="K352" i="17"/>
  <c r="I352" i="17"/>
  <c r="J352" i="17"/>
  <c r="O289" i="18"/>
  <c r="O287" i="18"/>
  <c r="K346" i="17"/>
  <c r="K340" i="17"/>
  <c r="O285" i="18"/>
  <c r="O284" i="18"/>
  <c r="O282" i="18"/>
  <c r="O280" i="18"/>
  <c r="O279" i="18"/>
  <c r="O276" i="18"/>
  <c r="J334" i="17"/>
  <c r="I334" i="17"/>
  <c r="K328" i="17"/>
  <c r="O274" i="18"/>
  <c r="O273" i="18"/>
  <c r="O271" i="18"/>
  <c r="O270" i="18"/>
  <c r="J318" i="17"/>
  <c r="J322" i="17"/>
  <c r="O264" i="18"/>
  <c r="O263" i="18"/>
  <c r="O262" i="18"/>
  <c r="O261" i="18"/>
  <c r="K289" i="17"/>
  <c r="K284" i="17"/>
  <c r="K282" i="17"/>
  <c r="K285" i="17"/>
  <c r="K271" i="17"/>
  <c r="O226" i="18"/>
  <c r="O224" i="18"/>
  <c r="L271" i="17"/>
  <c r="K264" i="17"/>
  <c r="O220" i="18"/>
  <c r="O219" i="18"/>
  <c r="O218" i="18"/>
  <c r="O217" i="18"/>
  <c r="O215" i="18"/>
  <c r="O214" i="18"/>
  <c r="O213" i="18"/>
  <c r="O212" i="18"/>
  <c r="K235" i="17"/>
  <c r="K240" i="17"/>
  <c r="K227" i="17"/>
  <c r="O194" i="18"/>
  <c r="O192" i="18"/>
  <c r="K215" i="17"/>
  <c r="K218" i="17"/>
  <c r="O210" i="18"/>
  <c r="O209" i="18"/>
  <c r="O208" i="18"/>
  <c r="O207" i="18"/>
  <c r="I248" i="17"/>
  <c r="O175" i="18"/>
  <c r="O174" i="18"/>
  <c r="O173" i="18"/>
  <c r="O172" i="18"/>
  <c r="K205" i="17"/>
  <c r="K199" i="17"/>
  <c r="K192" i="17"/>
  <c r="K190" i="17"/>
  <c r="K171" i="17"/>
  <c r="K173" i="17"/>
  <c r="K176" i="17"/>
  <c r="O140" i="18"/>
  <c r="O141" i="18"/>
  <c r="O142" i="18"/>
  <c r="O143" i="18"/>
  <c r="K169" i="17"/>
  <c r="I163" i="17"/>
  <c r="J163" i="17"/>
  <c r="K163" i="17"/>
  <c r="O135" i="18"/>
  <c r="O136" i="18"/>
  <c r="O137" i="18"/>
  <c r="O138" i="18"/>
  <c r="F151" i="17"/>
  <c r="H151" i="17"/>
  <c r="I151" i="17"/>
  <c r="O126" i="18"/>
  <c r="O127" i="18"/>
  <c r="O128" i="18"/>
  <c r="K151" i="17"/>
  <c r="K139" i="17"/>
  <c r="K144" i="17"/>
  <c r="O116" i="18"/>
  <c r="O115" i="18"/>
  <c r="O114" i="18"/>
  <c r="O113" i="18"/>
  <c r="K125" i="17"/>
  <c r="O103" i="18"/>
  <c r="O104" i="18"/>
  <c r="O105" i="18"/>
  <c r="O106" i="18"/>
  <c r="O94" i="18"/>
  <c r="O93" i="18"/>
  <c r="O92" i="18"/>
  <c r="O89" i="18"/>
  <c r="O88" i="18"/>
  <c r="O72" i="18"/>
  <c r="O71" i="18"/>
  <c r="O70" i="18"/>
  <c r="O67" i="18"/>
  <c r="O66" i="18"/>
  <c r="O65" i="18"/>
  <c r="O61" i="18"/>
  <c r="O59" i="18"/>
  <c r="O27" i="18"/>
  <c r="O26" i="18"/>
  <c r="O25" i="18"/>
  <c r="O24" i="18"/>
  <c r="O22" i="18"/>
  <c r="O21" i="18"/>
  <c r="O20" i="18"/>
  <c r="O17" i="18"/>
  <c r="O16" i="18"/>
  <c r="O15" i="18"/>
  <c r="H95" i="18"/>
  <c r="O95" i="18" s="1"/>
  <c r="O635" i="18"/>
  <c r="H201" i="18"/>
  <c r="O201" i="18" s="1"/>
  <c r="H780" i="18"/>
  <c r="O780" i="18" s="1"/>
  <c r="H696" i="18"/>
  <c r="O696" i="18" s="1"/>
  <c r="O667" i="18"/>
  <c r="H84" i="18"/>
  <c r="O84" i="18" s="1"/>
  <c r="H100" i="18"/>
  <c r="O100" i="18" s="1"/>
  <c r="H29" i="18"/>
  <c r="O29" i="18"/>
  <c r="H123" i="18"/>
  <c r="O123" i="18" s="1"/>
  <c r="O409" i="18"/>
  <c r="O160" i="18"/>
  <c r="H341" i="18"/>
  <c r="O341" i="18" s="1"/>
  <c r="H641" i="18"/>
  <c r="O641" i="18" s="1"/>
  <c r="O774" i="18"/>
  <c r="H374" i="18"/>
  <c r="O374" i="18" s="1"/>
  <c r="Z1210" i="24"/>
  <c r="O375" i="18"/>
  <c r="O161" i="18"/>
  <c r="AO1006" i="24"/>
  <c r="H738" i="18"/>
  <c r="O738" i="18" s="1"/>
  <c r="H233" i="18"/>
  <c r="O233" i="18" s="1"/>
  <c r="H423" i="18"/>
  <c r="O423" i="18" s="1"/>
  <c r="Z1970" i="24"/>
  <c r="O523" i="18"/>
  <c r="AF998" i="24" l="1"/>
  <c r="AL1006" i="24"/>
  <c r="W2302" i="24"/>
  <c r="Z75" i="24"/>
  <c r="AI998" i="24"/>
  <c r="W993" i="24"/>
  <c r="AL995" i="24"/>
  <c r="W2306" i="24"/>
  <c r="W1210" i="24"/>
  <c r="Q79" i="24"/>
  <c r="AI1006" i="24"/>
  <c r="AI995" i="24"/>
  <c r="W211" i="24"/>
  <c r="AC1006" i="24"/>
  <c r="AC995" i="24"/>
  <c r="AF1006" i="24"/>
  <c r="W1173" i="24"/>
  <c r="W70" i="24"/>
  <c r="W1168" i="24"/>
  <c r="W1211" i="24"/>
  <c r="AC998" i="24"/>
  <c r="W1205" i="24"/>
  <c r="W1167" i="24"/>
  <c r="W212" i="24"/>
  <c r="AL1014" i="24"/>
  <c r="O674" i="18"/>
  <c r="XFD674" i="18" s="1"/>
  <c r="W2311" i="24"/>
  <c r="AL993" i="24"/>
  <c r="W1171" i="24"/>
  <c r="AL998" i="24"/>
  <c r="W1206" i="24"/>
  <c r="W981" i="24"/>
  <c r="AI1014" i="24"/>
  <c r="W78" i="24"/>
  <c r="W2303" i="24"/>
  <c r="AF993" i="24"/>
  <c r="W71" i="24"/>
  <c r="T70" i="24"/>
  <c r="AC457" i="24"/>
  <c r="W1203" i="24"/>
  <c r="T69" i="24"/>
  <c r="Z1211" i="24"/>
  <c r="W1213" i="24"/>
  <c r="AC24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</author>
    <author>Laura Duong</author>
  </authors>
  <commentList>
    <comment ref="M12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 xml:space="preserve">Not Cleared (No breakdown by Chemical)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23" authorId="1" shapeId="0" xr:uid="{00000000-0006-0000-0900-000002000000}">
      <text>
        <r>
          <rPr>
            <b/>
            <sz val="9"/>
            <color indexed="81"/>
            <rFont val="Tahoma"/>
            <family val="2"/>
          </rPr>
          <t>Reclaimed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3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Regenerated and Reclaimed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4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 xml:space="preserve">Not Cleared (No breakdown by Chemical)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30" authorId="1" shapeId="0" xr:uid="{00000000-0006-0000-0900-000005000000}">
      <text>
        <r>
          <rPr>
            <b/>
            <sz val="9"/>
            <color indexed="81"/>
            <rFont val="Tahoma"/>
            <family val="2"/>
          </rPr>
          <t>Export of used halon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3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Revised as per letter from Iran dated Feb. 5, 2008
</t>
        </r>
      </text>
    </comment>
    <comment ref="AB543" authorId="1" shapeId="0" xr:uid="{00000000-0006-0000-0900-000007000000}">
      <text>
        <r>
          <rPr>
            <b/>
            <sz val="9"/>
            <color indexed="81"/>
            <rFont val="Tahoma"/>
            <family val="2"/>
          </rPr>
          <t xml:space="preserve">Reclaimed Halon for essential use only.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16" authorId="1" shapeId="0" xr:uid="{00000000-0006-0000-0900-000008000000}">
      <text>
        <r>
          <rPr>
            <b/>
            <sz val="9"/>
            <color indexed="81"/>
            <rFont val="Tahoma"/>
            <family val="2"/>
          </rPr>
          <t xml:space="preserve">Export of stockpile of recovered refrigerant from 2003 for destruction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39" authorId="1" shapeId="0" xr:uid="{00000000-0006-0000-0900-000009000000}">
      <text>
        <r>
          <rPr>
            <b/>
            <sz val="9"/>
            <color indexed="81"/>
            <rFont val="Tahoma"/>
            <family val="2"/>
          </rPr>
          <t>Import of Recycled Halon for aviation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739" authorId="1" shapeId="0" xr:uid="{00000000-0006-0000-0900-00000A000000}">
      <text>
        <r>
          <rPr>
            <b/>
            <sz val="9"/>
            <color indexed="81"/>
            <rFont val="Tahoma"/>
            <family val="2"/>
          </rPr>
          <t>Import of Recycled Halon for aviation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39" authorId="1" shapeId="0" xr:uid="{00000000-0006-0000-0900-00000B000000}">
      <text>
        <r>
          <rPr>
            <b/>
            <sz val="9"/>
            <color indexed="81"/>
            <rFont val="Tahoma"/>
            <family val="2"/>
          </rPr>
          <t>Import of Recycled Halon for aviation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30" authorId="1" shapeId="0" xr:uid="{00000000-0006-0000-0900-00000C000000}">
      <text>
        <r>
          <rPr>
            <b/>
            <sz val="9"/>
            <color indexed="81"/>
            <rFont val="Tahoma"/>
            <family val="2"/>
          </rPr>
          <t>The imported quantity of halon-1301 was for critical use in civil aviation. It was recycled / reclaimed halon from the Halon Bank.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830" authorId="1" shapeId="0" xr:uid="{00000000-0006-0000-0900-00000D000000}">
      <text>
        <r>
          <rPr>
            <b/>
            <sz val="9"/>
            <color indexed="81"/>
            <rFont val="Tahoma"/>
            <family val="2"/>
          </rPr>
          <t>The imported quantity of halon-1301 was for critical use in civil aviation. It was recycled / reclaimed halon from the Halon Bank.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42" authorId="1" shapeId="0" xr:uid="{00000000-0006-0000-0900-00000E000000}">
      <text>
        <r>
          <rPr>
            <b/>
            <sz val="9"/>
            <color indexed="81"/>
            <rFont val="Tahoma"/>
            <family val="2"/>
          </rPr>
          <t>Recycled halon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42" authorId="1" shapeId="0" xr:uid="{00000000-0006-0000-0900-00000F000000}">
      <text>
        <r>
          <rPr>
            <b/>
            <sz val="9"/>
            <color indexed="81"/>
            <rFont val="Tahoma"/>
            <family val="2"/>
          </rPr>
          <t xml:space="preserve">Recycled Halon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42" authorId="1" shapeId="0" xr:uid="{00000000-0006-0000-0900-000010000000}">
      <text>
        <r>
          <rPr>
            <b/>
            <sz val="9"/>
            <color indexed="81"/>
            <rFont val="Tahoma"/>
            <family val="2"/>
          </rPr>
          <t xml:space="preserve">Recycled Halon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<sst xmlns="http://schemas.openxmlformats.org/spreadsheetml/2006/main" count="24708" uniqueCount="1105">
  <si>
    <t>CTR</t>
  </si>
  <si>
    <t>AFG</t>
  </si>
  <si>
    <t>ALB</t>
  </si>
  <si>
    <t>ALG</t>
  </si>
  <si>
    <t>ANG</t>
  </si>
  <si>
    <t>ANT</t>
  </si>
  <si>
    <t>ARG</t>
  </si>
  <si>
    <t>ARM</t>
  </si>
  <si>
    <t>BHA</t>
  </si>
  <si>
    <t>BAH</t>
  </si>
  <si>
    <t>BGD</t>
  </si>
  <si>
    <t>BAR</t>
  </si>
  <si>
    <t>BZE</t>
  </si>
  <si>
    <t>BEN</t>
  </si>
  <si>
    <t>BHU</t>
  </si>
  <si>
    <t>BOL</t>
  </si>
  <si>
    <t>BHE</t>
  </si>
  <si>
    <t>BOT</t>
  </si>
  <si>
    <t>BRA</t>
  </si>
  <si>
    <t>BRU</t>
  </si>
  <si>
    <t>BKF</t>
  </si>
  <si>
    <t>The price for CFC-11 in 2006 (US $6.50/kg) exceeds the price reported in 2005 by US $4.5/kg.  Please explain the high increase in price for CFC-11 in 2006?</t>
  </si>
  <si>
    <t>185$ les 13.5kg</t>
  </si>
  <si>
    <t>2005 CP</t>
  </si>
  <si>
    <t>SIL</t>
  </si>
  <si>
    <t>SOI</t>
  </si>
  <si>
    <t>SOM</t>
  </si>
  <si>
    <t>SOA</t>
  </si>
  <si>
    <t>SRL</t>
  </si>
  <si>
    <t>SUD</t>
  </si>
  <si>
    <t>SUR</t>
  </si>
  <si>
    <t>SWA</t>
  </si>
  <si>
    <t>SYR</t>
  </si>
  <si>
    <t>THA</t>
  </si>
  <si>
    <t>MDN</t>
  </si>
  <si>
    <t>TOG</t>
  </si>
  <si>
    <t>TON</t>
  </si>
  <si>
    <t>TRI</t>
  </si>
  <si>
    <t>TUN</t>
  </si>
  <si>
    <t>TUR</t>
  </si>
  <si>
    <t>TKM</t>
  </si>
  <si>
    <t>TUV</t>
  </si>
  <si>
    <t>UGA</t>
  </si>
  <si>
    <t>URT</t>
  </si>
  <si>
    <t>URU</t>
  </si>
  <si>
    <t>VAN</t>
  </si>
  <si>
    <t>VEN</t>
  </si>
  <si>
    <t>VIE</t>
  </si>
  <si>
    <t>YEM</t>
  </si>
  <si>
    <t>ZAM</t>
  </si>
  <si>
    <t>ZIM</t>
  </si>
  <si>
    <t>Lab Use</t>
  </si>
  <si>
    <t>CFC-11</t>
  </si>
  <si>
    <t>CFC-12</t>
  </si>
  <si>
    <t>CFC-113</t>
  </si>
  <si>
    <t>CFC-114</t>
  </si>
  <si>
    <t>CFC-115</t>
  </si>
  <si>
    <t>R-502</t>
  </si>
  <si>
    <t>HFC-134a</t>
  </si>
  <si>
    <t>The price for 2006 (US $29.88/kg) appears to be high for R-502 as most countries reported prices around $20/kg or less. Please explain.</t>
  </si>
  <si>
    <t xml:space="preserve">2007 CP </t>
  </si>
  <si>
    <t>based on 2005 importation</t>
  </si>
  <si>
    <t>The average price of HFC 134a is US $380/kgs per 13.5 kgs cylinder which is roughly US$28/kg.</t>
  </si>
  <si>
    <t>Comment</t>
  </si>
  <si>
    <t>R-404A</t>
  </si>
  <si>
    <t>2008 Comments</t>
  </si>
  <si>
    <t>The price for 2006 (US $11.03/kg) appears to be high for HCFC-22 as most countries reported prices around $10/kg or less. Please explain.</t>
  </si>
  <si>
    <t>2008 CP</t>
  </si>
  <si>
    <t>Solo uso p.a.</t>
  </si>
  <si>
    <t>The price for 2006 (US $11.03/kg) appears to be high for CFC-12 as most countries reported prices around $10/kg or less. Please explain.</t>
  </si>
  <si>
    <t>The price for 2006 (US $11.43/kg) appears to be high for CFC-12 as most countries reported prices around $10/kg or less. Please explain.</t>
  </si>
  <si>
    <t>The price for 2006 (US $11.5/kg) appears to be high for CFC-12 as most countries reported prices around $10/kg or less. Please explain.</t>
  </si>
  <si>
    <t>The price for 2006 (US $12/kg) appears to be high for CFC-12 as most countries reported prices around $10/kg or less. Please explain.</t>
  </si>
  <si>
    <t>The price for 2006 (US $12.32/kg) appears to be high for CFC-12 as most countries reported prices around $10/kg or less. Please explain.</t>
  </si>
  <si>
    <t>Pentane</t>
  </si>
  <si>
    <t>US $55-58</t>
  </si>
  <si>
    <t>Not available</t>
  </si>
  <si>
    <t>LD-2006 Comments</t>
  </si>
  <si>
    <t>2009 Comments</t>
  </si>
  <si>
    <t>US$101.71 per 30lb (13.608kg) cylinder</t>
  </si>
  <si>
    <t>US$196.22 per 30lb (13.608kg) cylinder</t>
  </si>
  <si>
    <t xml:space="preserve">The price for CFC-11 in 2006 (US $20/kg) exceeds price reported in 2005 by US $11/kg.  Please explain the high increase in price for CFC-11 in 2006? Also, the price for 2006 appears to be high for CFC-11 as most countries reported prices around $10/kg or less.  </t>
  </si>
  <si>
    <t>13.6 kgs Bds $118.00 + Vat</t>
  </si>
  <si>
    <t>13.6 kgs Bds $390.00 + Vat</t>
  </si>
  <si>
    <t>Non utilise</t>
  </si>
  <si>
    <t>4.85-8.46</t>
  </si>
  <si>
    <t>7-12 US$/kg</t>
  </si>
  <si>
    <t>4-6.5 US$/kg</t>
  </si>
  <si>
    <t>12-15 US$/kg</t>
  </si>
  <si>
    <t>8-14 US$/kg</t>
  </si>
  <si>
    <t>Imported as 502</t>
  </si>
  <si>
    <t>250/- (before 2003)</t>
  </si>
  <si>
    <t>The price for 2006 (US $11/kg) appears to be high for HFC-134a as most countries reported prices around $10/kg or less. Please explain.</t>
  </si>
  <si>
    <t>5.00-6.25</t>
  </si>
  <si>
    <t>2.37-3.00</t>
  </si>
  <si>
    <t>HCFC</t>
  </si>
  <si>
    <t>Mozambique</t>
  </si>
  <si>
    <t>Myanmar</t>
  </si>
  <si>
    <t>Namibia</t>
  </si>
  <si>
    <t>Nepal</t>
  </si>
  <si>
    <t>Niger</t>
  </si>
  <si>
    <t>Nicaragua</t>
  </si>
  <si>
    <t>Nigeria</t>
  </si>
  <si>
    <t>Kenya</t>
  </si>
  <si>
    <t>Kiribati</t>
  </si>
  <si>
    <t>Kuwait</t>
  </si>
  <si>
    <t xml:space="preserve">The price for HFC-134a in 2006 (US $22/kg) exceeds price reported in 2005 by US $4/kg.  Please explain the high increase in price for HFC-134a in 2006? Also, the price for 2006 appears to be high for HFC-134a as most countries reported prices around $10/kg or less.  </t>
  </si>
  <si>
    <t>The price for 2006 (US $22.2/kg) appears to be high for HFC-134a as most countries reported prices around $10/kg or less. Please explain.</t>
  </si>
  <si>
    <t>The price for 2006 (US $25/kg) appears to be high for HFC-134a as most countries reported prices around $10/kg or less. Please explain.</t>
  </si>
  <si>
    <t>The price for 2006 (US $28/kg) appears to be high for HFC-134a as most countries reported prices around $10/kg or less. Please explain.</t>
  </si>
  <si>
    <t>The price for 2006 (US $29.63/kg) appears to be high for HFC-134a as most countries reported prices around $10/kg or less. Please explain.</t>
  </si>
  <si>
    <t>MLW</t>
  </si>
  <si>
    <t>MAL</t>
  </si>
  <si>
    <t>MDV</t>
  </si>
  <si>
    <t>MLI</t>
  </si>
  <si>
    <t>MAS</t>
  </si>
  <si>
    <t>MAU</t>
  </si>
  <si>
    <t>MAR</t>
  </si>
  <si>
    <t>MEX</t>
  </si>
  <si>
    <t>FSM</t>
  </si>
  <si>
    <t>MON</t>
  </si>
  <si>
    <t>MOG</t>
  </si>
  <si>
    <t>MOR</t>
  </si>
  <si>
    <t>MOZ</t>
  </si>
  <si>
    <t>MYA</t>
  </si>
  <si>
    <t>NAM</t>
  </si>
  <si>
    <t>NAU</t>
  </si>
  <si>
    <t>NEP</t>
  </si>
  <si>
    <t>NIC</t>
  </si>
  <si>
    <t>NER</t>
  </si>
  <si>
    <t>NIR</t>
  </si>
  <si>
    <t>NIU</t>
  </si>
  <si>
    <t>OMA</t>
  </si>
  <si>
    <t>PAK</t>
  </si>
  <si>
    <t>TTR</t>
  </si>
  <si>
    <t>PAN</t>
  </si>
  <si>
    <t>PNG</t>
  </si>
  <si>
    <t>PAR</t>
  </si>
  <si>
    <t>PER</t>
  </si>
  <si>
    <t>PHI</t>
  </si>
  <si>
    <t>QAT</t>
  </si>
  <si>
    <t>MOL</t>
  </si>
  <si>
    <t>RWA</t>
  </si>
  <si>
    <t>STK</t>
  </si>
  <si>
    <t>STL</t>
  </si>
  <si>
    <t>STV</t>
  </si>
  <si>
    <t>SAM</t>
  </si>
  <si>
    <t>STP</t>
  </si>
  <si>
    <t>SAU</t>
  </si>
  <si>
    <t>SEN</t>
  </si>
  <si>
    <t>YUG</t>
  </si>
  <si>
    <t>SEY</t>
  </si>
  <si>
    <t>US $13-17</t>
  </si>
  <si>
    <t>US $15-16</t>
  </si>
  <si>
    <t>US $6-7</t>
  </si>
  <si>
    <t>US $11-14</t>
  </si>
  <si>
    <t>US $12-14</t>
  </si>
  <si>
    <t>US $17-19</t>
  </si>
  <si>
    <t>Cyclopentane</t>
  </si>
  <si>
    <t>US $7-8</t>
  </si>
  <si>
    <t>MDI (for production of foam)</t>
  </si>
  <si>
    <t>US $13-15</t>
  </si>
  <si>
    <t>Djibouti</t>
  </si>
  <si>
    <t>Dominica</t>
  </si>
  <si>
    <t>Dominican Republic</t>
  </si>
  <si>
    <t>India</t>
  </si>
  <si>
    <t>The price for CFC-11 in 2006 (US $9.39/kg) exceeds price reported in 2005 by US $5.49/kg.  Please explain the high increase in price for CFC-11 in 2006?</t>
  </si>
  <si>
    <t>US $220 for 13.5kg</t>
  </si>
  <si>
    <t>Assumed for 13.5 kg</t>
  </si>
  <si>
    <t>$90-120</t>
  </si>
  <si>
    <t>$175-275</t>
  </si>
  <si>
    <t>$120-200</t>
  </si>
  <si>
    <t>Between US $2 and $4, per Kg</t>
  </si>
  <si>
    <t>The price for 2006 (US $17/kg) appears to be high for HFC-134a as most countries reported prices around $10/kg or less. Please explain.</t>
  </si>
  <si>
    <t>The price for 2006 (US $22/kg) appears to be high for HFC-134a as most countries reported prices around $10/kg or less. Please explain.</t>
  </si>
  <si>
    <t>2006 Comments</t>
  </si>
  <si>
    <t>solo uso p.a</t>
  </si>
  <si>
    <t>no se vende</t>
  </si>
  <si>
    <t>13.6 kgs Bds $226.00 + Vat</t>
  </si>
  <si>
    <t>The price for 2006 (US $11.5/kg) appears to be high for HFC-134a as most countries reported prices around $10/kg or less. Please explain.</t>
  </si>
  <si>
    <t>R-406a</t>
  </si>
  <si>
    <t>Sin informacion</t>
  </si>
  <si>
    <t>Se vende en el R-502</t>
  </si>
  <si>
    <t>Montenegro</t>
  </si>
  <si>
    <t>13.6 kg = US $787.00</t>
  </si>
  <si>
    <t>13.6 kg = US $761.00</t>
  </si>
  <si>
    <t>13.6 kg = US $107.00</t>
  </si>
  <si>
    <t>The price for 2006 (US $23/kg) appears to be high for R-502 as most countries reported prices around $20/kg or less. Please explain.</t>
  </si>
  <si>
    <t>The price for 2006 (US $24/kg) appears to be high for R-502 as most countries reported prices around $20/kg or less. Please explain.</t>
  </si>
  <si>
    <t>The price for 2006 (US $25/kg) appears to be high for R-502 as most countries reported prices around $20/kg or less. Please explain.</t>
  </si>
  <si>
    <t>The price for 2006 (US $27/kg) appears to be high for R-502 as most countries reported prices around $20/kg or less. Please explain.</t>
  </si>
  <si>
    <t>US $4.2-6.3</t>
  </si>
  <si>
    <t>US $1.68-2.52</t>
  </si>
  <si>
    <t>not imported</t>
  </si>
  <si>
    <t>2007 ALL</t>
  </si>
  <si>
    <t>diff</t>
  </si>
  <si>
    <t>The price for 2006 (US $29/kg) appears to be high for R-502 as most countries reported prices around $20/kg or less. Please explain.</t>
  </si>
  <si>
    <t>190/-</t>
  </si>
  <si>
    <t>240/-</t>
  </si>
  <si>
    <t>1$US=38 Thai baht</t>
  </si>
  <si>
    <t>The average price of CFC 12 is US $150/kgs per 13.5 kgs cylinder which is roughly US$11/kg.</t>
  </si>
  <si>
    <t>The average price of HCFC 22 is US $134/kgs per 13.5 kgs cylinder which is roughly US$9/kg.</t>
  </si>
  <si>
    <t>Turkmenistan</t>
  </si>
  <si>
    <t>The price for 2006 (US $16.18/kg) appears to be high for HFC-134a as most countries reported prices around $10/kg or less. Please explain.</t>
  </si>
  <si>
    <t>The price for 2006 (US $16.44/kg) appears to be high for HFC-134a as most countries reported prices around $10/kg or less. Please explain.</t>
  </si>
  <si>
    <t>US$56.2 per Cilindro de 13.6 kg</t>
  </si>
  <si>
    <t>US $61.63 per Cilindro de 13.6 kg and US $9.4 per Cilindro de 1kg</t>
  </si>
  <si>
    <t>US $140.0 per Cilindro de 13.6 kg and US $15.6 per Cilindro de 1kg</t>
  </si>
  <si>
    <t>US $100 per Cilindro de 13.6kg</t>
  </si>
  <si>
    <t>Reclaimed</t>
  </si>
  <si>
    <t>2007 New Input by Countries</t>
  </si>
  <si>
    <t>Not imported</t>
  </si>
  <si>
    <t>Servicing Refrigeration</t>
  </si>
  <si>
    <t>4.7-5</t>
  </si>
  <si>
    <t>3.2-3.5</t>
  </si>
  <si>
    <t>8.15-10.37</t>
  </si>
  <si>
    <t>Is the price for CFC-113 (329.12/kg) in US dollars? The price appears to be high for CFC-113.  Please explain.</t>
  </si>
  <si>
    <t>The price for 2006 (US $19.5/kg) apprears to be high for CFC-113.  Please explain.</t>
  </si>
  <si>
    <t>Prohibited</t>
  </si>
  <si>
    <t>5.13</t>
  </si>
  <si>
    <t>3.8</t>
  </si>
  <si>
    <t>9.27</t>
  </si>
  <si>
    <t>3.0</t>
  </si>
  <si>
    <t>2.5</t>
  </si>
  <si>
    <t>5.5</t>
  </si>
  <si>
    <t>8.82</t>
  </si>
  <si>
    <t>5.88</t>
  </si>
  <si>
    <t>162$ les 13.5 kg (121$ les 13,5dans le commerce illicite)</t>
  </si>
  <si>
    <t>192$ les  13 .5kg (61$ les 13,5 dans le commerce illicite)</t>
  </si>
  <si>
    <t>US$69/14kg</t>
  </si>
  <si>
    <t>US$120/14kg</t>
  </si>
  <si>
    <t>US$140/11kg</t>
  </si>
  <si>
    <t>US$142/11kg</t>
  </si>
  <si>
    <t>The price for 2006 (US $11/kg) appears to be high for CFC-12 as most countries reported prices around $10/kg or less. Please explain.</t>
  </si>
  <si>
    <t xml:space="preserve">The price for CFC-11 in 2006 (US $11/kg) exceeds price reported in 2005 by US $5.7/kg.  Please explain the high increase in price for CFC-12 in 2006? Also, the price for 2006 appears to be high for CFC-12 as most countries reported prices around $10/kg or less.  </t>
  </si>
  <si>
    <t>2000 CP</t>
  </si>
  <si>
    <t>Mongolia</t>
  </si>
  <si>
    <t>Morocco</t>
  </si>
  <si>
    <t>Methyl formate</t>
  </si>
  <si>
    <t>8.67-9.0 US$/kg</t>
  </si>
  <si>
    <t>Import</t>
  </si>
  <si>
    <t>Production</t>
  </si>
  <si>
    <t>HCFC-133</t>
  </si>
  <si>
    <t>Halon</t>
  </si>
  <si>
    <t>HCFC-142</t>
  </si>
  <si>
    <t>Eritrea</t>
  </si>
  <si>
    <t>HCFC-21</t>
  </si>
  <si>
    <t>4 and 8</t>
  </si>
  <si>
    <t>The price for 2006 (US $15/kg) appears to be high for HFC-134a as most countries reported prices around $10/kg or less. Please explain.</t>
  </si>
  <si>
    <t>The price for 2006 (US $15.9/kg) appears to be high for HFC-134a as most countries reported prices around $10/kg or less. Please explain.</t>
  </si>
  <si>
    <t>Valores de mayo 2008</t>
  </si>
  <si>
    <t>GUI</t>
  </si>
  <si>
    <t>GBS</t>
  </si>
  <si>
    <t>GUY</t>
  </si>
  <si>
    <t>HAI</t>
  </si>
  <si>
    <t>HON</t>
  </si>
  <si>
    <t>IND</t>
  </si>
  <si>
    <t>IDS</t>
  </si>
  <si>
    <t>IRA</t>
  </si>
  <si>
    <t>JAM</t>
  </si>
  <si>
    <t>JOR</t>
  </si>
  <si>
    <t>KEN</t>
  </si>
  <si>
    <t>KIR</t>
  </si>
  <si>
    <t>KUW</t>
  </si>
  <si>
    <t>KYR</t>
  </si>
  <si>
    <t>LAO</t>
  </si>
  <si>
    <t>LEB</t>
  </si>
  <si>
    <t>LES</t>
  </si>
  <si>
    <t>9-10$ per kg</t>
  </si>
  <si>
    <t>3.5-4$ per kg</t>
  </si>
  <si>
    <t>8-9$ per kg</t>
  </si>
  <si>
    <t>HCFC-415b</t>
  </si>
  <si>
    <t>The price for 2006 (US $20/kg) appears to be high for CFC-12 as most countries reported prices around $10/kg or less. Please explain.</t>
  </si>
  <si>
    <t>150/13.6 kg</t>
  </si>
  <si>
    <t>200/13.6 kg</t>
  </si>
  <si>
    <t>220/13.6 kg</t>
  </si>
  <si>
    <t>9.5-10$ per Kg</t>
  </si>
  <si>
    <t>25 USD/bottle (13.6 kg/bottle)</t>
  </si>
  <si>
    <t>Timor-Leste</t>
  </si>
  <si>
    <t>120 per 13kg</t>
  </si>
  <si>
    <t>2011 Comments</t>
  </si>
  <si>
    <t>R-406</t>
  </si>
  <si>
    <t>HCFC-133a</t>
  </si>
  <si>
    <t>currebt prices in the Egyption Market</t>
  </si>
  <si>
    <t>Old Format</t>
  </si>
  <si>
    <t>Not Provided</t>
  </si>
  <si>
    <t>R-407C</t>
  </si>
  <si>
    <t>R-507A</t>
  </si>
  <si>
    <t>R-410A</t>
  </si>
  <si>
    <t>Isobutane (HC-600a)</t>
  </si>
  <si>
    <t>Propane (HC-290)</t>
  </si>
  <si>
    <t>HFC-245fa</t>
  </si>
  <si>
    <t xml:space="preserve">The price for R-502 in 2006 (US $32/kg) exceeds price reported in 2005 by US $13.31/kg.  Please explain the high increase in price for R-502 in 2006? Also, the price for 2006 appears to be high for R-502 as most countries reported prices around $20/kg or less.  </t>
  </si>
  <si>
    <t xml:space="preserve">The price for R-502 in 2006 (US $54/kg) exceeds price reported in 2005 by US $30/kg.  Please explain the high increase in price for R-502 in 2006? Also, the price for 2006 appears to be high for R-502 as most countries reported prices around $20/kg or less.  </t>
  </si>
  <si>
    <t>Democratic People's Republic of Korea</t>
  </si>
  <si>
    <t>Democratic Republic of the Congo</t>
  </si>
  <si>
    <t>6.36-7.63</t>
  </si>
  <si>
    <t>3.39-4.23</t>
  </si>
  <si>
    <t>3.18-3.6</t>
  </si>
  <si>
    <t>7.42-8.48</t>
  </si>
  <si>
    <t>11.66-12.72</t>
  </si>
  <si>
    <t>The price for 2006 (US $19.8/kg) appears to be high for HFC-134a as most countries reported prices around $10/kg or less. Please explain.</t>
  </si>
  <si>
    <t>The price for 2006 (US $20/kg) appears to be high for HFC-134a as most countries reported prices around $10/kg or less. Please explain.</t>
  </si>
  <si>
    <t xml:space="preserve">2006 CP </t>
  </si>
  <si>
    <t>The price for 2006 (US $16/kg) appears to be high for HFC-134a as most countries reported prices around $10/kg or less. Please explain.</t>
  </si>
  <si>
    <t xml:space="preserve">The price for HFC-134a in 2006 (US $11.01/kg). exceeds price reported in 2005 by US $6.14/kg.  Please explain the high increase in price for HFC-134a in 2006? Also, the price for 2006 appears to be high for HFC-134a as most countries reported prices around $10/kg or less.  </t>
  </si>
  <si>
    <t>The price for 2006 (US $11.36/kg) appears to be high for HFC-134a as most countries reported prices around $10/kg or less. Please explain.</t>
  </si>
  <si>
    <t>2.66-2.77</t>
  </si>
  <si>
    <t>9.11-10.0</t>
  </si>
  <si>
    <t>9.33-10</t>
  </si>
  <si>
    <t>$550/11.3kg</t>
  </si>
  <si>
    <t>$485/13.6kg</t>
  </si>
  <si>
    <t>$650/11.3kg</t>
  </si>
  <si>
    <t>$883.56/11.3kg</t>
  </si>
  <si>
    <t xml:space="preserve">The price for CFC-11 in 2006 (US $24/kg) exceeds price reported in 2005 by US $22.25/kg.  Please explain the high increase in price for CFC-12 in 2006? Also, the price for 2006 appears to be high for CFC-12 as most countries reported prices around $10/kg or less.  </t>
  </si>
  <si>
    <t>BDI</t>
  </si>
  <si>
    <t>KAM</t>
  </si>
  <si>
    <t>CMR</t>
  </si>
  <si>
    <t>CBI</t>
  </si>
  <si>
    <t>CAF</t>
  </si>
  <si>
    <t>CHD</t>
  </si>
  <si>
    <t>CHI</t>
  </si>
  <si>
    <t>CPR</t>
  </si>
  <si>
    <t>COL</t>
  </si>
  <si>
    <t>COI</t>
  </si>
  <si>
    <t>PRC</t>
  </si>
  <si>
    <t>CKI</t>
  </si>
  <si>
    <t>COS</t>
  </si>
  <si>
    <t>IVC</t>
  </si>
  <si>
    <t>CUB</t>
  </si>
  <si>
    <t>DRK</t>
  </si>
  <si>
    <t>DRC</t>
  </si>
  <si>
    <t>DJI</t>
  </si>
  <si>
    <t>USD 2.50/lb</t>
  </si>
  <si>
    <t>USD 5.52/lb</t>
  </si>
  <si>
    <t>USD 7.03/lb</t>
  </si>
  <si>
    <t>Tobacco</t>
  </si>
  <si>
    <t>Imported as a pre-mixed polyol</t>
  </si>
  <si>
    <t>US $150.6 per 13 kg cylinder</t>
  </si>
  <si>
    <t>US $155.3 per 13 kg cylinder</t>
  </si>
  <si>
    <t>5,5-6$ per Kg</t>
  </si>
  <si>
    <t>3.6-6.8</t>
  </si>
  <si>
    <t>3.6-4.4</t>
  </si>
  <si>
    <t>3.6-11</t>
  </si>
  <si>
    <t xml:space="preserve"> </t>
  </si>
  <si>
    <t>2.5-3$ per Kg</t>
  </si>
  <si>
    <t>3.6-4$ per Kg</t>
  </si>
  <si>
    <t xml:space="preserve">The price for HFC-134a in 2006 (US $38/kg) exceeds price reported in 2005 by US $26/kg.  Please explain the high increase in price for HFC-134a in 2006? Also, the price for 2006 appears to be high for HFC-134a as most countries reported prices around $10/kg or less.  </t>
  </si>
  <si>
    <t>10.41 EURO (1.4809 exchange rate)</t>
  </si>
  <si>
    <t>16.63 EURO (1.4809 exchange rate)</t>
  </si>
  <si>
    <t>The price for 2006 (US $11/kg) appears to be high for CFC-11 as most countries reported a prices around $10/kg or less.  Please explain.</t>
  </si>
  <si>
    <t>The price for 2006 (US $18.66/kg) appears to be high for HFC-134a as most countries reported prices around $10/kg or less. Please explain.</t>
  </si>
  <si>
    <t>The price for 2006 (US $18.8/kg) appears to be high for HFC-134a as most countries reported prices around $10/kg or less. Please explain.</t>
  </si>
  <si>
    <t xml:space="preserve">The price for CFC-11 in 2006 (US $61/kg). exceeds price reported in 2005 by US $61/kg.  Please explain the high increase in price for CFC-12 in 2006? Also, the price for 2006 appears to be high for CFC-12 as most countries reported prices around $10/kg or less.  </t>
  </si>
  <si>
    <t xml:space="preserve">The price for HCFC-22 in 2006 (US $19/kg). exceeds price reported in 2005 by US $4/kg.  Please explain the high increase in price for HCFC-22 in 2006? Also, the price for 2006 appears to be high for HCFC-22 as most countries reported prices around $10/kg or less.  </t>
  </si>
  <si>
    <t>The price for 2006 (US $19.8/kg) appears to be high for HCFC-22 as most countries reported prices around $10/kg or less. Please explain.</t>
  </si>
  <si>
    <t>Guinea-Bissau</t>
  </si>
  <si>
    <t>Not Clear</t>
  </si>
  <si>
    <t>The price for 2006 (US $12.4/kg) appears to be high for HCFC-22 as most countries reported a prices around $10/kg or less. Please explain.</t>
  </si>
  <si>
    <t>The price for 2006 (US $11/kg) appears to be high for HCFC-22 as most countries reported prices around $10/kg or less. Please explain.</t>
  </si>
  <si>
    <t>Serbia</t>
  </si>
  <si>
    <t>HCFC-141</t>
  </si>
  <si>
    <t>HCFC-121</t>
  </si>
  <si>
    <t>Equatorial Guinea</t>
  </si>
  <si>
    <t>Iraq</t>
  </si>
  <si>
    <t>IRQ</t>
  </si>
  <si>
    <t xml:space="preserve">The price for CFC-11 in 2006 (US $17.5/kg) exceeds price reported in 2005 by US $12/kg.  Please explain the high increase in price for CFC-11 in 2006? Also, the price for 2006 appears to be high for CFC-11 as most countries reported prices around $10/kg or less.  </t>
  </si>
  <si>
    <t>Lao, DPR</t>
  </si>
  <si>
    <t>The price for 2006 (US $12/kg) appears to be high for HFC-134a as most countries reported prices around $10/kg or less. Please explain.</t>
  </si>
  <si>
    <t xml:space="preserve">2009 CP </t>
  </si>
  <si>
    <t>9.72-12.46</t>
  </si>
  <si>
    <t>17.86-22.72</t>
  </si>
  <si>
    <t>HFC-125</t>
  </si>
  <si>
    <t>R22A (HC Blend, RedTek)</t>
  </si>
  <si>
    <t>1.1-4.28</t>
  </si>
  <si>
    <t>0.3-2.5</t>
  </si>
  <si>
    <t>R-401A</t>
  </si>
  <si>
    <t>R-409A</t>
  </si>
  <si>
    <t>R-413A</t>
  </si>
  <si>
    <t>The retail prices were taken from 3 separate companies in order to find the average retail price.</t>
  </si>
  <si>
    <t>Les montants marqués ci-après n'ont pas variés depuis 2006</t>
  </si>
  <si>
    <t>N/A( NO USE OF R11in The Gambia</t>
  </si>
  <si>
    <t>23.475/420g package</t>
  </si>
  <si>
    <t>420 ml cost 22US$</t>
  </si>
  <si>
    <t>Total Refrigeration</t>
  </si>
  <si>
    <t>Manufacturing Refrigeration</t>
  </si>
  <si>
    <t>HFC-365mfc</t>
  </si>
  <si>
    <t>The price for 2006 (US $30/kg) appears to be high for R-502 as most countries reported prices around $20/kg or less. Please explain.</t>
  </si>
  <si>
    <t>The price for 2006 (US $20.74/kg) appears to be high for HFC-134a as most countries reported prices around $10/kg or less. Please explain.</t>
  </si>
  <si>
    <t>Samoa</t>
  </si>
  <si>
    <t xml:space="preserve">The price for CFC-11 in 2006 (US $16.25/kg). exceeds price reported in 2005 by US $11.25/kg.  Please explain the high increase in price for CFC-12 in 2006? Also, the price for 2006 appears to be high for CFC-12 as most countries reported prices around $10/kg or less.  </t>
  </si>
  <si>
    <t>The price for 2006 (US $17.95/kg) appears to be high for CFC-12 as most countries reported prices around $10/kg or less. Please explain.</t>
  </si>
  <si>
    <t>The price for 2006 (US $18/kg) appears to be high for CFC-12 as most countries reported prices around $10/kg or less. Please explain.</t>
  </si>
  <si>
    <t xml:space="preserve">The price for CFC-11 in 2006 (US $18/kg). exceeds price reported in 2005 by US $9/kg.  Please explain the high increase in price for CFC-12 in 2006? Also, the price for 2006 appears to be high for CFC-12 as most countries reported prices around $10/kg or less.  </t>
  </si>
  <si>
    <t xml:space="preserve">The price for CFC-11 in 2006 (US $19/kg). exceeds price reported in 2005 by US $7/kg.  Please explain the high increase in price for CFC-12 in 2006? Also, the price for 2006 appears to be high for CFC-12 as most countries reported prices around $10/kg or less.  </t>
  </si>
  <si>
    <t xml:space="preserve">The price for CFC-11 in 2006 (US $19.3/kg) exceeds price reported in 2005 by US $16.02/kg.  Please explain the high increase in price for CFC-12 in 2006? Also, the price for 2006 appears to be high for CFC-12 as most countries reported prices around $10/kg or less.  </t>
  </si>
  <si>
    <t>Romania</t>
  </si>
  <si>
    <t>9,5-10$ per Kg</t>
  </si>
  <si>
    <t>7-8$ per Kg</t>
  </si>
  <si>
    <t>3,6-4$ per Kg</t>
  </si>
  <si>
    <t>Not in use</t>
  </si>
  <si>
    <t>The price for 2006 (US $20/kg) appears to be high for HCFC-22 as most countries reported prices around $10/kg or less. Please explain.</t>
  </si>
  <si>
    <t xml:space="preserve">The price for HCFC-22 in 2006 (US $30/kg). exceeds price reported in 2005 by US $20/kg.  Please explain the high increase in price for HCFC-22 in 2006? Also, the price for 2006 appears to be high for HCFC-22 as most countries reported prices around $10/kg or less.  </t>
  </si>
  <si>
    <t>The price for 2006 (US $190/kg) appears to be high for HCFC-22 as most countries reported prices around $10/kg or less. Please explain.</t>
  </si>
  <si>
    <t>11.75</t>
  </si>
  <si>
    <t>HCFC-225ca</t>
  </si>
  <si>
    <t>HCFC-225cb</t>
  </si>
  <si>
    <t>320</t>
  </si>
  <si>
    <t>130</t>
  </si>
  <si>
    <t>465</t>
  </si>
  <si>
    <t>x kg</t>
  </si>
  <si>
    <t>750ml cost 46 US$</t>
  </si>
  <si>
    <t>No</t>
  </si>
  <si>
    <t>Iran (Islamic Republic of)</t>
  </si>
  <si>
    <t>Lao People's Democratic Republic</t>
  </si>
  <si>
    <t>Micronesia (Federated States of)</t>
  </si>
  <si>
    <t>Republic of Korea</t>
  </si>
  <si>
    <t>Republic of Moldova</t>
  </si>
  <si>
    <t>Syrian Arab Republic</t>
  </si>
  <si>
    <t>very rare or non-existant</t>
  </si>
  <si>
    <t>not sold</t>
  </si>
  <si>
    <t>not sold (was replaced by R-22)</t>
  </si>
  <si>
    <t>not available in the market</t>
  </si>
  <si>
    <t>The price for 2006 (US $22/kg) appears to be high for CFC-12 as most countries reported prices around $10/kg or less.  Please explain.</t>
  </si>
  <si>
    <t>2006 New Input by Countries</t>
  </si>
  <si>
    <t>2005 New Input by Countries</t>
  </si>
  <si>
    <t>2006 ALL</t>
  </si>
  <si>
    <t>Cal</t>
  </si>
  <si>
    <t>DMI</t>
  </si>
  <si>
    <t>DOM</t>
  </si>
  <si>
    <t>ECU</t>
  </si>
  <si>
    <t>EGY</t>
  </si>
  <si>
    <t>ELS</t>
  </si>
  <si>
    <t>EQG</t>
  </si>
  <si>
    <t>ERI</t>
  </si>
  <si>
    <t>ETH</t>
  </si>
  <si>
    <t>FIJ</t>
  </si>
  <si>
    <t>GAB</t>
  </si>
  <si>
    <t>GAM</t>
  </si>
  <si>
    <t>GEO</t>
  </si>
  <si>
    <t>GHA</t>
  </si>
  <si>
    <t>GRN</t>
  </si>
  <si>
    <t>GUA</t>
  </si>
  <si>
    <t>The price for 2006 (US $31/kg) appears to be high for R-502 as most countries reported prices around $20/kg or less. Please explain.</t>
  </si>
  <si>
    <t>The price for 2006 (US $32/kg) appears to be high for R-502 as most countries reported prices around $20/kg or less. Please explain.</t>
  </si>
  <si>
    <t>LIB</t>
  </si>
  <si>
    <t>LIR</t>
  </si>
  <si>
    <t>MAG</t>
  </si>
  <si>
    <t xml:space="preserve">The price for HFC-134a in 2006 (US $20/kg) exceeds price reported in 2005 by US $8.25/kg.  Please explain the high increase in price for HFC-134a in 2006? Also, the price for 2006 appears to be high for HFC-134a as most countries reported prices around $10/kg or less.  </t>
  </si>
  <si>
    <t>The price for 2006 (US $20.62/kg) appears to be high for HFC-134a as most countries reported prices around $10/kg or less. Please explain.</t>
  </si>
  <si>
    <t>$ 111.8-171.0 Cilindro de 13.6kg</t>
  </si>
  <si>
    <t>US $11-12</t>
  </si>
  <si>
    <t>2.3-2.6</t>
  </si>
  <si>
    <t>4.0-5.2</t>
  </si>
  <si>
    <t>5.0-6.2</t>
  </si>
  <si>
    <t>4.9-5.6</t>
  </si>
  <si>
    <t>5.2-5.6</t>
  </si>
  <si>
    <t>5.1-5.6</t>
  </si>
  <si>
    <t>Not provided</t>
  </si>
  <si>
    <t xml:space="preserve">US $11-18.1 (18,1 (European)/11,0 (Chinese)) - VAT excluded </t>
  </si>
  <si>
    <t xml:space="preserve">US $6.3-8.8 (8.8 (European)/6.3 (Chinese)) - VAT excluded </t>
  </si>
  <si>
    <t xml:space="preserve">US $12.1-16.9 (16.9 (European)/12.1 (Chinese)) - VAT excluded </t>
  </si>
  <si>
    <t xml:space="preserve">US $13.2-17.6 (17.6 (European)/13.2 (Chinese)) - VAT excluded </t>
  </si>
  <si>
    <t>9-10 US$/kg</t>
  </si>
  <si>
    <t>Libya</t>
  </si>
  <si>
    <t>$85/$125</t>
  </si>
  <si>
    <t>$135/$200/$285</t>
  </si>
  <si>
    <t>$175/$275</t>
  </si>
  <si>
    <t>$320/$300</t>
  </si>
  <si>
    <t>100-110</t>
  </si>
  <si>
    <t>110-250</t>
  </si>
  <si>
    <t>180-310</t>
  </si>
  <si>
    <t>80-100</t>
  </si>
  <si>
    <t>60-395</t>
  </si>
  <si>
    <t>80-110</t>
  </si>
  <si>
    <t>100-500</t>
  </si>
  <si>
    <t>60-110</t>
  </si>
  <si>
    <t>US $2.3/lb</t>
  </si>
  <si>
    <t>US $8.3/lb</t>
  </si>
  <si>
    <t>US $8.00/lb</t>
  </si>
  <si>
    <t>LVC</t>
  </si>
  <si>
    <t>Non-LVC</t>
  </si>
  <si>
    <t>2012 Comments</t>
  </si>
  <si>
    <t>Between 3.7 and 4.6 US $</t>
  </si>
  <si>
    <t>Between 3.6 and 4.5 US $</t>
  </si>
  <si>
    <t>US$196.58 per 30 lb (13.608kg)  cylinder</t>
  </si>
  <si>
    <t>US$169.25 per 30 lb (13.608kg) cylinder</t>
  </si>
  <si>
    <t>The price for 2006 (US $18/kg) appears to be high for CFC-11 as most countries reported prices around $10/kg or less.  Please explain.</t>
  </si>
  <si>
    <t xml:space="preserve">The price for CFC-11 in 2006 (US $12/kg). exceeds price reported in 2005 by US $4/kg.  Please explain the high increase in price for CFC-11 in 2006? Also, the price for 2006 appears to be high for CFC-11 as most countries reported a prices around $10/kg or less.  </t>
  </si>
  <si>
    <t xml:space="preserve">The price for CFC-11 in 2006 (US $13/kg). exceeds price reported in 2005 by US $7/kg.  Please explain the high increase in price for CFC-11 in 2006? Also, the price for 2006 appears to be high for CFC-11 as most countries reported a prices around $10/kg or less.  </t>
  </si>
  <si>
    <t>The price for 2006 (US $15/kg) appears to be high for CFC-11 as most countries reported a prices around $10/kg or less.  Please explain.</t>
  </si>
  <si>
    <t xml:space="preserve">The price for CFC-11 in 2006 (US $16/kg). exceeds price reported in 2005 by US $6.62/kg.  Please explain the high increase in price for CFC-11 in 2006? Also, the price for 2006 appears to be high for CFC-11 as most countries reported a prices around $10/kg or less.  </t>
  </si>
  <si>
    <t>The price for 2006 (US $16.9/kg) appears to be high for CFC-11 as most countries reported a prices around $10/kg or less.  Please explain.</t>
  </si>
  <si>
    <t>(Polyol préformulé avec R141b)</t>
  </si>
  <si>
    <t>US$ 81/14Kg</t>
  </si>
  <si>
    <t>US $214/14Kg</t>
  </si>
  <si>
    <t>US $167/11Kg</t>
  </si>
  <si>
    <t>US $134/11Kg</t>
  </si>
  <si>
    <t>US $11/0.4Kg</t>
  </si>
  <si>
    <t>$ 233.16 (la única empresa que aún lo comercializa) tipo de cambio 1$=Q.7.6</t>
  </si>
  <si>
    <t>$5.92- 8.8 Cilindro de 1kg/$49.0-58.9 Cilindro de 13.6kg</t>
  </si>
  <si>
    <t>n.a</t>
  </si>
  <si>
    <t>n.a.</t>
  </si>
  <si>
    <t>Cote D'Ivoire</t>
  </si>
  <si>
    <t>Vietnam</t>
  </si>
  <si>
    <t>1995 CP</t>
  </si>
  <si>
    <t>1996 CP</t>
  </si>
  <si>
    <t>2003 CP</t>
  </si>
  <si>
    <t>Cook Islands</t>
  </si>
  <si>
    <t>Niue</t>
  </si>
  <si>
    <t>Afghanistan</t>
  </si>
  <si>
    <t>-</t>
  </si>
  <si>
    <t>Bhutan</t>
  </si>
  <si>
    <t>320/- (before 2003)</t>
  </si>
  <si>
    <t>x Cilidro de 30 lbrs</t>
  </si>
  <si>
    <t>No Imports</t>
  </si>
  <si>
    <t xml:space="preserve">The price for HCFC-22 in 2006 (US $12/kg) exceeds price reported in 2005 by US $6.12/kg.  Please explain the high increase in price for HCFC-22 in 2006? Also, the price for 2006 appears to be high for HCFC-22 as most countries reported prices around $10/kg or less.  </t>
  </si>
  <si>
    <t>The price for 2006 (US $13.1/kg) appears to be high for HCFC-22 as most countries reported prices around $10/kg or less. Please explain.</t>
  </si>
  <si>
    <t xml:space="preserve">The price for HCFC-22 in 2006 (US $16/kg) exceeds price reported in 2005 by US $10/kg.  Please explain the high increase in price for HCFC-22 in 2006? Also, the price for 2006 appears to be high for HCFC-22 as most countries reported prices around $10/kg or less.  </t>
  </si>
  <si>
    <t>Timor Leste</t>
  </si>
  <si>
    <t>TLS</t>
  </si>
  <si>
    <t>US $10-12</t>
  </si>
  <si>
    <t>US $25-27</t>
  </si>
  <si>
    <t>US $5-8</t>
  </si>
  <si>
    <t>US $15-17</t>
  </si>
  <si>
    <t>US $18-20</t>
  </si>
  <si>
    <t xml:space="preserve">The price for HCFC-22 in 2006 (US $6/kg) exceeds price reported in 2005 by US $4/kg.  Please explain the high increase in price for HCFC-22 in 2006? </t>
  </si>
  <si>
    <t>The price for 2006 (US $44/kg) apprears to be high for CFC-113.  Please explain.</t>
  </si>
  <si>
    <t>The price for 2006 (US $13/kg) appears to be high for CFC-12 as most countries reported prices around $10/kg or less. Please explain.</t>
  </si>
  <si>
    <t>The price for 2006 (US $13.3/kg) appears to be high for CFC-12 as most countries reported prices around $10/kg or less. Please explain.</t>
  </si>
  <si>
    <t>The price for 2006 (US $13.4/kg) appears to be high for CFC-12 as most countries reported prices around $10/kg or less. Please explain.</t>
  </si>
  <si>
    <t>The price for 2006 (US $14/kg) appears to be high for CFC-12 as most countries reported prices around $10/kg or less. Please explain.</t>
  </si>
  <si>
    <t xml:space="preserve">The price for CFC-11 in 2006 (US $14/kg). exceeds price reported in 2005 by US $4/kg.  Please explain the high increase in price for CFC-12 in 2006? Also, the price for 2006 appears to be high for CFC-12 as most countries reported prices around $10/kg or less.  </t>
  </si>
  <si>
    <t>The price for 2006 (US $15/kg) appears to be high for CFC-12 as most countries reported prices around $10/kg or less. Please explain.</t>
  </si>
  <si>
    <t>The price for 2006 (US $15.3/kg) appears to be high for CFC-12 as most countries reported prices around $10/kg or less. Please explain.</t>
  </si>
  <si>
    <t>TCA</t>
  </si>
  <si>
    <t>Singapore</t>
  </si>
  <si>
    <t>Bahrain</t>
  </si>
  <si>
    <t>Barbados</t>
  </si>
  <si>
    <t>Burundi</t>
  </si>
  <si>
    <t>Benin</t>
  </si>
  <si>
    <t>Bangladesh</t>
  </si>
  <si>
    <t>Bahamas</t>
  </si>
  <si>
    <t>Bosnia and Herzegovina</t>
  </si>
  <si>
    <t>Burkina Faso</t>
  </si>
  <si>
    <t>Oman</t>
  </si>
  <si>
    <t>Pakistan</t>
  </si>
  <si>
    <t>Angola</t>
  </si>
  <si>
    <t>Panama</t>
  </si>
  <si>
    <t>Paraguay</t>
  </si>
  <si>
    <t>Peru</t>
  </si>
  <si>
    <t>Philippines</t>
  </si>
  <si>
    <t>Papua New Guinea</t>
  </si>
  <si>
    <t>Congo</t>
  </si>
  <si>
    <t>Qatar</t>
  </si>
  <si>
    <t>Senegal</t>
  </si>
  <si>
    <t>Seychelles</t>
  </si>
  <si>
    <t>Solomon Islands</t>
  </si>
  <si>
    <t>Sri Lanka</t>
  </si>
  <si>
    <t>Saint Kitts and Nevis</t>
  </si>
  <si>
    <t>Saint Lucia</t>
  </si>
  <si>
    <t>Saint Vincent and the Grenadines</t>
  </si>
  <si>
    <t>Sudan</t>
  </si>
  <si>
    <t>Suriname</t>
  </si>
  <si>
    <t>China</t>
  </si>
  <si>
    <t>Turkey</t>
  </si>
  <si>
    <t>Tuvalu</t>
  </si>
  <si>
    <t>Uganda</t>
  </si>
  <si>
    <t>Uruguay</t>
  </si>
  <si>
    <t>Vanuatu</t>
  </si>
  <si>
    <t>Belize</t>
  </si>
  <si>
    <t>Yemen</t>
  </si>
  <si>
    <t>Zambia</t>
  </si>
  <si>
    <t>Zimbabwe</t>
  </si>
  <si>
    <t>MBR</t>
  </si>
  <si>
    <t>El Salvador</t>
  </si>
  <si>
    <t>Ethiopia</t>
  </si>
  <si>
    <t>Fiji</t>
  </si>
  <si>
    <t>Gabon</t>
  </si>
  <si>
    <t>Gambia</t>
  </si>
  <si>
    <t>Georgia</t>
  </si>
  <si>
    <t>Ghana</t>
  </si>
  <si>
    <t>Haiti</t>
  </si>
  <si>
    <t>Grenada</t>
  </si>
  <si>
    <t>Guatemala</t>
  </si>
  <si>
    <t>Guinea</t>
  </si>
  <si>
    <t>Guyana</t>
  </si>
  <si>
    <t>Honduras</t>
  </si>
  <si>
    <t xml:space="preserve">The price for HFC-134a in 2006 (US $13.5/kg) exceeds price reported in 2005 by US $3.5/kg.  Please explain the high increase in price for HFC-134a in 2006? Also, the price for 2006 appears to be high for HFC-134a as most countries reported prices around $10/kg or less.  </t>
  </si>
  <si>
    <t>The price for 2006 (US $13.87/kg) appears to be high for HFC-134a as most countries reported prices around $10/kg or less. Please explain.</t>
  </si>
  <si>
    <t>The price for 2006 (US $14/kg) appears to be high for HFC-134a as most countries reported prices around $10/kg or less. Please explain.</t>
  </si>
  <si>
    <t xml:space="preserve">The price for HFC-134a in 2006 (US $14/kg) exceeds price reported in 2005 by US $12.21/kg.  Please explain the high increase in price for HFC-134a in 2006? Also, the price for 2006 appears to be high for HFC-134a as most countries reported prices around $10/kg or less.  </t>
  </si>
  <si>
    <t>The price for 2006 (US $14.37/kg) appears to be high for HFC-134a as most countries reported prices around $10/kg or less. Please explain.</t>
  </si>
  <si>
    <t>US $6.09-7.35</t>
  </si>
  <si>
    <t>HCFC-22</t>
  </si>
  <si>
    <t>HCFC-141b</t>
  </si>
  <si>
    <t>HCFC-142b</t>
  </si>
  <si>
    <t>HCFC-123</t>
  </si>
  <si>
    <t>Year</t>
  </si>
  <si>
    <t xml:space="preserve">Total </t>
  </si>
  <si>
    <t>HCFC-124</t>
  </si>
  <si>
    <t>Export</t>
  </si>
  <si>
    <t>The price for 2006 (US $12.01/kg) appears to be high for HFC-134a as most countries reported prices around $10/kg or less. Please explain.</t>
  </si>
  <si>
    <t>The price for 2006 (US $12.36/kg) appears to be high for HFC-134a as most countries reported prices around $10/kg or less. Please explain.</t>
  </si>
  <si>
    <t>The price for 2006 (US $12.48/kg) appears to be high for HFC-134a as most countries reported prices around $10/kg or less. Please explain.</t>
  </si>
  <si>
    <t>The price for 2006 (US $13/kg) appears to be high for HFC-134a as most countries reported prices around $10/kg or less. Please explain.</t>
  </si>
  <si>
    <t>HFC-356mfc</t>
  </si>
  <si>
    <t>HFC-227ea</t>
  </si>
  <si>
    <t>Valor estimatido</t>
  </si>
  <si>
    <t>8-10</t>
  </si>
  <si>
    <t>3-4</t>
  </si>
  <si>
    <t>1.5-2.5</t>
  </si>
  <si>
    <t>5-9</t>
  </si>
  <si>
    <t>5-7</t>
  </si>
  <si>
    <t>33/400g</t>
  </si>
  <si>
    <t>The price for 2006 (US $240/kg) appears to be high for HFC-134a as most countries reported prices around $10/kg or less. Please explain.</t>
  </si>
  <si>
    <t xml:space="preserve">The price for R-502 in 2006 (US $12/kg) exceeds price reported in 2005 by US $3.18/kg.  Please explain the high increase in price for R-502 in 2006? </t>
  </si>
  <si>
    <t xml:space="preserve">The price for R-502 in 2006 (US $12/kg) exceeds price reported in 2005 by US $7/kg.  Please explain the high increase in price for R-502 in 2006? </t>
  </si>
  <si>
    <t xml:space="preserve">The price for R-502 in 2006 (US $18.4/kg) exceeds price reported in 2005 by US $8.4/kg.  Please explain the high increase in price for R-502 in 2006? </t>
  </si>
  <si>
    <t xml:space="preserve">The price for CFC-11 in 2006 (US $15.5/kg). exceeds price reported in 2005 by US $6.5/kg.  Please explain the high increase in price for CFC-12 in 2006? Also, the price for 2006 appears to be high for CFC-12 as most countries reported prices around $10/kg or less.  </t>
  </si>
  <si>
    <t xml:space="preserve">The price for CFC-11 in 2006 (US $16/kg). exceeds price reported in 2005 by US $10/kg.  Please explain the high increase in price for CFC-12 in 2006? Also, the price for 2006 appears to be high for CFC-12 as most countries reported prices around $10/kg or less.  </t>
  </si>
  <si>
    <t>150 for cylinder of 13 kg but only before May 2010.</t>
  </si>
  <si>
    <t>70 For cylinder of 13 kg.</t>
  </si>
  <si>
    <t>60 for cylinder of 13 kg.</t>
  </si>
  <si>
    <t>150 for cylinder of 13 kg.</t>
  </si>
  <si>
    <t>155 for cylinder of 13 kg.</t>
  </si>
  <si>
    <t>143 for cylinder of 13 kg.</t>
  </si>
  <si>
    <t>140 for cylinder of 13 kg.</t>
  </si>
  <si>
    <t>110 for cylinder of 13 kg.</t>
  </si>
  <si>
    <t>35 for 6.5 kg</t>
  </si>
  <si>
    <t>11-13 US$/kg</t>
  </si>
  <si>
    <t>12.5-15 US$/kg</t>
  </si>
  <si>
    <t>10-12 US$/kg</t>
  </si>
  <si>
    <t>6-9 US$/kg</t>
  </si>
  <si>
    <t>3-5 US$/kg</t>
  </si>
  <si>
    <t>3-7.4 US$/Kg</t>
  </si>
  <si>
    <t>4.8-7.4 US$/kg</t>
  </si>
  <si>
    <t>6.3-7.4US$/kg</t>
  </si>
  <si>
    <t>7-8 US$/kg</t>
  </si>
  <si>
    <t>3.2-5.7 US$/kg</t>
  </si>
  <si>
    <t>6.1-6.8 US$/kg</t>
  </si>
  <si>
    <t>2004 CP</t>
  </si>
  <si>
    <t>No Breakdown</t>
  </si>
  <si>
    <t>HCFC-225</t>
  </si>
  <si>
    <t>United Republic of Tanzania</t>
  </si>
  <si>
    <t>Venezuela (Bolivarian Republic of)</t>
  </si>
  <si>
    <t>Not Commercialize</t>
  </si>
  <si>
    <t>Not Available</t>
  </si>
  <si>
    <t>N</t>
  </si>
  <si>
    <t>6-7</t>
  </si>
  <si>
    <t>4-6</t>
  </si>
  <si>
    <t>12-15</t>
  </si>
  <si>
    <t>8-12</t>
  </si>
  <si>
    <t>N/D</t>
  </si>
  <si>
    <t>3.5-5</t>
  </si>
  <si>
    <t>$8 (UK-USA) &amp; $6 (China)</t>
  </si>
  <si>
    <t>Not imported to Haiti</t>
  </si>
  <si>
    <t>8.17-9.8</t>
  </si>
  <si>
    <t>17.16-20.42</t>
  </si>
  <si>
    <t>N.D</t>
  </si>
  <si>
    <t>Comments</t>
  </si>
  <si>
    <t>Croatia</t>
  </si>
  <si>
    <t>Cuba</t>
  </si>
  <si>
    <t>CTC</t>
  </si>
  <si>
    <t>Ecuador</t>
  </si>
  <si>
    <t xml:space="preserve">Ministry of Environment and Forestry is not responsible for market regulations. For this reason, reliable price data is not available. </t>
  </si>
  <si>
    <t>Egypt</t>
  </si>
  <si>
    <t>Jamaica</t>
  </si>
  <si>
    <t>Jordan</t>
  </si>
  <si>
    <t>Indonesia</t>
  </si>
  <si>
    <t>$329.95/24 lbs tank</t>
  </si>
  <si>
    <t>$339.95/25 lbs tank</t>
  </si>
  <si>
    <t>No hay existencia en el país</t>
  </si>
  <si>
    <t>Mauritius</t>
  </si>
  <si>
    <t>Marshall Islands</t>
  </si>
  <si>
    <t>Mauritania</t>
  </si>
  <si>
    <t>Maldives</t>
  </si>
  <si>
    <t>Mexico</t>
  </si>
  <si>
    <t>Mali</t>
  </si>
  <si>
    <t>Malawi</t>
  </si>
  <si>
    <t>NDR</t>
  </si>
  <si>
    <t>Saudi Arabia</t>
  </si>
  <si>
    <t>Tonga</t>
  </si>
  <si>
    <t>United Arab Emirates</t>
  </si>
  <si>
    <t>1999 CP</t>
  </si>
  <si>
    <t>N/A</t>
  </si>
  <si>
    <t>6.5-7.0 US$/kg</t>
  </si>
  <si>
    <t>6-7US$/kg</t>
  </si>
  <si>
    <t>9-11 US$/kg</t>
  </si>
  <si>
    <t>18-20 US$/kg</t>
  </si>
  <si>
    <t>16-18 US$/kg</t>
  </si>
  <si>
    <t>8.25-9 US$/kg</t>
  </si>
  <si>
    <t>70US$/bottle of 400grs</t>
  </si>
  <si>
    <t>old stock</t>
  </si>
  <si>
    <t>2,27-2,87</t>
  </si>
  <si>
    <t>4,27-5,6</t>
  </si>
  <si>
    <t>5,3-6,7</t>
  </si>
  <si>
    <t>5,32-6</t>
  </si>
  <si>
    <t>5,5-6</t>
  </si>
  <si>
    <t>5,6-6</t>
  </si>
  <si>
    <t>HCFC-141b in Imported Pre-blended Polyol</t>
  </si>
  <si>
    <t>rare</t>
  </si>
  <si>
    <t>The price for 2006 (US $23.79/kg) appears to be high for CFC-11 as most countries reported prices around $10/kg or less.  Please explain.</t>
  </si>
  <si>
    <t xml:space="preserve">The price for CFC-11 in 2006 (US $36.7/kg) exceeds price reported in 2005 by US $29.7/kg.  Please explain the high increase in price for CFC-11 in 2006? Also, the price for 2006 appears to be high for CFC-11 as most countries reported prices around $10/kg or less.  </t>
  </si>
  <si>
    <t>The price for 2006 (US $19.5/kg) appears to be high for CFC-114.  Please explain.</t>
  </si>
  <si>
    <t>The price for 2006 (US $25.8/kg) appears to be high for CFC-114.  Please explain.</t>
  </si>
  <si>
    <t>The price for 2006 (US $30/kg) appears to be high for CFC-114.  Please explain.</t>
  </si>
  <si>
    <t>The price for 2006 (US $17.3/kg) apprears to be high for CFC-115 as most countries reported prices around $12/kg or less. Please explain.</t>
  </si>
  <si>
    <t>The price for CFC-115 in 2006 (US $21.74/kg) exceeds price reported in 2005 by US $8.26/kg.  Please explain the high increase in price for CFC-115 in 2006?</t>
  </si>
  <si>
    <t xml:space="preserve">The price for CFC-11 in 2006 (US $10/kg) exceeds price reported in 2005 by US $4/kg.  Please explain the high increase in price for CFC-12 in 2006? </t>
  </si>
  <si>
    <t>2007 Comments</t>
  </si>
  <si>
    <t>VAT excluded</t>
  </si>
  <si>
    <t>US $9-13  (US $9 Chineses/ US $13 European) VAT excluded</t>
  </si>
  <si>
    <t>9-10.28 US$/kg</t>
  </si>
  <si>
    <t>19-21 US$/kg</t>
  </si>
  <si>
    <t>US $233.76 per Cilindro de 13.6 kg</t>
  </si>
  <si>
    <t>US $50 per Cilindro de 13.6 kg</t>
  </si>
  <si>
    <t>US $99.23 per Cilindro de 13.6 kg</t>
  </si>
  <si>
    <t>US $100 per Cilindro de 10.9 kg</t>
  </si>
  <si>
    <t>US $90 per Cilindro de 13.6 kg</t>
  </si>
  <si>
    <t>US$68/13.6kg</t>
  </si>
  <si>
    <t>US$151.57/13.6kg</t>
  </si>
  <si>
    <t>US$152/10.89kg</t>
  </si>
  <si>
    <t>US$152/11.34kg</t>
  </si>
  <si>
    <t>8-9</t>
  </si>
  <si>
    <t>9-11</t>
  </si>
  <si>
    <t>US $141 per 13 kg cylinder</t>
  </si>
  <si>
    <t>US $218 per 13 kg cylinder</t>
  </si>
  <si>
    <t>US $70.5 per 13 kg cylinder</t>
  </si>
  <si>
    <t>US $102.5 per 13 kg cylinder</t>
  </si>
  <si>
    <t>US $160 per 13 kg cylinder</t>
  </si>
  <si>
    <t>US $128 per 13 kg cylinder</t>
  </si>
  <si>
    <t>Lebanon</t>
  </si>
  <si>
    <t>Lesotho</t>
  </si>
  <si>
    <t>Liberia</t>
  </si>
  <si>
    <t>Madagascar</t>
  </si>
  <si>
    <t>Malaysia</t>
  </si>
  <si>
    <t>South Africa</t>
  </si>
  <si>
    <t>Albania</t>
  </si>
  <si>
    <t>Algeria</t>
  </si>
  <si>
    <t>Antigua and Barbuda</t>
  </si>
  <si>
    <t>Argentina</t>
  </si>
  <si>
    <t>Thailand</t>
  </si>
  <si>
    <t>Togo</t>
  </si>
  <si>
    <t>Trinidad and Tobago</t>
  </si>
  <si>
    <t>Tunisia</t>
  </si>
  <si>
    <t>Bolivia</t>
  </si>
  <si>
    <t>Botswana</t>
  </si>
  <si>
    <t>Brazil</t>
  </si>
  <si>
    <t>Central African Republic</t>
  </si>
  <si>
    <t>Chad</t>
  </si>
  <si>
    <t>Chile</t>
  </si>
  <si>
    <t>CFC</t>
  </si>
  <si>
    <t>Cameroon</t>
  </si>
  <si>
    <t>Comoros</t>
  </si>
  <si>
    <t>Colombia</t>
  </si>
  <si>
    <t>Costa Rica</t>
  </si>
  <si>
    <t>Country</t>
  </si>
  <si>
    <t>1997 CP</t>
  </si>
  <si>
    <t>1998 CP</t>
  </si>
  <si>
    <t>2001 CP</t>
  </si>
  <si>
    <t>Chemical</t>
  </si>
  <si>
    <t>Kyrgyzstan</t>
  </si>
  <si>
    <t>Brunei Darussalam</t>
  </si>
  <si>
    <t>Cote d'Ivoire</t>
  </si>
  <si>
    <t>Viet Nam</t>
  </si>
  <si>
    <t>2002 CP</t>
  </si>
  <si>
    <t>Palau</t>
  </si>
  <si>
    <t>Armenia</t>
  </si>
  <si>
    <t>Cambodia</t>
  </si>
  <si>
    <t>Cape Verde</t>
  </si>
  <si>
    <t>Guinea Bissau</t>
  </si>
  <si>
    <t>Nauru</t>
  </si>
  <si>
    <t>Rwanda</t>
  </si>
  <si>
    <t>Sao Tome and Principe</t>
  </si>
  <si>
    <t>Sierra Leone</t>
  </si>
  <si>
    <t>Somalia</t>
  </si>
  <si>
    <t xml:space="preserve">Chemical </t>
  </si>
  <si>
    <t>Aerosol</t>
  </si>
  <si>
    <t>Foam</t>
  </si>
  <si>
    <t>Solvent</t>
  </si>
  <si>
    <t>Process Agent</t>
  </si>
  <si>
    <t>The price for 2006 (US $14.51/kg) appears to be high for HFC-134a as most countries reported prices around $10/kg or less. Please explain.</t>
  </si>
  <si>
    <t xml:space="preserve">The price for CFC-11 in 2006 (US $20.59/kg). exceeds the price reported in 2005 by US $12.79/kg.  Please explain the high increase in price for CFC-12 in 2006? Also, the price for 2006 appears to be high for CFC-12 as most countries reported prices around $10/kg or less.  </t>
  </si>
  <si>
    <t>The price for 2006 (US $21.08/kg) appears to be high for CFC-12 as most countries reported prices around $10/kg or less.  Please explain.</t>
  </si>
  <si>
    <t xml:space="preserve">The price for 2006 (US $11/kg) appears to be high for CFC-11 as most countries reported a prices around $10/kg or less.  Please explain. </t>
  </si>
  <si>
    <t>The price for 2006 (US $11.36/kg) appears to be high for CFC-11 as most countries reported a prices around $10/kg or less.  Please explain.</t>
  </si>
  <si>
    <t>The price for 2006 (US $11.76/kg) appears to be high for CFC-11 as most countries reported a prices around $10/kg or less.  Please explain.</t>
  </si>
  <si>
    <t>Item not in market</t>
  </si>
  <si>
    <t>Sold as blend</t>
  </si>
  <si>
    <t>Valor estimado</t>
  </si>
  <si>
    <t>2010 Comments</t>
  </si>
  <si>
    <t xml:space="preserve">The price for HFC-134a in 2006 (US $13.2/kg) exceeds price reported in 2005 by US $3.2/kg.  Please explain the high increase in price for HFC-134a in 2006? Also, the price for 2006 appears to be high for HFC-134a as most countries reported prices around $10/kg or less.  </t>
  </si>
  <si>
    <t>25US$/420gr</t>
  </si>
  <si>
    <t>The price for 2006 (US $17/kg) appears to be high for CFC-11 as most countries reported a prices around $10/kg or less.  Please explain.</t>
  </si>
  <si>
    <t>2013 Comments</t>
  </si>
  <si>
    <t>South Sudan</t>
  </si>
  <si>
    <t>SSD</t>
  </si>
  <si>
    <t xml:space="preserve">2010 CP </t>
  </si>
  <si>
    <t xml:space="preserve">2011 CP </t>
  </si>
  <si>
    <t xml:space="preserve">2012 CP </t>
  </si>
  <si>
    <t>2.5/300g</t>
  </si>
  <si>
    <t>6-7 US$/kg</t>
  </si>
  <si>
    <t>10-11 US$/kg</t>
  </si>
  <si>
    <t>REG</t>
  </si>
  <si>
    <t>SUBREGION</t>
  </si>
  <si>
    <t>Asia and the Pacific</t>
  </si>
  <si>
    <t>South Asia</t>
  </si>
  <si>
    <t>Europe</t>
  </si>
  <si>
    <t>Africa</t>
  </si>
  <si>
    <t>French-speaking Africa</t>
  </si>
  <si>
    <t>Latin America and the Caribbean</t>
  </si>
  <si>
    <t>Caribbean</t>
  </si>
  <si>
    <t>Southern Latin America Network</t>
  </si>
  <si>
    <t>West Asia</t>
  </si>
  <si>
    <t>English-speaking Africa</t>
  </si>
  <si>
    <t>South East Asia</t>
  </si>
  <si>
    <t>Central America</t>
  </si>
  <si>
    <t>2014 Comments</t>
  </si>
  <si>
    <t xml:space="preserve">2013 CP </t>
  </si>
  <si>
    <t>2014 CP</t>
  </si>
  <si>
    <t>2.6-3</t>
  </si>
  <si>
    <t>3.3-3.5</t>
  </si>
  <si>
    <t>6-7.35</t>
  </si>
  <si>
    <t>6.5-7.5</t>
  </si>
  <si>
    <t>HCFC-141b Preblended Polyol</t>
  </si>
  <si>
    <t>18-20</t>
  </si>
  <si>
    <t>13-15</t>
  </si>
  <si>
    <t>12 pour la China and 26 pour France</t>
  </si>
  <si>
    <t>2.8 pour les 300g</t>
  </si>
  <si>
    <t>2015 CP</t>
  </si>
  <si>
    <t>2015 Commnets</t>
  </si>
  <si>
    <t>US $20-22</t>
  </si>
  <si>
    <t>Cabo Verde</t>
  </si>
  <si>
    <t>Bolivia (Plurinational State of)</t>
  </si>
  <si>
    <t>7.5-8.5 US$/kg</t>
  </si>
  <si>
    <t>5.0-6.0</t>
  </si>
  <si>
    <t>4.0-5.5</t>
  </si>
  <si>
    <t>2016 CP</t>
  </si>
  <si>
    <t>2016 Commnets</t>
  </si>
  <si>
    <t>2017 CP</t>
  </si>
  <si>
    <t>2017 Comments</t>
  </si>
  <si>
    <t>Diff</t>
  </si>
  <si>
    <t xml:space="preserve">Not Provided </t>
  </si>
  <si>
    <t>Eswatini (the Kingdom of)</t>
  </si>
  <si>
    <t>2018 CP</t>
  </si>
  <si>
    <t>2018 Comments</t>
  </si>
  <si>
    <t>North Macedonia</t>
  </si>
  <si>
    <t>2019 CP</t>
  </si>
  <si>
    <t>2019 Comments</t>
  </si>
  <si>
    <t>HFC</t>
  </si>
  <si>
    <t>HFC-134</t>
  </si>
  <si>
    <t>Retail Price</t>
  </si>
  <si>
    <t>2018 (2019 CP Data)</t>
  </si>
  <si>
    <t>HFC-23 (use)</t>
  </si>
  <si>
    <t>R-407A</t>
  </si>
  <si>
    <t>HFC-143a</t>
  </si>
  <si>
    <t>HFC-32</t>
  </si>
  <si>
    <t>HFC-245fa in imported pre-blended polyol</t>
  </si>
  <si>
    <t>HFC-365mfc in imported pre-blended polyol</t>
  </si>
  <si>
    <t>R-1234yf</t>
  </si>
  <si>
    <t>Controlled Substances</t>
  </si>
  <si>
    <t>FOB Price</t>
  </si>
  <si>
    <t xml:space="preserve">13.6 Kg retail prices </t>
  </si>
  <si>
    <t xml:space="preserve">13.6Kg retail Prices </t>
  </si>
  <si>
    <t xml:space="preserve">R-407C </t>
  </si>
  <si>
    <t xml:space="preserve">R-410A </t>
  </si>
  <si>
    <t>R-453A</t>
  </si>
  <si>
    <t>HFC-152a</t>
  </si>
  <si>
    <t>HFC-236fa</t>
  </si>
  <si>
    <t>HFC-43-10mee</t>
  </si>
  <si>
    <t>HFC-365mfc/HFC-227ea</t>
  </si>
  <si>
    <t>R-508B</t>
  </si>
  <si>
    <t>R-417A</t>
  </si>
  <si>
    <t>R-438A</t>
  </si>
  <si>
    <t>R-437A</t>
  </si>
  <si>
    <t>R-422A</t>
  </si>
  <si>
    <t>R-422D</t>
  </si>
  <si>
    <t>R-449A</t>
  </si>
  <si>
    <t>Substance</t>
  </si>
  <si>
    <t>HFC-23</t>
  </si>
  <si>
    <t>Facility name or identifier</t>
  </si>
  <si>
    <t>Amount of generated emissions</t>
  </si>
  <si>
    <t>Remarks</t>
  </si>
  <si>
    <t>Amount generated and captured - For all uses</t>
  </si>
  <si>
    <t>Amount generated and captured - For feedstock use in your country</t>
  </si>
  <si>
    <t>Amount generated and captured - For destruction</t>
  </si>
  <si>
    <t>Quimobásicos</t>
  </si>
  <si>
    <t>La cantidad total de HFC-23 generada no es capturada, radio (ratio) de generación HFC-23/HCFC-22 = 1.97%</t>
  </si>
  <si>
    <t>FOB China</t>
  </si>
  <si>
    <t>FOB USA</t>
  </si>
  <si>
    <t>R-406A (containing R-22)</t>
  </si>
  <si>
    <t>Wholesale Price</t>
  </si>
  <si>
    <t>Retail</t>
  </si>
  <si>
    <t>Retail (R134a 0.34kg cans - US $2.83/R134a 6.81kg - US $11.17)</t>
  </si>
  <si>
    <t>47.21 - 176.27</t>
  </si>
  <si>
    <t>380.73 - 5112.69</t>
  </si>
  <si>
    <t>3.00 - 83.75</t>
  </si>
  <si>
    <t>13.38 - 1366.65</t>
  </si>
  <si>
    <t>3.56 - 106.17</t>
  </si>
  <si>
    <t>4.41 - 266.70</t>
  </si>
  <si>
    <t>3.24 - 174.92</t>
  </si>
  <si>
    <t>3.08 - 58.31</t>
  </si>
  <si>
    <t>US$/kg CIF</t>
  </si>
  <si>
    <t>US$/unidad CIF</t>
  </si>
  <si>
    <t>Submitted prices are retail prices in bulk. The cost will raise approximately %25-30 if we use single service cylinders.</t>
  </si>
  <si>
    <t xml:space="preserve">Submitted prices are retail prices   </t>
  </si>
  <si>
    <t>Submitted prices are retail prices.</t>
  </si>
  <si>
    <t>HFO-1234yf</t>
  </si>
  <si>
    <t>2018 retail prices/2019 FOB price</t>
  </si>
  <si>
    <t>FOB Prices</t>
  </si>
  <si>
    <t>Ammoniac (R718)</t>
  </si>
  <si>
    <t>Prix de gros</t>
  </si>
  <si>
    <t>Ammoniac (R-717)</t>
  </si>
  <si>
    <t>Eau (R-718)</t>
  </si>
  <si>
    <t>12.06</t>
  </si>
  <si>
    <t>17.24</t>
  </si>
  <si>
    <t>25.86</t>
  </si>
  <si>
    <t>23.33</t>
  </si>
  <si>
    <t>Prix de détail</t>
  </si>
  <si>
    <t>14-16</t>
  </si>
  <si>
    <t>R-417a</t>
  </si>
  <si>
    <t>22-24</t>
  </si>
  <si>
    <t>R-417</t>
  </si>
  <si>
    <t>2.9</t>
  </si>
  <si>
    <t>2.1</t>
  </si>
  <si>
    <t>R-744</t>
  </si>
  <si>
    <t>R-717</t>
  </si>
  <si>
    <t>9.00</t>
  </si>
  <si>
    <t>10.00</t>
  </si>
  <si>
    <t>11.00</t>
  </si>
  <si>
    <t>5.00</t>
  </si>
  <si>
    <t>Status</t>
  </si>
  <si>
    <t>2020 CP</t>
  </si>
  <si>
    <t>2019 (2020 CP Data)</t>
  </si>
  <si>
    <t>2020</t>
  </si>
  <si>
    <t>2020 Comments</t>
  </si>
  <si>
    <t>R-407F</t>
  </si>
  <si>
    <t>R-452A</t>
  </si>
  <si>
    <t>780g</t>
  </si>
  <si>
    <t>420g</t>
  </si>
  <si>
    <t>370g</t>
  </si>
  <si>
    <t>FOB price</t>
  </si>
  <si>
    <t>HFC-417A</t>
  </si>
  <si>
    <t>2.63</t>
  </si>
  <si>
    <t>R-417B</t>
  </si>
  <si>
    <t>Whacool 38A</t>
  </si>
  <si>
    <t>Retail Price per half KG</t>
  </si>
  <si>
    <t>Transportation costs not included</t>
  </si>
  <si>
    <t>Ammonia</t>
  </si>
  <si>
    <t>R-32</t>
  </si>
  <si>
    <t>HFO-1336zd</t>
  </si>
  <si>
    <t>HFO-1336mzz (e)</t>
  </si>
  <si>
    <t>R-448A</t>
  </si>
  <si>
    <t>R-1234YF</t>
  </si>
  <si>
    <t>R-1233ZE</t>
  </si>
  <si>
    <t>HFO en poliol formulado</t>
  </si>
  <si>
    <t>HFC-365/227 (93/7)</t>
  </si>
  <si>
    <t>HFO (Solstice LBA)</t>
  </si>
  <si>
    <t>HFC-365mfc (93%)/HFC-227ea (7%) - mezcla</t>
  </si>
  <si>
    <t>La cantidad total de HFC-23 generada no es capturada, radio (ratio) de generación HFC-23/HCFC-22 = 2.32%</t>
  </si>
  <si>
    <t>HFC-143</t>
  </si>
  <si>
    <t>R-406A</t>
  </si>
  <si>
    <t>R-408A</t>
  </si>
  <si>
    <t>Ammoniac (R717)</t>
  </si>
  <si>
    <t xml:space="preserve">Retail Price </t>
  </si>
  <si>
    <t>Methylal</t>
  </si>
  <si>
    <t>128 000 frs pour une bombonne de 13.6 Kg</t>
  </si>
  <si>
    <t>7.54/27.37/10.11</t>
  </si>
  <si>
    <t>(13.62 kg)/(0.34kg)/(6.81)</t>
  </si>
  <si>
    <t>HFO1234yf</t>
  </si>
  <si>
    <t>CIF price</t>
  </si>
  <si>
    <t>22-27</t>
  </si>
  <si>
    <t>2 - 5 USD</t>
  </si>
  <si>
    <t>2 - 4 USD</t>
  </si>
  <si>
    <t>HFC-236ea</t>
  </si>
  <si>
    <t>HFO-1233ZD</t>
  </si>
  <si>
    <t>Bahamas (the)</t>
  </si>
  <si>
    <t>Comoros (the)</t>
  </si>
  <si>
    <t>Congo (the)</t>
  </si>
  <si>
    <t>Cook Islands (the)</t>
  </si>
  <si>
    <t>Dominican Republic (the)</t>
  </si>
  <si>
    <t>Gambia (the)</t>
  </si>
  <si>
    <t>Marshall Islands (the)</t>
  </si>
  <si>
    <t>Niger (the)</t>
  </si>
  <si>
    <t>Philippines (the)</t>
  </si>
  <si>
    <t>Republic of Korea (the)</t>
  </si>
  <si>
    <t>Republic of Moldova (the)</t>
  </si>
  <si>
    <t>Sudan (the)</t>
  </si>
  <si>
    <t>United Arab Emirates (the)</t>
  </si>
  <si>
    <t>United Republic of Tanzania (the)</t>
  </si>
  <si>
    <t>Lao People's Democratic Republic (the)</t>
  </si>
  <si>
    <t>Korea, DPR</t>
  </si>
  <si>
    <t>2.8 Vinalon Complex</t>
  </si>
  <si>
    <t>R-426A</t>
  </si>
  <si>
    <t>R-152a</t>
  </si>
  <si>
    <t>2021 CP</t>
  </si>
  <si>
    <t>2020 (2021 CP Data)</t>
  </si>
  <si>
    <t>2021 Comments</t>
  </si>
  <si>
    <t>La ferméture des frontières et la pandemie de COVID 19 ont entrainé l'augmentation des prix</t>
  </si>
  <si>
    <t>La ferméture des frontières et la pandemeie de COVID 19 ont entrainé l'augmentation des prix</t>
  </si>
  <si>
    <t>La ferméture des frontières et la pandeùeie de COVID 19 ont entrainé l'augmentation des prix</t>
  </si>
  <si>
    <t>Ce produit n'est pas importé au Tchad en 2021.</t>
  </si>
  <si>
    <t>L'ammoniac est abondamment utilisé dans la fabrication de la glace</t>
  </si>
  <si>
    <t>L'eau est utilisée dans le système de réfroidissement</t>
  </si>
  <si>
    <t>R-507C</t>
  </si>
  <si>
    <t xml:space="preserve">15.6 Kg retail prices </t>
  </si>
  <si>
    <t xml:space="preserve">12.6Kg retail Prices </t>
  </si>
  <si>
    <t xml:space="preserve">14.6Kg retail Prices </t>
  </si>
  <si>
    <t>R-1233zd</t>
  </si>
  <si>
    <t>R-1234ze</t>
  </si>
  <si>
    <t>Cyclopentane in Imported Pre-blended Polyol</t>
  </si>
  <si>
    <t>HFC-365mfc in Imported Pre-blended Polyol</t>
  </si>
  <si>
    <t>Retail price per half KG</t>
  </si>
  <si>
    <t>HCFC-125</t>
  </si>
  <si>
    <t xml:space="preserve">LPS QB Duster </t>
  </si>
  <si>
    <t xml:space="preserve">R-417A </t>
  </si>
  <si>
    <t xml:space="preserve">R-438A </t>
  </si>
  <si>
    <t xml:space="preserve">R-448A </t>
  </si>
  <si>
    <t xml:space="preserve">R-452A </t>
  </si>
  <si>
    <t xml:space="preserve">R-513 </t>
  </si>
  <si>
    <t xml:space="preserve">CHESTERTON 279 </t>
  </si>
  <si>
    <t xml:space="preserve">CHESTERTON 296 </t>
  </si>
  <si>
    <t>CYLINDER 30 LBS</t>
  </si>
  <si>
    <t>CYLINDER 24 LBS</t>
  </si>
  <si>
    <t>CYLINDER 25 LBS</t>
  </si>
  <si>
    <t>CYLINDER 400 GRAMMES</t>
  </si>
  <si>
    <t>HFC-152</t>
  </si>
  <si>
    <t>R-427A</t>
  </si>
  <si>
    <t>R-507</t>
  </si>
  <si>
    <t>HCFC-141b in imported pre-blended polyol</t>
  </si>
  <si>
    <t>Retai Price</t>
  </si>
  <si>
    <t xml:space="preserve">R-467A </t>
  </si>
  <si>
    <t>R-513A</t>
  </si>
  <si>
    <t>Frío Industrias Argentinas SA ( FIASA)</t>
  </si>
  <si>
    <t xml:space="preserve">Frio Industrias Argentinas </t>
  </si>
  <si>
    <t>13.6kg</t>
  </si>
  <si>
    <t>10.9kg</t>
  </si>
  <si>
    <t>11.3kg</t>
  </si>
  <si>
    <t>6.5kg</t>
  </si>
  <si>
    <t>rang bet.6.15 - 7.28</t>
  </si>
  <si>
    <t>randg bet. 7.28 - 9.4</t>
  </si>
  <si>
    <t>rang bet.  8.19 - 12.7</t>
  </si>
  <si>
    <t>range bet 10.17 - 19.01</t>
  </si>
  <si>
    <t>2019 CP (MT)</t>
  </si>
  <si>
    <t>2020 CP (MT)</t>
  </si>
  <si>
    <t>2021 CP (MT)</t>
  </si>
  <si>
    <t>8:00-9:00</t>
  </si>
  <si>
    <t>190:00-200</t>
  </si>
  <si>
    <t>9:00-10:00</t>
  </si>
  <si>
    <t>3:50:4:00</t>
  </si>
  <si>
    <t>HFOs1234</t>
  </si>
  <si>
    <t>150:00-160:00</t>
  </si>
  <si>
    <t>4,00 - 5,00 Submitted prices are retail prices in bulk. The cost will raise approximately %25-30 if we use single service cylinders.</t>
  </si>
  <si>
    <t>6,00 - 7,00 Submitted prices are retail prices in bulk. The cost will raise approximately %25-30 if we use single service cylinders.</t>
  </si>
  <si>
    <t>8,00 - 9,00 Submitted prices are retail prices in bulk. The cost will raise approximately %25-30 if we use single service cylinders.</t>
  </si>
  <si>
    <t>5,50 - 6,00 Submitted prices are retail prices in bulk. The cost will raise approximately %25-30 if we use single service cylinders.</t>
  </si>
  <si>
    <t>6,00 - 6,50 Submitted prices are retail prices in bulk. The cost will raise approximately %25-30 if we use single service cylinders.</t>
  </si>
  <si>
    <t>2,80 - 3,70</t>
  </si>
  <si>
    <t>Captured for all uses</t>
  </si>
  <si>
    <t>Captured for feedstock uses within your country</t>
  </si>
  <si>
    <t>Captured for destruction</t>
  </si>
  <si>
    <t xml:space="preserve">Changshu San'aifu Zhonghao </t>
  </si>
  <si>
    <t>Arkema (Changshu) FluorochemicalCo., Ltd.</t>
  </si>
  <si>
    <t>Zhejiang Sanmei Chemical Industry Co.,</t>
  </si>
  <si>
    <t>Linhai Limin Chemicals Co., L</t>
  </si>
  <si>
    <t>Zhejiang Pengyou Chemical Co., Ltd.</t>
  </si>
  <si>
    <t>Jinhua Yonghe FluorochemicalCo., Ltd</t>
  </si>
  <si>
    <t>Zhejiang Lanxi Juhua Fluorine Chemicals C</t>
  </si>
  <si>
    <t>Zhejiang Quhua Fluor-Chemistry</t>
  </si>
  <si>
    <t>Zhejiang Jusheng FlurochemicalCo., Ltd</t>
  </si>
  <si>
    <t>Jiangsu Meilan Chemical Co., Ltd.</t>
  </si>
  <si>
    <t>Shandong Dongyue Chemical Co., Lt</t>
  </si>
  <si>
    <t>Liaocheng Fuer New Material Technology Co</t>
  </si>
  <si>
    <t>Inner Mongolia Yonghe FluorochemicalCo., Ltd</t>
  </si>
  <si>
    <t>Jiangxi Zhongfu Chemical Material Technology Co., Ltd</t>
  </si>
  <si>
    <t>Jiangxi Lee &amp; Man Chemical Limited</t>
  </si>
  <si>
    <t>Xingguo Xingfu Chemical Industry Co.</t>
  </si>
  <si>
    <t>Fujian Sannong New Materials Co., L</t>
  </si>
  <si>
    <t>Zhonghao Chenguang Research Institute of Chemical Industry C</t>
  </si>
  <si>
    <t>Sinochem Lantian Fluoro Materials Co., Ltd</t>
  </si>
  <si>
    <t>Fujian Deer TechnologyCompany</t>
  </si>
  <si>
    <t>Amount used for feedstock without prior capture</t>
  </si>
  <si>
    <t>Amount destroyed without prior capture</t>
  </si>
  <si>
    <t>Total amount generated</t>
  </si>
  <si>
    <t>2019 CP (CO2-eq)</t>
  </si>
  <si>
    <t>2020 CP (CO2-eq)</t>
  </si>
  <si>
    <t>2021 CP (CO2-eq)</t>
  </si>
  <si>
    <t>200 000 frs pour une bombonne de 13.6 Kg</t>
  </si>
  <si>
    <t xml:space="preserve">  pour 1 Kg et 90 $ la bouteille</t>
  </si>
  <si>
    <t>Methyl Bromide</t>
  </si>
  <si>
    <t>Türkiye</t>
  </si>
  <si>
    <t>2022 CP</t>
  </si>
  <si>
    <t>2021 (2022 CP Data)</t>
  </si>
  <si>
    <t>2022 Comments</t>
  </si>
  <si>
    <t>L'ouverture des frontières a entrainé la diminution des prix sur les marchés</t>
  </si>
  <si>
    <t>Ce produit est  importé au Tchad en 2022</t>
  </si>
  <si>
    <t>L'ouverture des frontières a entrainé une chute des prix sur les marchés</t>
  </si>
  <si>
    <t>L'ouverture des frontières a entrainé une baisse des prix sur les marchés</t>
  </si>
  <si>
    <t>L(ouverture des frontalières a entrainé une diminution des prix sur les marchés</t>
  </si>
  <si>
    <t>L'ouverture des frontières a entrainé la diminution des prix  sur les marchés</t>
  </si>
  <si>
    <t>L'ammoniac est abondamment utilisé par les fabriques de la glace</t>
  </si>
  <si>
    <t>Ce produit n'est pas importé au Tchad en 2022.</t>
  </si>
  <si>
    <t>2022 CP (MT)</t>
  </si>
  <si>
    <t>2022 CP (CO2-eq)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</si>
</sst>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3" formatCode="_-* #,##0.00_-;\-* #,##0.00_-;_-* &quot;-&quot;??_-;_-@_-"/>
    <numFmt numFmtId="164" formatCode="#,##0.0"/>
    <numFmt numFmtId="165" formatCode="0.000"/>
    <numFmt numFmtId="166" formatCode="#,##0.000"/>
    <numFmt numFmtId="167" formatCode="#,##0.0000"/>
    <numFmt numFmtId="168" formatCode="#,##0.00000"/>
    <numFmt numFmtId="169" formatCode="#,##0.0_);\(#,##0.0\)"/>
  </numFmts>
  <fonts count="19">
    <font>
      <sz val="10"/>
      <name val="Times New Roman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top"/>
    </xf>
    <xf numFmtId="43" fontId="3" fillId="0" borderId="0" applyFont="0" applyFill="0" applyBorder="0" applyAlignment="0" applyProtection="0"/>
    <xf numFmtId="0" fontId="9" fillId="0" borderId="0"/>
    <xf numFmtId="0" fontId="10" fillId="0" borderId="0"/>
    <xf numFmtId="0" fontId="2" fillId="0" borderId="0"/>
    <xf numFmtId="0" fontId="1" fillId="0" borderId="0"/>
    <xf numFmtId="0" fontId="10" fillId="0" borderId="0"/>
    <xf numFmtId="0" fontId="3" fillId="0" borderId="0">
      <alignment vertical="top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40">
    <xf numFmtId="0" fontId="0" fillId="0" borderId="0" xfId="0" applyAlignment="1"/>
    <xf numFmtId="0" fontId="4" fillId="0" borderId="0" xfId="0" applyFont="1">
      <alignment vertical="top"/>
    </xf>
    <xf numFmtId="4" fontId="4" fillId="0" borderId="0" xfId="0" applyNumberFormat="1" applyFont="1" applyAlignment="1">
      <alignment horizontal="right" vertical="top"/>
    </xf>
    <xf numFmtId="4" fontId="4" fillId="0" borderId="0" xfId="0" applyNumberFormat="1" applyFont="1">
      <alignment vertical="top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4" fontId="4" fillId="0" borderId="0" xfId="1" applyNumberFormat="1" applyFont="1" applyFill="1" applyBorder="1" applyAlignment="1" applyProtection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 vertical="top" wrapText="1"/>
    </xf>
    <xf numFmtId="0" fontId="5" fillId="2" borderId="0" xfId="0" applyFont="1" applyFill="1" applyAlignment="1">
      <alignment horizontal="center" vertical="top" wrapText="1"/>
    </xf>
    <xf numFmtId="166" fontId="4" fillId="0" borderId="0" xfId="1" applyNumberFormat="1" applyFont="1" applyFill="1" applyBorder="1" applyAlignment="1" applyProtection="1">
      <alignment horizontal="left"/>
    </xf>
    <xf numFmtId="1" fontId="5" fillId="2" borderId="0" xfId="0" applyNumberFormat="1" applyFont="1" applyFill="1" applyAlignment="1">
      <alignment horizontal="center" vertical="top" wrapText="1"/>
    </xf>
    <xf numFmtId="1" fontId="5" fillId="3" borderId="0" xfId="0" applyNumberFormat="1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1" fontId="5" fillId="4" borderId="0" xfId="0" applyNumberFormat="1" applyFont="1" applyFill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1" fontId="5" fillId="5" borderId="0" xfId="0" applyNumberFormat="1" applyFont="1" applyFill="1" applyAlignment="1">
      <alignment horizontal="center" vertical="top" wrapText="1"/>
    </xf>
    <xf numFmtId="0" fontId="5" fillId="6" borderId="0" xfId="0" applyFont="1" applyFill="1" applyAlignment="1">
      <alignment horizontal="center" vertical="top" wrapText="1"/>
    </xf>
    <xf numFmtId="1" fontId="5" fillId="6" borderId="0" xfId="0" applyNumberFormat="1" applyFont="1" applyFill="1" applyAlignment="1">
      <alignment horizontal="center" vertical="top" wrapText="1"/>
    </xf>
    <xf numFmtId="1" fontId="5" fillId="7" borderId="0" xfId="0" applyNumberFormat="1" applyFont="1" applyFill="1" applyAlignment="1">
      <alignment horizontal="center" vertical="top" wrapText="1"/>
    </xf>
    <xf numFmtId="4" fontId="5" fillId="7" borderId="0" xfId="0" applyNumberFormat="1" applyFont="1" applyFill="1" applyAlignment="1">
      <alignment horizontal="center" vertical="top" wrapText="1"/>
    </xf>
    <xf numFmtId="4" fontId="5" fillId="2" borderId="0" xfId="0" applyNumberFormat="1" applyFont="1" applyFill="1" applyAlignment="1">
      <alignment horizontal="center" vertical="top" wrapText="1"/>
    </xf>
    <xf numFmtId="2" fontId="4" fillId="0" borderId="0" xfId="0" applyNumberFormat="1" applyFont="1">
      <alignment vertical="top"/>
    </xf>
    <xf numFmtId="1" fontId="5" fillId="8" borderId="0" xfId="0" applyNumberFormat="1" applyFont="1" applyFill="1" applyAlignment="1">
      <alignment horizontal="center" vertical="top" wrapText="1"/>
    </xf>
    <xf numFmtId="4" fontId="5" fillId="8" borderId="0" xfId="0" applyNumberFormat="1" applyFont="1" applyFill="1" applyAlignment="1">
      <alignment horizontal="center" vertical="top" wrapText="1"/>
    </xf>
    <xf numFmtId="1" fontId="5" fillId="9" borderId="0" xfId="0" applyNumberFormat="1" applyFont="1" applyFill="1" applyAlignment="1">
      <alignment horizontal="center" vertical="top" wrapText="1"/>
    </xf>
    <xf numFmtId="4" fontId="5" fillId="9" borderId="0" xfId="0" applyNumberFormat="1" applyFont="1" applyFill="1" applyAlignment="1">
      <alignment horizontal="center" vertical="top" wrapText="1"/>
    </xf>
    <xf numFmtId="0" fontId="5" fillId="10" borderId="0" xfId="0" applyFont="1" applyFill="1" applyAlignment="1">
      <alignment horizontal="center" vertical="top" wrapText="1"/>
    </xf>
    <xf numFmtId="1" fontId="5" fillId="11" borderId="0" xfId="0" applyNumberFormat="1" applyFont="1" applyFill="1" applyAlignment="1">
      <alignment horizontal="center" vertical="top" wrapText="1"/>
    </xf>
    <xf numFmtId="4" fontId="5" fillId="11" borderId="0" xfId="0" applyNumberFormat="1" applyFont="1" applyFill="1" applyAlignment="1">
      <alignment horizontal="center" vertical="top" wrapText="1"/>
    </xf>
    <xf numFmtId="0" fontId="5" fillId="12" borderId="0" xfId="0" applyFont="1" applyFill="1" applyAlignment="1">
      <alignment horizontal="center" vertical="top" wrapText="1"/>
    </xf>
    <xf numFmtId="0" fontId="5" fillId="13" borderId="0" xfId="0" applyFont="1" applyFill="1" applyAlignment="1">
      <alignment horizontal="center" vertical="top" wrapText="1"/>
    </xf>
    <xf numFmtId="0" fontId="5" fillId="14" borderId="0" xfId="0" applyFont="1" applyFill="1" applyAlignment="1">
      <alignment horizontal="center" vertical="top" wrapText="1"/>
    </xf>
    <xf numFmtId="49" fontId="5" fillId="15" borderId="0" xfId="0" applyNumberFormat="1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Protection="1">
      <alignment vertical="top"/>
      <protection locked="0"/>
    </xf>
    <xf numFmtId="0" fontId="14" fillId="16" borderId="0" xfId="0" applyFont="1" applyFill="1" applyAlignment="1">
      <alignment horizontal="center" vertical="top" wrapText="1"/>
    </xf>
    <xf numFmtId="0" fontId="3" fillId="0" borderId="0" xfId="0" applyFont="1" applyAlignment="1" applyProtection="1">
      <alignment horizontal="right" vertical="top"/>
      <protection locked="0"/>
    </xf>
    <xf numFmtId="0" fontId="3" fillId="0" borderId="0" xfId="0" applyFont="1">
      <alignment vertical="top"/>
    </xf>
    <xf numFmtId="0" fontId="3" fillId="0" borderId="0" xfId="0" applyFont="1" applyAlignment="1">
      <alignment horizontal="center" vertical="top"/>
    </xf>
    <xf numFmtId="49" fontId="5" fillId="9" borderId="0" xfId="0" applyNumberFormat="1" applyFont="1" applyFill="1" applyAlignment="1">
      <alignment horizontal="center" vertical="top" wrapText="1"/>
    </xf>
    <xf numFmtId="4" fontId="0" fillId="0" borderId="0" xfId="0" applyNumberFormat="1" applyAlignment="1"/>
    <xf numFmtId="3" fontId="3" fillId="0" borderId="0" xfId="0" applyNumberFormat="1" applyFont="1" applyAlignment="1">
      <alignment horizontal="right" vertical="top"/>
    </xf>
    <xf numFmtId="3" fontId="3" fillId="0" borderId="0" xfId="0" applyNumberFormat="1" applyFont="1">
      <alignment vertical="top"/>
    </xf>
    <xf numFmtId="164" fontId="14" fillId="0" borderId="0" xfId="0" applyNumberFormat="1" applyFont="1" applyAlignment="1">
      <alignment horizontal="center" vertical="top" wrapText="1"/>
    </xf>
    <xf numFmtId="4" fontId="3" fillId="0" borderId="0" xfId="0" applyNumberFormat="1" applyFont="1">
      <alignment vertical="top"/>
    </xf>
    <xf numFmtId="4" fontId="5" fillId="17" borderId="0" xfId="0" applyNumberFormat="1" applyFont="1" applyFill="1" applyAlignment="1">
      <alignment horizontal="center" vertical="top" wrapText="1"/>
    </xf>
    <xf numFmtId="49" fontId="5" fillId="17" borderId="0" xfId="0" applyNumberFormat="1" applyFont="1" applyFill="1" applyAlignment="1">
      <alignment horizontal="center" vertical="top" wrapText="1"/>
    </xf>
    <xf numFmtId="1" fontId="5" fillId="17" borderId="0" xfId="0" applyNumberFormat="1" applyFont="1" applyFill="1" applyAlignment="1">
      <alignment horizontal="center" vertical="top" wrapText="1"/>
    </xf>
    <xf numFmtId="2" fontId="0" fillId="0" borderId="0" xfId="0" applyNumberFormat="1" applyAlignment="1"/>
    <xf numFmtId="4" fontId="14" fillId="9" borderId="0" xfId="0" applyNumberFormat="1" applyFont="1" applyFill="1" applyAlignment="1">
      <alignment horizontal="center" vertical="top" wrapText="1"/>
    </xf>
    <xf numFmtId="4" fontId="14" fillId="10" borderId="0" xfId="0" applyNumberFormat="1" applyFont="1" applyFill="1" applyAlignment="1">
      <alignment horizontal="center" vertical="top" wrapText="1"/>
    </xf>
    <xf numFmtId="3" fontId="14" fillId="10" borderId="0" xfId="0" applyNumberFormat="1" applyFont="1" applyFill="1" applyAlignment="1">
      <alignment horizontal="center" vertical="top" wrapText="1"/>
    </xf>
    <xf numFmtId="3" fontId="14" fillId="9" borderId="0" xfId="0" applyNumberFormat="1" applyFont="1" applyFill="1" applyAlignment="1">
      <alignment horizontal="center" vertical="top" wrapText="1"/>
    </xf>
    <xf numFmtId="4" fontId="14" fillId="11" borderId="0" xfId="0" applyNumberFormat="1" applyFont="1" applyFill="1" applyAlignment="1">
      <alignment horizontal="center" vertical="top" wrapText="1"/>
    </xf>
    <xf numFmtId="3" fontId="14" fillId="11" borderId="0" xfId="0" applyNumberFormat="1" applyFont="1" applyFill="1" applyAlignment="1">
      <alignment horizontal="center" vertical="top" wrapText="1"/>
    </xf>
    <xf numFmtId="43" fontId="17" fillId="0" borderId="1" xfId="1" applyFont="1" applyFill="1" applyBorder="1"/>
    <xf numFmtId="164" fontId="0" fillId="0" borderId="0" xfId="0" applyNumberFormat="1" applyAlignment="1"/>
    <xf numFmtId="49" fontId="5" fillId="11" borderId="0" xfId="0" applyNumberFormat="1" applyFont="1" applyFill="1" applyAlignment="1">
      <alignment horizontal="center" vertical="top" wrapText="1"/>
    </xf>
    <xf numFmtId="4" fontId="14" fillId="13" borderId="0" xfId="0" applyNumberFormat="1" applyFont="1" applyFill="1" applyAlignment="1">
      <alignment horizontal="center" vertical="top" wrapText="1"/>
    </xf>
    <xf numFmtId="3" fontId="14" fillId="13" borderId="0" xfId="0" applyNumberFormat="1" applyFont="1" applyFill="1" applyAlignment="1">
      <alignment horizontal="center" vertical="top" wrapText="1"/>
    </xf>
    <xf numFmtId="4" fontId="3" fillId="0" borderId="0" xfId="0" applyNumberFormat="1" applyFont="1" applyAlignment="1">
      <alignment horizontal="right" vertical="top"/>
    </xf>
    <xf numFmtId="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9" fontId="3" fillId="0" borderId="0" xfId="0" applyNumberFormat="1" applyFont="1">
      <alignment vertical="top"/>
    </xf>
    <xf numFmtId="4" fontId="14" fillId="0" borderId="0" xfId="0" applyNumberFormat="1" applyFont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top"/>
    </xf>
    <xf numFmtId="164" fontId="3" fillId="0" borderId="0" xfId="0" applyNumberFormat="1" applyFont="1">
      <alignment vertical="top"/>
    </xf>
    <xf numFmtId="0" fontId="15" fillId="0" borderId="0" xfId="0" applyFont="1" applyAlignment="1"/>
    <xf numFmtId="166" fontId="3" fillId="0" borderId="0" xfId="0" applyNumberFormat="1" applyFont="1">
      <alignment vertical="top"/>
    </xf>
    <xf numFmtId="166" fontId="3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left" vertical="top"/>
    </xf>
    <xf numFmtId="2" fontId="3" fillId="0" borderId="0" xfId="0" applyNumberFormat="1" applyFont="1">
      <alignment vertical="top"/>
    </xf>
    <xf numFmtId="1" fontId="16" fillId="0" borderId="1" xfId="0" applyNumberFormat="1" applyFont="1" applyBorder="1" applyAlignment="1">
      <alignment horizontal="left"/>
    </xf>
    <xf numFmtId="1" fontId="16" fillId="0" borderId="1" xfId="0" applyNumberFormat="1" applyFont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/>
    <xf numFmtId="4" fontId="17" fillId="0" borderId="1" xfId="0" applyNumberFormat="1" applyFont="1" applyBorder="1" applyAlignment="1">
      <alignment horizontal="right"/>
    </xf>
    <xf numFmtId="4" fontId="17" fillId="0" borderId="1" xfId="0" applyNumberFormat="1" applyFont="1" applyBorder="1" applyAlignment="1"/>
    <xf numFmtId="0" fontId="17" fillId="0" borderId="0" xfId="0" applyFont="1" applyAlignment="1"/>
    <xf numFmtId="0" fontId="17" fillId="0" borderId="1" xfId="0" applyFont="1" applyBorder="1">
      <alignment vertical="top"/>
    </xf>
    <xf numFmtId="166" fontId="17" fillId="0" borderId="1" xfId="0" applyNumberFormat="1" applyFont="1" applyBorder="1" applyAlignment="1"/>
    <xf numFmtId="166" fontId="17" fillId="0" borderId="1" xfId="0" applyNumberFormat="1" applyFont="1" applyBorder="1" applyAlignment="1">
      <alignment horizontal="right"/>
    </xf>
    <xf numFmtId="4" fontId="17" fillId="0" borderId="0" xfId="0" applyNumberFormat="1" applyFont="1" applyAlignment="1">
      <alignment horizontal="right" vertical="top"/>
    </xf>
    <xf numFmtId="4" fontId="17" fillId="0" borderId="1" xfId="0" applyNumberFormat="1" applyFont="1" applyBorder="1" applyAlignment="1">
      <alignment horizontal="right" vertical="top"/>
    </xf>
    <xf numFmtId="0" fontId="17" fillId="0" borderId="0" xfId="0" applyFont="1" applyAlignment="1">
      <alignment horizontal="left"/>
    </xf>
    <xf numFmtId="164" fontId="18" fillId="0" borderId="1" xfId="0" applyNumberFormat="1" applyFont="1" applyBorder="1" applyAlignment="1">
      <alignment horizontal="right" vertical="top"/>
    </xf>
    <xf numFmtId="4" fontId="17" fillId="0" borderId="1" xfId="0" applyNumberFormat="1" applyFont="1" applyBorder="1">
      <alignment vertical="top"/>
    </xf>
    <xf numFmtId="4" fontId="17" fillId="0" borderId="3" xfId="0" applyNumberFormat="1" applyFont="1" applyBorder="1" applyAlignment="1"/>
    <xf numFmtId="164" fontId="17" fillId="0" borderId="0" xfId="0" applyNumberFormat="1" applyFont="1" applyAlignment="1">
      <alignment horizontal="right"/>
    </xf>
    <xf numFmtId="164" fontId="17" fillId="0" borderId="1" xfId="0" applyNumberFormat="1" applyFont="1" applyBorder="1" applyAlignment="1">
      <alignment horizontal="right"/>
    </xf>
    <xf numFmtId="166" fontId="17" fillId="0" borderId="0" xfId="0" applyNumberFormat="1" applyFont="1" applyAlignment="1">
      <alignment horizontal="right" vertical="top"/>
    </xf>
    <xf numFmtId="167" fontId="17" fillId="0" borderId="1" xfId="0" applyNumberFormat="1" applyFont="1" applyBorder="1" applyAlignment="1"/>
    <xf numFmtId="164" fontId="17" fillId="0" borderId="1" xfId="0" applyNumberFormat="1" applyFont="1" applyBorder="1" applyAlignment="1"/>
    <xf numFmtId="168" fontId="17" fillId="0" borderId="1" xfId="0" applyNumberFormat="1" applyFont="1" applyBorder="1" applyAlignment="1"/>
    <xf numFmtId="4" fontId="17" fillId="0" borderId="0" xfId="0" applyNumberFormat="1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4" fontId="5" fillId="0" borderId="0" xfId="0" applyNumberFormat="1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4" fontId="11" fillId="0" borderId="0" xfId="0" applyNumberFormat="1" applyFont="1">
      <alignment vertical="top"/>
    </xf>
    <xf numFmtId="0" fontId="4" fillId="0" borderId="0" xfId="0" applyFont="1" applyAlignment="1">
      <alignment horizontal="left" vertical="top" wrapText="1" readingOrder="1"/>
    </xf>
    <xf numFmtId="16" fontId="4" fillId="0" borderId="0" xfId="0" applyNumberFormat="1" applyFont="1">
      <alignment vertical="top"/>
    </xf>
    <xf numFmtId="0" fontId="4" fillId="0" borderId="0" xfId="0" applyFont="1" applyAlignment="1">
      <alignment horizontal="left" vertical="top" readingOrder="1"/>
    </xf>
    <xf numFmtId="6" fontId="4" fillId="0" borderId="0" xfId="0" applyNumberFormat="1" applyFont="1">
      <alignment vertical="top"/>
    </xf>
    <xf numFmtId="49" fontId="4" fillId="0" borderId="0" xfId="0" applyNumberFormat="1" applyFont="1">
      <alignment vertical="top"/>
    </xf>
    <xf numFmtId="49" fontId="4" fillId="0" borderId="0" xfId="0" applyNumberFormat="1" applyFont="1" applyAlignment="1">
      <alignment horizontal="right" vertical="top"/>
    </xf>
    <xf numFmtId="4" fontId="4" fillId="0" borderId="0" xfId="0" applyNumberFormat="1" applyFont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4" fontId="5" fillId="0" borderId="1" xfId="0" applyNumberFormat="1" applyFont="1" applyFill="1" applyBorder="1" applyAlignment="1">
      <alignment horizontal="center" vertical="top" wrapText="1"/>
    </xf>
    <xf numFmtId="4" fontId="5" fillId="0" borderId="2" xfId="0" applyNumberFormat="1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0" fontId="4" fillId="0" borderId="1" xfId="0" applyFont="1" applyFill="1" applyBorder="1" applyAlignment="1">
      <alignment horizontal="left"/>
    </xf>
    <xf numFmtId="0" fontId="6" fillId="0" borderId="1" xfId="0" applyFont="1" applyFill="1" applyBorder="1">
      <alignment vertical="top"/>
    </xf>
    <xf numFmtId="4" fontId="6" fillId="0" borderId="1" xfId="0" applyNumberFormat="1" applyFont="1" applyFill="1" applyBorder="1">
      <alignment vertical="top"/>
    </xf>
    <xf numFmtId="0" fontId="6" fillId="0" borderId="0" xfId="0" applyFont="1" applyFill="1">
      <alignment vertical="top"/>
    </xf>
    <xf numFmtId="0" fontId="4" fillId="0" borderId="0" xfId="0" applyFont="1" applyFill="1">
      <alignment vertical="top"/>
    </xf>
    <xf numFmtId="4" fontId="4" fillId="0" borderId="1" xfId="0" applyNumberFormat="1" applyFont="1" applyFill="1" applyBorder="1">
      <alignment vertical="top"/>
    </xf>
    <xf numFmtId="0" fontId="4" fillId="0" borderId="1" xfId="0" applyFont="1" applyFill="1" applyBorder="1">
      <alignment vertical="top"/>
    </xf>
    <xf numFmtId="2" fontId="6" fillId="0" borderId="1" xfId="0" applyNumberFormat="1" applyFont="1" applyFill="1" applyBorder="1">
      <alignment vertical="top"/>
    </xf>
    <xf numFmtId="4" fontId="6" fillId="0" borderId="0" xfId="0" applyNumberFormat="1" applyFont="1" applyFill="1">
      <alignment vertical="top"/>
    </xf>
    <xf numFmtId="166" fontId="6" fillId="0" borderId="1" xfId="0" applyNumberFormat="1" applyFont="1" applyFill="1" applyBorder="1">
      <alignment vertical="top"/>
    </xf>
    <xf numFmtId="4" fontId="6" fillId="0" borderId="1" xfId="0" applyNumberFormat="1" applyFont="1" applyFill="1" applyBorder="1" applyAlignment="1">
      <alignment horizontal="right" vertical="top"/>
    </xf>
    <xf numFmtId="164" fontId="6" fillId="0" borderId="1" xfId="0" applyNumberFormat="1" applyFont="1" applyFill="1" applyBorder="1">
      <alignment vertical="top"/>
    </xf>
    <xf numFmtId="4" fontId="4" fillId="0" borderId="0" xfId="0" applyNumberFormat="1" applyFont="1" applyFill="1" applyAlignment="1">
      <alignment horizontal="right" vertical="top"/>
    </xf>
    <xf numFmtId="4" fontId="4" fillId="0" borderId="1" xfId="0" applyNumberFormat="1" applyFont="1" applyFill="1" applyBorder="1" applyAlignment="1"/>
    <xf numFmtId="2" fontId="6" fillId="0" borderId="0" xfId="0" applyNumberFormat="1" applyFont="1" applyFill="1">
      <alignment vertical="top"/>
    </xf>
    <xf numFmtId="167" fontId="6" fillId="0" borderId="1" xfId="0" applyNumberFormat="1" applyFont="1" applyFill="1" applyBorder="1">
      <alignment vertical="top"/>
    </xf>
    <xf numFmtId="165" fontId="6" fillId="0" borderId="1" xfId="0" applyNumberFormat="1" applyFont="1" applyFill="1" applyBorder="1">
      <alignment vertical="top"/>
    </xf>
    <xf numFmtId="167" fontId="6" fillId="0" borderId="0" xfId="0" applyNumberFormat="1" applyFont="1" applyFill="1">
      <alignment vertical="top"/>
    </xf>
    <xf numFmtId="0" fontId="6" fillId="0" borderId="3" xfId="0" applyFont="1" applyFill="1" applyBorder="1">
      <alignment vertical="top"/>
    </xf>
    <xf numFmtId="4" fontId="6" fillId="0" borderId="3" xfId="0" applyNumberFormat="1" applyFont="1" applyFill="1" applyBorder="1">
      <alignment vertical="top"/>
    </xf>
    <xf numFmtId="0" fontId="4" fillId="0" borderId="0" xfId="0" applyFont="1" applyFill="1" applyAlignment="1">
      <alignment horizontal="left"/>
    </xf>
  </cellXfs>
  <cellStyles count="11">
    <cellStyle name="Comma" xfId="1" builtinId="3"/>
    <cellStyle name="Comma 2" xfId="8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3 2" xfId="7" xr:uid="{00000000-0005-0000-0000-000005000000}"/>
    <cellStyle name="Normal 4" xfId="4" xr:uid="{00000000-0005-0000-0000-000006000000}"/>
    <cellStyle name="Normal 4 2" xfId="6" xr:uid="{00000000-0005-0000-0000-000007000000}"/>
    <cellStyle name="Normal 5" xfId="5" xr:uid="{00000000-0005-0000-0000-000008000000}"/>
    <cellStyle name="Percent 2" xfId="9" xr:uid="{00000000-0005-0000-0000-00000A000000}"/>
    <cellStyle name="Percent 3" xfId="10" xr:uid="{00000000-0005-0000-0000-00000B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N2583"/>
  <sheetViews>
    <sheetView zoomScale="120" zoomScaleNormal="120" workbookViewId="0">
      <pane xSplit="9192" ySplit="1044" topLeftCell="BH1" activePane="bottomLeft"/>
      <selection activeCell="BK2143" sqref="BK2143"/>
      <selection pane="topRight" activeCell="BL1" sqref="BL1"/>
      <selection pane="bottomLeft" activeCell="E22" sqref="E22"/>
      <selection pane="bottomRight" activeCell="BI16" sqref="BI16"/>
    </sheetView>
  </sheetViews>
  <sheetFormatPr defaultColWidth="9.33203125" defaultRowHeight="10.199999999999999"/>
  <cols>
    <col min="1" max="1" width="5.109375" style="6" customWidth="1"/>
    <col min="2" max="2" width="22.21875" style="1" customWidth="1"/>
    <col min="3" max="3" width="12.88671875" style="1" customWidth="1"/>
    <col min="4" max="5" width="8.77734375" style="7" customWidth="1"/>
    <col min="6" max="9" width="8.77734375" style="9" customWidth="1"/>
    <col min="10" max="12" width="8.77734375" style="1" customWidth="1"/>
    <col min="13" max="15" width="8.77734375" style="3" customWidth="1"/>
    <col min="16" max="17" width="8.77734375" style="1" customWidth="1"/>
    <col min="18" max="18" width="8.77734375" style="3" customWidth="1"/>
    <col min="19" max="20" width="8.77734375" style="1" customWidth="1"/>
    <col min="21" max="21" width="8.77734375" style="3" customWidth="1"/>
    <col min="22" max="23" width="8.77734375" style="1" customWidth="1"/>
    <col min="24" max="24" width="8.77734375" style="3" customWidth="1"/>
    <col min="25" max="25" width="8.77734375" style="1" customWidth="1"/>
    <col min="26" max="27" width="8.77734375" style="3" customWidth="1"/>
    <col min="28" max="29" width="8.77734375" style="1" customWidth="1"/>
    <col min="30" max="30" width="8.77734375" style="24" customWidth="1"/>
    <col min="31" max="32" width="8.77734375" style="1" customWidth="1"/>
    <col min="33" max="33" width="8.77734375" style="3" customWidth="1"/>
    <col min="34" max="35" width="8.77734375" style="1" customWidth="1"/>
    <col min="36" max="36" width="8.77734375" style="3" customWidth="1"/>
    <col min="37" max="38" width="8.77734375" style="1" customWidth="1"/>
    <col min="39" max="39" width="9.33203125" style="3"/>
    <col min="40" max="41" width="9.33203125" style="1"/>
    <col min="42" max="42" width="9.33203125" style="3"/>
    <col min="43" max="44" width="9.33203125" style="1"/>
    <col min="45" max="45" width="9.33203125" style="3"/>
    <col min="46" max="47" width="9.33203125" style="1"/>
    <col min="48" max="48" width="9.33203125" style="3"/>
    <col min="49" max="50" width="9.33203125" style="1"/>
    <col min="51" max="52" width="9.33203125" style="3"/>
    <col min="53" max="54" width="9.33203125" style="1"/>
    <col min="55" max="56" width="9.33203125" style="3"/>
    <col min="57" max="58" width="9.33203125" style="1"/>
    <col min="59" max="60" width="9.33203125" style="3"/>
    <col min="61" max="62" width="9.33203125" style="1"/>
    <col min="63" max="64" width="9.33203125" style="3"/>
    <col min="65" max="16384" width="9.33203125" style="1"/>
  </cols>
  <sheetData>
    <row r="1" spans="1:66" s="4" customFormat="1" ht="30.6">
      <c r="A1" s="4" t="s">
        <v>412</v>
      </c>
      <c r="B1" s="4" t="s">
        <v>757</v>
      </c>
      <c r="C1" s="4" t="s">
        <v>861</v>
      </c>
      <c r="D1" s="14">
        <v>2005</v>
      </c>
      <c r="E1" s="14" t="s">
        <v>425</v>
      </c>
      <c r="F1" s="16">
        <v>2006</v>
      </c>
      <c r="G1" s="16" t="s">
        <v>424</v>
      </c>
      <c r="H1" s="16" t="s">
        <v>426</v>
      </c>
      <c r="I1" s="16" t="s">
        <v>427</v>
      </c>
      <c r="J1" s="16" t="s">
        <v>175</v>
      </c>
      <c r="K1" s="15" t="s">
        <v>77</v>
      </c>
      <c r="L1" s="15" t="s">
        <v>660</v>
      </c>
      <c r="M1" s="11">
        <v>2007</v>
      </c>
      <c r="N1" s="13" t="s">
        <v>210</v>
      </c>
      <c r="O1" s="13" t="s">
        <v>194</v>
      </c>
      <c r="P1" s="13" t="s">
        <v>710</v>
      </c>
      <c r="Q1" s="11" t="s">
        <v>195</v>
      </c>
      <c r="R1" s="18">
        <v>2008</v>
      </c>
      <c r="S1" s="18" t="s">
        <v>65</v>
      </c>
      <c r="T1" s="17" t="s">
        <v>195</v>
      </c>
      <c r="U1" s="19">
        <v>2009</v>
      </c>
      <c r="V1" s="20" t="s">
        <v>78</v>
      </c>
      <c r="W1" s="19" t="s">
        <v>195</v>
      </c>
      <c r="X1" s="21">
        <v>2010</v>
      </c>
      <c r="Y1" s="21" t="s">
        <v>791</v>
      </c>
      <c r="Z1" s="22" t="s">
        <v>195</v>
      </c>
      <c r="AA1" s="13">
        <v>2011</v>
      </c>
      <c r="AB1" s="13" t="s">
        <v>280</v>
      </c>
      <c r="AC1" s="23" t="s">
        <v>195</v>
      </c>
      <c r="AD1" s="25">
        <v>2012</v>
      </c>
      <c r="AE1" s="25" t="s">
        <v>482</v>
      </c>
      <c r="AF1" s="26" t="s">
        <v>195</v>
      </c>
      <c r="AG1" s="27">
        <v>2013</v>
      </c>
      <c r="AH1" s="27" t="s">
        <v>795</v>
      </c>
      <c r="AI1" s="28" t="s">
        <v>195</v>
      </c>
      <c r="AJ1" s="30">
        <v>2014</v>
      </c>
      <c r="AK1" s="30" t="s">
        <v>818</v>
      </c>
      <c r="AL1" s="31" t="s">
        <v>195</v>
      </c>
      <c r="AM1" s="32">
        <v>2015</v>
      </c>
      <c r="AN1" s="32" t="s">
        <v>831</v>
      </c>
      <c r="AO1" s="32" t="s">
        <v>195</v>
      </c>
      <c r="AP1" s="33">
        <v>2016</v>
      </c>
      <c r="AQ1" s="33" t="s">
        <v>839</v>
      </c>
      <c r="AR1" s="33" t="s">
        <v>195</v>
      </c>
      <c r="AS1" s="34">
        <v>2017</v>
      </c>
      <c r="AT1" s="34" t="s">
        <v>841</v>
      </c>
      <c r="AU1" s="34" t="s">
        <v>842</v>
      </c>
      <c r="AV1" s="29">
        <v>2018</v>
      </c>
      <c r="AW1" s="29" t="s">
        <v>846</v>
      </c>
      <c r="AX1" s="29" t="s">
        <v>842</v>
      </c>
      <c r="AY1" s="35" t="s">
        <v>853</v>
      </c>
      <c r="AZ1" s="35">
        <v>2019</v>
      </c>
      <c r="BA1" s="35" t="s">
        <v>849</v>
      </c>
      <c r="BB1" s="35" t="s">
        <v>842</v>
      </c>
      <c r="BC1" s="28" t="s">
        <v>934</v>
      </c>
      <c r="BD1" s="28" t="s">
        <v>935</v>
      </c>
      <c r="BE1" s="45" t="s">
        <v>936</v>
      </c>
      <c r="BF1" s="45" t="s">
        <v>842</v>
      </c>
      <c r="BG1" s="51" t="s">
        <v>997</v>
      </c>
      <c r="BH1" s="53">
        <v>2021</v>
      </c>
      <c r="BI1" s="52" t="s">
        <v>998</v>
      </c>
      <c r="BJ1" s="52" t="s">
        <v>842</v>
      </c>
      <c r="BK1" s="31" t="s">
        <v>1093</v>
      </c>
      <c r="BL1" s="63">
        <v>2022</v>
      </c>
      <c r="BM1" s="63" t="s">
        <v>1094</v>
      </c>
      <c r="BN1" s="63" t="s">
        <v>842</v>
      </c>
    </row>
    <row r="2" spans="1:66">
      <c r="A2" s="6">
        <v>1</v>
      </c>
      <c r="B2" s="103" t="s">
        <v>510</v>
      </c>
      <c r="C2" s="1" t="s">
        <v>52</v>
      </c>
      <c r="D2" s="2"/>
      <c r="E2" s="2"/>
      <c r="F2" s="8">
        <v>0</v>
      </c>
      <c r="G2" s="8"/>
      <c r="H2" s="8">
        <v>0</v>
      </c>
      <c r="I2" s="8"/>
      <c r="J2" s="104"/>
      <c r="L2" s="104"/>
      <c r="M2" s="105"/>
      <c r="N2" s="105"/>
      <c r="O2" s="105"/>
      <c r="P2" s="104"/>
      <c r="R2" s="105"/>
      <c r="S2" s="104"/>
    </row>
    <row r="3" spans="1:66" s="104" customFormat="1">
      <c r="A3" s="6">
        <v>3</v>
      </c>
      <c r="B3" s="103" t="s">
        <v>510</v>
      </c>
      <c r="C3" s="1" t="s">
        <v>54</v>
      </c>
      <c r="D3" s="2"/>
      <c r="E3" s="2"/>
      <c r="F3" s="8">
        <v>0</v>
      </c>
      <c r="G3" s="8"/>
      <c r="H3" s="8">
        <v>0</v>
      </c>
      <c r="I3" s="8"/>
      <c r="J3" s="1"/>
      <c r="K3" s="1"/>
      <c r="L3" s="1"/>
      <c r="M3" s="3"/>
      <c r="N3" s="3"/>
      <c r="O3" s="3"/>
      <c r="P3" s="1"/>
      <c r="Q3" s="1"/>
      <c r="R3" s="3"/>
      <c r="S3" s="1"/>
      <c r="T3" s="1"/>
      <c r="U3" s="3"/>
      <c r="V3" s="1"/>
      <c r="W3" s="1"/>
      <c r="X3" s="3"/>
      <c r="Y3" s="1"/>
      <c r="Z3" s="3"/>
      <c r="AA3" s="3"/>
      <c r="AB3" s="1"/>
      <c r="AC3" s="1"/>
      <c r="AD3" s="24"/>
      <c r="AE3" s="1"/>
      <c r="AF3" s="1"/>
      <c r="AG3" s="105"/>
      <c r="AJ3" s="105"/>
      <c r="AM3" s="105"/>
      <c r="AP3" s="105"/>
      <c r="AS3" s="105"/>
      <c r="AV3" s="105"/>
      <c r="AY3" s="105"/>
      <c r="AZ3" s="105"/>
      <c r="BC3" s="105"/>
      <c r="BD3" s="105"/>
      <c r="BG3" s="105"/>
      <c r="BH3" s="105"/>
      <c r="BK3" s="105"/>
      <c r="BL3" s="105"/>
    </row>
    <row r="4" spans="1:66">
      <c r="A4" s="6">
        <v>4</v>
      </c>
      <c r="B4" s="103" t="s">
        <v>510</v>
      </c>
      <c r="C4" s="1" t="s">
        <v>55</v>
      </c>
      <c r="D4" s="2"/>
      <c r="E4" s="2"/>
      <c r="F4" s="8">
        <v>0</v>
      </c>
      <c r="G4" s="8"/>
      <c r="H4" s="8">
        <v>0</v>
      </c>
      <c r="I4" s="8"/>
    </row>
    <row r="5" spans="1:66">
      <c r="A5" s="6">
        <v>5</v>
      </c>
      <c r="B5" s="103" t="s">
        <v>510</v>
      </c>
      <c r="C5" s="1" t="s">
        <v>56</v>
      </c>
      <c r="D5" s="2"/>
      <c r="E5" s="2"/>
      <c r="F5" s="8">
        <v>0</v>
      </c>
      <c r="G5" s="8"/>
      <c r="H5" s="8">
        <v>0</v>
      </c>
      <c r="I5" s="8"/>
      <c r="U5" s="105"/>
      <c r="V5" s="104"/>
      <c r="W5" s="104"/>
    </row>
    <row r="6" spans="1:66">
      <c r="A6" s="6">
        <v>2</v>
      </c>
      <c r="B6" s="103" t="s">
        <v>510</v>
      </c>
      <c r="C6" s="1" t="s">
        <v>53</v>
      </c>
      <c r="D6" s="2"/>
      <c r="E6" s="2"/>
      <c r="F6" s="8">
        <f>150/13.6</f>
        <v>11.029411764705882</v>
      </c>
      <c r="G6" s="8"/>
      <c r="H6" s="8">
        <f>150/13.6</f>
        <v>11.029411764705882</v>
      </c>
      <c r="I6" s="8"/>
      <c r="J6" s="1" t="s">
        <v>273</v>
      </c>
      <c r="K6" s="3"/>
      <c r="L6" s="1" t="s">
        <v>69</v>
      </c>
      <c r="M6" s="3">
        <v>11.76</v>
      </c>
      <c r="O6" s="3">
        <v>11.76</v>
      </c>
      <c r="R6" s="3">
        <v>11.76</v>
      </c>
      <c r="T6" s="3">
        <f>R6-O6</f>
        <v>0</v>
      </c>
      <c r="U6" s="3">
        <v>12.5</v>
      </c>
      <c r="W6" s="3">
        <f>U6-R6</f>
        <v>0.74000000000000021</v>
      </c>
      <c r="X6" s="3">
        <v>9.8000000000000007</v>
      </c>
      <c r="Y6" s="104"/>
      <c r="Z6" s="3">
        <f>X6-U6</f>
        <v>-2.6999999999999993</v>
      </c>
      <c r="AA6" s="105"/>
      <c r="AB6" s="104"/>
      <c r="AC6" s="104"/>
      <c r="AD6" s="106"/>
      <c r="AE6" s="104"/>
      <c r="AF6" s="104"/>
    </row>
    <row r="7" spans="1:66">
      <c r="A7" s="6">
        <v>12</v>
      </c>
      <c r="B7" s="103" t="s">
        <v>510</v>
      </c>
      <c r="C7" s="1" t="s">
        <v>594</v>
      </c>
      <c r="D7" s="2"/>
      <c r="E7" s="2"/>
      <c r="F7" s="8">
        <f>150/13.6</f>
        <v>11.029411764705882</v>
      </c>
      <c r="G7" s="8"/>
      <c r="H7" s="8">
        <f>150/13.6</f>
        <v>11.029411764705882</v>
      </c>
      <c r="I7" s="8"/>
      <c r="J7" s="1" t="s">
        <v>273</v>
      </c>
      <c r="K7" s="3"/>
      <c r="L7" s="1" t="s">
        <v>66</v>
      </c>
      <c r="M7" s="3">
        <v>6.6</v>
      </c>
      <c r="O7" s="3">
        <v>6.6</v>
      </c>
      <c r="R7" s="3">
        <v>3.5</v>
      </c>
      <c r="T7" s="3">
        <f>R7-O7</f>
        <v>-3.0999999999999996</v>
      </c>
      <c r="U7" s="3">
        <v>4.3</v>
      </c>
      <c r="W7" s="3">
        <f>U7-R7</f>
        <v>0.79999999999999982</v>
      </c>
      <c r="X7" s="3">
        <v>7.6</v>
      </c>
      <c r="Z7" s="3">
        <f>X7-U7</f>
        <v>3.3</v>
      </c>
      <c r="AA7" s="3">
        <v>8</v>
      </c>
      <c r="AC7" s="3">
        <f>AA7-X7</f>
        <v>0.40000000000000036</v>
      </c>
      <c r="AD7" s="24">
        <v>6.25</v>
      </c>
      <c r="AG7" s="3">
        <v>7.31</v>
      </c>
      <c r="AI7" s="3">
        <f>AG7-AD7</f>
        <v>1.0599999999999996</v>
      </c>
      <c r="AJ7" s="3">
        <v>9.3699999999999992</v>
      </c>
      <c r="AL7" s="3">
        <f>AJ7-AG7</f>
        <v>2.0599999999999996</v>
      </c>
      <c r="AM7" s="3">
        <v>8.4</v>
      </c>
      <c r="AO7" s="3">
        <f>AM7-AJ7</f>
        <v>-0.96999999999999886</v>
      </c>
      <c r="AP7" s="3">
        <v>9.6</v>
      </c>
      <c r="AS7" s="3">
        <v>9.4</v>
      </c>
      <c r="AV7" s="3">
        <v>9.4</v>
      </c>
      <c r="AZ7" s="3">
        <v>8.1999999999999993</v>
      </c>
      <c r="BA7" s="1" t="s">
        <v>852</v>
      </c>
      <c r="BC7" s="3">
        <v>8.1999999999999993</v>
      </c>
      <c r="BD7" s="3">
        <v>6.6</v>
      </c>
      <c r="BE7" s="1" t="s">
        <v>852</v>
      </c>
      <c r="BG7" s="3">
        <v>6.6</v>
      </c>
      <c r="BH7" s="3">
        <v>8.82</v>
      </c>
      <c r="BI7" s="1" t="s">
        <v>852</v>
      </c>
    </row>
    <row r="8" spans="1:66">
      <c r="A8" s="6">
        <v>14</v>
      </c>
      <c r="B8" s="103" t="s">
        <v>510</v>
      </c>
      <c r="C8" s="1" t="s">
        <v>58</v>
      </c>
      <c r="D8" s="2"/>
      <c r="E8" s="2"/>
      <c r="F8" s="8">
        <f>220/13.6</f>
        <v>16.176470588235293</v>
      </c>
      <c r="G8" s="8"/>
      <c r="H8" s="8">
        <f>220/13.6</f>
        <v>16.176470588235293</v>
      </c>
      <c r="I8" s="8"/>
      <c r="J8" s="1" t="s">
        <v>275</v>
      </c>
      <c r="K8" s="3"/>
      <c r="L8" s="1" t="s">
        <v>203</v>
      </c>
      <c r="M8" s="3">
        <v>12.5</v>
      </c>
      <c r="O8" s="3">
        <v>12.5</v>
      </c>
      <c r="R8" s="3">
        <v>12.5</v>
      </c>
      <c r="T8" s="3">
        <f>R8-O8</f>
        <v>0</v>
      </c>
      <c r="U8" s="3">
        <v>9.75</v>
      </c>
      <c r="W8" s="3">
        <f>U8-R8</f>
        <v>-2.75</v>
      </c>
      <c r="X8" s="3">
        <v>13.8</v>
      </c>
      <c r="Z8" s="3">
        <f>X8-U8</f>
        <v>4.0500000000000007</v>
      </c>
      <c r="AA8" s="3">
        <v>17</v>
      </c>
      <c r="AC8" s="3">
        <f>AA8-X8</f>
        <v>3.1999999999999993</v>
      </c>
      <c r="AD8" s="24">
        <v>18.38</v>
      </c>
      <c r="AG8" s="3">
        <v>19.100000000000001</v>
      </c>
      <c r="AI8" s="3">
        <f>AG8-AD8</f>
        <v>0.72000000000000242</v>
      </c>
      <c r="AJ8" s="3">
        <v>16.7</v>
      </c>
      <c r="AL8" s="3">
        <f>AJ8-AG8</f>
        <v>-2.4000000000000021</v>
      </c>
      <c r="AM8" s="3">
        <v>15.9</v>
      </c>
      <c r="AO8" s="3">
        <f>AM8-AJ8</f>
        <v>-0.79999999999999893</v>
      </c>
      <c r="AP8" s="3">
        <v>17</v>
      </c>
      <c r="AS8" s="3">
        <v>17</v>
      </c>
      <c r="AV8" s="3">
        <v>17</v>
      </c>
      <c r="AZ8" s="3">
        <v>17</v>
      </c>
      <c r="BA8" s="1" t="s">
        <v>852</v>
      </c>
      <c r="BC8" s="3">
        <v>17</v>
      </c>
      <c r="BD8" s="3">
        <v>12.33</v>
      </c>
      <c r="BE8" s="1" t="s">
        <v>852</v>
      </c>
      <c r="BG8" s="3">
        <v>12.33</v>
      </c>
      <c r="BH8" s="3">
        <v>9.19</v>
      </c>
      <c r="BI8" s="1" t="s">
        <v>852</v>
      </c>
    </row>
    <row r="9" spans="1:66">
      <c r="B9" s="103" t="s">
        <v>510</v>
      </c>
      <c r="C9" s="1" t="s">
        <v>289</v>
      </c>
      <c r="D9" s="2"/>
      <c r="E9" s="2"/>
      <c r="F9" s="8"/>
      <c r="G9" s="8"/>
      <c r="H9" s="8"/>
      <c r="I9" s="8"/>
      <c r="K9" s="3"/>
      <c r="T9" s="3"/>
      <c r="AD9" s="24">
        <v>14.2</v>
      </c>
      <c r="AG9" s="3">
        <v>13.8</v>
      </c>
      <c r="AI9" s="3">
        <f>AG9-AD9</f>
        <v>-0.39999999999999858</v>
      </c>
      <c r="AM9" s="3">
        <v>14.7</v>
      </c>
      <c r="BC9" s="3">
        <v>2.67</v>
      </c>
      <c r="BD9" s="3">
        <v>2.67</v>
      </c>
      <c r="BE9" s="1" t="s">
        <v>852</v>
      </c>
      <c r="BG9" s="3">
        <v>2.67</v>
      </c>
      <c r="BH9" s="3">
        <v>9.23</v>
      </c>
      <c r="BI9" s="1" t="s">
        <v>852</v>
      </c>
    </row>
    <row r="10" spans="1:66">
      <c r="B10" s="103" t="s">
        <v>510</v>
      </c>
      <c r="C10" s="1" t="s">
        <v>290</v>
      </c>
      <c r="D10" s="2"/>
      <c r="E10" s="2"/>
      <c r="F10" s="8"/>
      <c r="G10" s="8"/>
      <c r="H10" s="8"/>
      <c r="I10" s="8"/>
      <c r="K10" s="3"/>
      <c r="T10" s="3"/>
      <c r="AJ10" s="3">
        <v>30</v>
      </c>
    </row>
    <row r="11" spans="1:66">
      <c r="B11" s="103" t="s">
        <v>510</v>
      </c>
      <c r="C11" s="1" t="s">
        <v>64</v>
      </c>
      <c r="D11" s="2"/>
      <c r="E11" s="2"/>
      <c r="F11" s="8"/>
      <c r="G11" s="8"/>
      <c r="H11" s="8"/>
      <c r="I11" s="8"/>
      <c r="K11" s="3"/>
      <c r="T11" s="3"/>
      <c r="U11" s="3">
        <v>10</v>
      </c>
      <c r="X11" s="3">
        <v>15.18</v>
      </c>
      <c r="Z11" s="3">
        <f>X11-U11</f>
        <v>5.18</v>
      </c>
      <c r="AD11" s="24">
        <v>19.3</v>
      </c>
      <c r="AG11" s="3">
        <v>21</v>
      </c>
      <c r="AI11" s="3">
        <f>AG11-AD11</f>
        <v>1.6999999999999993</v>
      </c>
      <c r="AJ11" s="3">
        <v>11.02</v>
      </c>
      <c r="AL11" s="3">
        <f>AJ11-AG11</f>
        <v>-9.98</v>
      </c>
      <c r="AM11" s="3">
        <v>10.199999999999999</v>
      </c>
      <c r="AO11" s="3">
        <f>AM11-AJ11</f>
        <v>-0.82000000000000028</v>
      </c>
      <c r="AP11" s="3">
        <v>11.6</v>
      </c>
      <c r="AS11" s="3">
        <v>11.6</v>
      </c>
      <c r="AV11" s="3">
        <v>11.6</v>
      </c>
      <c r="AZ11" s="3">
        <v>12</v>
      </c>
      <c r="BA11" s="1" t="s">
        <v>852</v>
      </c>
      <c r="BC11" s="3">
        <v>12</v>
      </c>
      <c r="BD11" s="3">
        <v>12</v>
      </c>
      <c r="BE11" s="1" t="s">
        <v>852</v>
      </c>
      <c r="BG11" s="3">
        <v>9.19</v>
      </c>
      <c r="BH11" s="3">
        <v>10</v>
      </c>
      <c r="BI11" s="1" t="s">
        <v>852</v>
      </c>
    </row>
    <row r="12" spans="1:66">
      <c r="B12" s="103" t="s">
        <v>510</v>
      </c>
      <c r="C12" s="1" t="s">
        <v>286</v>
      </c>
      <c r="D12" s="2"/>
      <c r="E12" s="2"/>
      <c r="F12" s="8"/>
      <c r="G12" s="8"/>
      <c r="H12" s="8"/>
      <c r="I12" s="8"/>
      <c r="K12" s="3"/>
      <c r="T12" s="3"/>
      <c r="U12" s="3">
        <v>10</v>
      </c>
      <c r="X12" s="3">
        <v>15.39</v>
      </c>
      <c r="Z12" s="3">
        <f>X12-U12</f>
        <v>5.3900000000000006</v>
      </c>
      <c r="AD12" s="24">
        <v>19.3</v>
      </c>
      <c r="AG12" s="3">
        <v>20</v>
      </c>
      <c r="AI12" s="3">
        <f>AG12-AD12</f>
        <v>0.69999999999999929</v>
      </c>
      <c r="AJ12" s="3">
        <v>13.23</v>
      </c>
      <c r="AL12" s="3">
        <f>AJ12-AG12</f>
        <v>-6.77</v>
      </c>
      <c r="AM12" s="3">
        <v>13.5</v>
      </c>
      <c r="AO12" s="3">
        <f>AM12-AJ12</f>
        <v>0.26999999999999957</v>
      </c>
      <c r="AP12" s="3">
        <v>13.8</v>
      </c>
      <c r="AS12" s="3">
        <v>13.8</v>
      </c>
    </row>
    <row r="13" spans="1:66">
      <c r="B13" s="103" t="s">
        <v>510</v>
      </c>
      <c r="C13" s="1" t="s">
        <v>288</v>
      </c>
      <c r="D13" s="2"/>
      <c r="E13" s="2"/>
      <c r="F13" s="8"/>
      <c r="G13" s="8"/>
      <c r="H13" s="8"/>
      <c r="I13" s="8"/>
      <c r="K13" s="3"/>
      <c r="T13" s="3"/>
      <c r="U13" s="3">
        <v>11</v>
      </c>
      <c r="X13" s="3">
        <v>15</v>
      </c>
      <c r="Z13" s="3">
        <f>X13-U13</f>
        <v>4</v>
      </c>
      <c r="AD13" s="24">
        <v>19.3</v>
      </c>
      <c r="AG13" s="3">
        <v>15</v>
      </c>
      <c r="AI13" s="3">
        <f>AG13-AD13</f>
        <v>-4.3000000000000007</v>
      </c>
      <c r="AJ13" s="3">
        <v>11.76</v>
      </c>
      <c r="AL13" s="3">
        <f>AJ13-AG13</f>
        <v>-3.24</v>
      </c>
      <c r="AM13" s="3">
        <v>11.7</v>
      </c>
      <c r="AO13" s="3">
        <f>AM13-AJ13</f>
        <v>-6.0000000000000497E-2</v>
      </c>
      <c r="AP13" s="3">
        <v>11.7</v>
      </c>
      <c r="AS13" s="3">
        <v>11.9</v>
      </c>
      <c r="BC13" s="3">
        <v>8.11</v>
      </c>
      <c r="BD13" s="3">
        <v>8.11</v>
      </c>
      <c r="BE13" s="1" t="s">
        <v>852</v>
      </c>
      <c r="BG13" s="3">
        <v>8.11</v>
      </c>
      <c r="BH13" s="3">
        <v>10.55</v>
      </c>
      <c r="BI13" s="1" t="s">
        <v>852</v>
      </c>
    </row>
    <row r="14" spans="1:66">
      <c r="A14" s="6">
        <v>11</v>
      </c>
      <c r="B14" s="103" t="s">
        <v>510</v>
      </c>
      <c r="C14" s="1" t="s">
        <v>57</v>
      </c>
      <c r="D14" s="2"/>
      <c r="E14" s="2"/>
      <c r="F14" s="8">
        <f>200/13.6</f>
        <v>14.705882352941178</v>
      </c>
      <c r="G14" s="8"/>
      <c r="H14" s="8">
        <f>200/13.6</f>
        <v>14.705882352941178</v>
      </c>
      <c r="I14" s="8"/>
      <c r="J14" s="1" t="s">
        <v>274</v>
      </c>
      <c r="U14" s="3">
        <v>10</v>
      </c>
      <c r="X14" s="3">
        <v>15.18</v>
      </c>
      <c r="Z14" s="3">
        <f>X14-U14</f>
        <v>5.18</v>
      </c>
    </row>
    <row r="15" spans="1:66">
      <c r="B15" s="103" t="s">
        <v>510</v>
      </c>
      <c r="C15" s="1" t="s">
        <v>287</v>
      </c>
      <c r="D15" s="2"/>
      <c r="E15" s="2"/>
      <c r="F15" s="8"/>
      <c r="G15" s="8"/>
      <c r="H15" s="8"/>
      <c r="I15" s="8"/>
      <c r="K15" s="3"/>
      <c r="T15" s="3"/>
      <c r="AD15" s="24">
        <v>19.3</v>
      </c>
      <c r="AV15" s="3">
        <v>13.8</v>
      </c>
      <c r="AZ15" s="3">
        <v>13.7</v>
      </c>
      <c r="BA15" s="1" t="s">
        <v>852</v>
      </c>
      <c r="BC15" s="3">
        <v>13.7</v>
      </c>
      <c r="BD15" s="3">
        <v>13.7</v>
      </c>
      <c r="BE15" s="1" t="s">
        <v>852</v>
      </c>
      <c r="BG15" s="3">
        <v>13.7</v>
      </c>
      <c r="BH15" s="3">
        <v>8.85</v>
      </c>
      <c r="BI15" s="1" t="s">
        <v>852</v>
      </c>
    </row>
    <row r="16" spans="1:66">
      <c r="A16" s="6">
        <v>1</v>
      </c>
      <c r="B16" s="103" t="s">
        <v>738</v>
      </c>
      <c r="C16" s="1" t="s">
        <v>52</v>
      </c>
      <c r="D16" s="2"/>
      <c r="E16" s="2"/>
      <c r="F16" s="8">
        <v>0</v>
      </c>
      <c r="G16" s="8"/>
      <c r="H16" s="8">
        <v>0</v>
      </c>
      <c r="I16" s="8"/>
      <c r="M16" s="105"/>
      <c r="N16" s="105"/>
      <c r="O16" s="105"/>
      <c r="P16" s="104"/>
    </row>
    <row r="17" spans="1:61">
      <c r="A17" s="6">
        <v>3</v>
      </c>
      <c r="B17" s="103" t="s">
        <v>738</v>
      </c>
      <c r="C17" s="1" t="s">
        <v>54</v>
      </c>
      <c r="D17" s="2"/>
      <c r="E17" s="2"/>
      <c r="F17" s="8">
        <v>0</v>
      </c>
      <c r="G17" s="8"/>
      <c r="H17" s="8">
        <v>0</v>
      </c>
      <c r="I17" s="8"/>
      <c r="U17" s="105"/>
      <c r="V17" s="104"/>
      <c r="W17" s="104"/>
    </row>
    <row r="18" spans="1:61">
      <c r="A18" s="6">
        <v>4</v>
      </c>
      <c r="B18" s="103" t="s">
        <v>738</v>
      </c>
      <c r="C18" s="1" t="s">
        <v>55</v>
      </c>
      <c r="D18" s="2"/>
      <c r="E18" s="2"/>
      <c r="F18" s="8">
        <v>0</v>
      </c>
      <c r="G18" s="8"/>
      <c r="H18" s="8">
        <v>0</v>
      </c>
      <c r="I18" s="8"/>
    </row>
    <row r="19" spans="1:61">
      <c r="A19" s="6">
        <v>5</v>
      </c>
      <c r="B19" s="103" t="s">
        <v>738</v>
      </c>
      <c r="C19" s="1" t="s">
        <v>56</v>
      </c>
      <c r="D19" s="2"/>
      <c r="E19" s="2"/>
      <c r="F19" s="8">
        <v>0</v>
      </c>
      <c r="G19" s="8"/>
      <c r="H19" s="8">
        <v>0</v>
      </c>
      <c r="I19" s="8"/>
    </row>
    <row r="20" spans="1:61">
      <c r="A20" s="6">
        <v>2</v>
      </c>
      <c r="B20" s="103" t="s">
        <v>738</v>
      </c>
      <c r="C20" s="1" t="s">
        <v>53</v>
      </c>
      <c r="D20" s="2">
        <v>5</v>
      </c>
      <c r="E20" s="2"/>
      <c r="F20" s="8">
        <v>7.5</v>
      </c>
      <c r="G20" s="8"/>
      <c r="H20" s="8">
        <v>7.5</v>
      </c>
      <c r="I20" s="8">
        <f>H20-D20</f>
        <v>2.5</v>
      </c>
      <c r="K20" s="3"/>
      <c r="M20" s="3">
        <v>8</v>
      </c>
      <c r="O20" s="3">
        <v>8</v>
      </c>
      <c r="Q20" s="3">
        <f>O20-H20</f>
        <v>0.5</v>
      </c>
      <c r="R20" s="3">
        <v>5.5</v>
      </c>
      <c r="T20" s="3">
        <f>R20-O20</f>
        <v>-2.5</v>
      </c>
      <c r="U20" s="3">
        <v>5.5</v>
      </c>
      <c r="W20" s="3">
        <f>U20-R20</f>
        <v>0</v>
      </c>
    </row>
    <row r="21" spans="1:61">
      <c r="B21" s="103" t="s">
        <v>738</v>
      </c>
      <c r="C21" s="1" t="s">
        <v>600</v>
      </c>
      <c r="D21" s="2"/>
      <c r="E21" s="2"/>
      <c r="F21" s="8"/>
      <c r="G21" s="8"/>
      <c r="H21" s="8"/>
      <c r="K21" s="3"/>
      <c r="Q21" s="3"/>
      <c r="T21" s="3"/>
      <c r="X21" s="3">
        <f>150/13</f>
        <v>11.538461538461538</v>
      </c>
      <c r="Y21" s="1" t="s">
        <v>624</v>
      </c>
    </row>
    <row r="22" spans="1:61">
      <c r="B22" s="103" t="s">
        <v>738</v>
      </c>
      <c r="C22" s="1" t="s">
        <v>595</v>
      </c>
      <c r="D22" s="2"/>
      <c r="E22" s="2"/>
      <c r="F22" s="8"/>
      <c r="G22" s="8"/>
      <c r="H22" s="8"/>
      <c r="I22" s="8"/>
      <c r="K22" s="3"/>
      <c r="Q22" s="3"/>
      <c r="T22" s="3"/>
      <c r="W22" s="3"/>
      <c r="AA22" s="3">
        <v>4.5999999999999996</v>
      </c>
    </row>
    <row r="23" spans="1:61">
      <c r="B23" s="103" t="s">
        <v>738</v>
      </c>
      <c r="C23" s="1" t="s">
        <v>596</v>
      </c>
      <c r="D23" s="2"/>
      <c r="E23" s="2"/>
      <c r="F23" s="8"/>
      <c r="G23" s="8"/>
      <c r="H23" s="8"/>
      <c r="K23" s="3"/>
      <c r="Q23" s="3"/>
      <c r="T23" s="3"/>
      <c r="X23" s="3">
        <f>60/13</f>
        <v>4.615384615384615</v>
      </c>
      <c r="Y23" s="1" t="s">
        <v>623</v>
      </c>
    </row>
    <row r="24" spans="1:61">
      <c r="A24" s="6">
        <v>12</v>
      </c>
      <c r="B24" s="103" t="s">
        <v>738</v>
      </c>
      <c r="C24" s="1" t="s">
        <v>594</v>
      </c>
      <c r="D24" s="2">
        <v>4</v>
      </c>
      <c r="E24" s="2"/>
      <c r="F24" s="8">
        <v>6</v>
      </c>
      <c r="G24" s="8"/>
      <c r="H24" s="8">
        <v>6</v>
      </c>
      <c r="I24" s="8">
        <f>H24-D24</f>
        <v>2</v>
      </c>
      <c r="K24" s="3"/>
      <c r="M24" s="3">
        <v>4.5</v>
      </c>
      <c r="O24" s="3">
        <v>4.5</v>
      </c>
      <c r="Q24" s="3">
        <f>O24-H24</f>
        <v>-1.5</v>
      </c>
      <c r="R24" s="3">
        <v>4.5</v>
      </c>
      <c r="T24" s="3">
        <f>R24-O24</f>
        <v>0</v>
      </c>
      <c r="U24" s="3">
        <v>4.5</v>
      </c>
      <c r="W24" s="3">
        <f>U24-R24</f>
        <v>0</v>
      </c>
      <c r="X24" s="3">
        <f>70/13</f>
        <v>5.384615384615385</v>
      </c>
      <c r="Y24" s="1" t="s">
        <v>622</v>
      </c>
      <c r="Z24" s="3">
        <f>X24-U24</f>
        <v>0.88461538461538503</v>
      </c>
      <c r="AA24" s="3">
        <v>5.4</v>
      </c>
      <c r="AC24" s="3">
        <f>AA24-X24</f>
        <v>1.538461538461533E-2</v>
      </c>
      <c r="AD24" s="24">
        <v>7.7</v>
      </c>
      <c r="AF24" s="24">
        <f>AD24-AA24</f>
        <v>2.2999999999999998</v>
      </c>
      <c r="AG24" s="3">
        <v>5.5</v>
      </c>
      <c r="AI24" s="3">
        <f>AG24-AD24</f>
        <v>-2.2000000000000002</v>
      </c>
      <c r="AJ24" s="3">
        <v>8</v>
      </c>
      <c r="AL24" s="3">
        <f>AJ24-AG24</f>
        <v>2.5</v>
      </c>
      <c r="AM24" s="3">
        <v>5</v>
      </c>
      <c r="AO24" s="3">
        <f>AM24-AJ24</f>
        <v>-3</v>
      </c>
      <c r="AP24" s="3">
        <v>5.2</v>
      </c>
      <c r="AS24" s="3">
        <v>5.2</v>
      </c>
      <c r="AV24" s="3">
        <v>6.5</v>
      </c>
      <c r="AY24" s="3">
        <v>6.5</v>
      </c>
      <c r="AZ24" s="3">
        <v>6.5</v>
      </c>
      <c r="BA24" s="1" t="s">
        <v>852</v>
      </c>
      <c r="BC24" s="3">
        <v>6.5</v>
      </c>
      <c r="BD24" s="3">
        <v>6.5</v>
      </c>
      <c r="BE24" s="1" t="s">
        <v>852</v>
      </c>
      <c r="BG24" s="3">
        <v>6.5</v>
      </c>
      <c r="BH24" s="3">
        <v>6.5</v>
      </c>
      <c r="BI24" s="1" t="s">
        <v>852</v>
      </c>
    </row>
    <row r="25" spans="1:61">
      <c r="B25" s="103" t="s">
        <v>738</v>
      </c>
      <c r="C25" s="1" t="s">
        <v>406</v>
      </c>
      <c r="D25" s="2"/>
      <c r="E25" s="2"/>
      <c r="F25" s="8"/>
      <c r="G25" s="8"/>
      <c r="H25" s="8"/>
      <c r="K25" s="3"/>
      <c r="Q25" s="3"/>
      <c r="T25" s="3"/>
      <c r="U25" s="3">
        <v>6</v>
      </c>
    </row>
    <row r="26" spans="1:61">
      <c r="A26" s="6">
        <v>14</v>
      </c>
      <c r="B26" s="103" t="s">
        <v>738</v>
      </c>
      <c r="C26" s="1" t="s">
        <v>58</v>
      </c>
      <c r="D26" s="2">
        <v>10</v>
      </c>
      <c r="E26" s="2"/>
      <c r="F26" s="8">
        <v>8</v>
      </c>
      <c r="G26" s="8"/>
      <c r="H26" s="8">
        <v>8</v>
      </c>
      <c r="I26" s="9">
        <f>H26-D26</f>
        <v>-2</v>
      </c>
      <c r="K26" s="3"/>
      <c r="M26" s="3">
        <v>8.5</v>
      </c>
      <c r="O26" s="3">
        <v>8.5</v>
      </c>
      <c r="Q26" s="3">
        <f>O26-H26</f>
        <v>0.5</v>
      </c>
      <c r="R26" s="3">
        <v>6</v>
      </c>
      <c r="S26" s="1" t="s">
        <v>247</v>
      </c>
      <c r="T26" s="3">
        <f>R26-O26</f>
        <v>-2.5</v>
      </c>
      <c r="X26" s="3">
        <f>155/13</f>
        <v>11.923076923076923</v>
      </c>
      <c r="Y26" s="1" t="s">
        <v>625</v>
      </c>
      <c r="AD26" s="24">
        <v>11</v>
      </c>
      <c r="AG26" s="3">
        <v>10.199999999999999</v>
      </c>
      <c r="AI26" s="3">
        <f>AG26-AD26</f>
        <v>-0.80000000000000071</v>
      </c>
      <c r="AJ26" s="3">
        <v>7.5</v>
      </c>
      <c r="AL26" s="3">
        <f>AJ26-AG26</f>
        <v>-2.6999999999999993</v>
      </c>
      <c r="AM26" s="3">
        <v>7.5</v>
      </c>
      <c r="AO26" s="3">
        <f>AM26-AJ26</f>
        <v>0</v>
      </c>
      <c r="AP26" s="3">
        <v>7.5</v>
      </c>
      <c r="AS26" s="3">
        <v>6.5</v>
      </c>
      <c r="AV26" s="3">
        <v>8.8000000000000007</v>
      </c>
      <c r="AY26" s="3">
        <v>8.8000000000000007</v>
      </c>
      <c r="AZ26" s="3">
        <v>8.6</v>
      </c>
      <c r="BA26" s="1" t="s">
        <v>852</v>
      </c>
      <c r="BC26" s="3">
        <v>8.6</v>
      </c>
      <c r="BD26" s="3">
        <v>7.5</v>
      </c>
      <c r="BE26" s="1" t="s">
        <v>852</v>
      </c>
      <c r="BG26" s="3">
        <v>7.5</v>
      </c>
      <c r="BH26" s="3">
        <v>9</v>
      </c>
      <c r="BI26" s="1" t="s">
        <v>852</v>
      </c>
    </row>
    <row r="27" spans="1:61">
      <c r="B27" s="103" t="s">
        <v>738</v>
      </c>
      <c r="C27" s="1" t="s">
        <v>607</v>
      </c>
      <c r="D27" s="2"/>
      <c r="E27" s="2"/>
      <c r="F27" s="8"/>
      <c r="G27" s="8"/>
      <c r="H27" s="8"/>
      <c r="K27" s="3"/>
      <c r="Q27" s="3"/>
      <c r="T27" s="3"/>
      <c r="AI27" s="3"/>
      <c r="AL27" s="3"/>
      <c r="AO27" s="3"/>
      <c r="AV27" s="3">
        <v>25</v>
      </c>
    </row>
    <row r="28" spans="1:61">
      <c r="B28" s="103" t="s">
        <v>738</v>
      </c>
      <c r="C28" s="1" t="s">
        <v>857</v>
      </c>
      <c r="D28" s="2"/>
      <c r="E28" s="2"/>
      <c r="F28" s="8"/>
      <c r="G28" s="8"/>
      <c r="H28" s="8"/>
      <c r="K28" s="3"/>
      <c r="Q28" s="3"/>
      <c r="T28" s="3"/>
      <c r="AI28" s="3"/>
      <c r="AL28" s="3"/>
      <c r="AO28" s="3"/>
      <c r="AY28" s="3">
        <v>10</v>
      </c>
      <c r="AZ28" s="3">
        <v>10</v>
      </c>
      <c r="BA28" s="1" t="s">
        <v>852</v>
      </c>
      <c r="BC28" s="3">
        <v>10</v>
      </c>
      <c r="BD28" s="3">
        <v>9.5</v>
      </c>
      <c r="BE28" s="1" t="s">
        <v>852</v>
      </c>
      <c r="BG28" s="3">
        <v>9.5</v>
      </c>
      <c r="BH28" s="3">
        <v>6.5</v>
      </c>
      <c r="BI28" s="1" t="s">
        <v>852</v>
      </c>
    </row>
    <row r="29" spans="1:61">
      <c r="B29" s="103" t="s">
        <v>738</v>
      </c>
      <c r="C29" s="1" t="s">
        <v>289</v>
      </c>
      <c r="D29" s="2"/>
      <c r="E29" s="2"/>
      <c r="F29" s="8"/>
      <c r="G29" s="8"/>
      <c r="H29" s="8"/>
      <c r="K29" s="3"/>
      <c r="Q29" s="3"/>
      <c r="T29" s="3"/>
      <c r="X29" s="3">
        <f>35/6.5</f>
        <v>5.384615384615385</v>
      </c>
      <c r="Y29" s="1" t="s">
        <v>629</v>
      </c>
      <c r="AD29" s="24">
        <v>2.2599999999999998</v>
      </c>
      <c r="AP29" s="3">
        <v>11</v>
      </c>
      <c r="AS29" s="3">
        <v>11</v>
      </c>
      <c r="AV29" s="3">
        <v>10</v>
      </c>
      <c r="AY29" s="3">
        <v>10</v>
      </c>
      <c r="AZ29" s="3">
        <v>9</v>
      </c>
      <c r="BA29" s="1" t="s">
        <v>852</v>
      </c>
      <c r="BC29" s="3">
        <v>9</v>
      </c>
      <c r="BD29" s="3">
        <v>10</v>
      </c>
      <c r="BE29" s="1" t="s">
        <v>852</v>
      </c>
      <c r="BG29" s="3">
        <v>10</v>
      </c>
      <c r="BH29" s="3">
        <v>20</v>
      </c>
      <c r="BI29" s="1" t="s">
        <v>852</v>
      </c>
    </row>
    <row r="30" spans="1:61">
      <c r="B30" s="103" t="s">
        <v>738</v>
      </c>
      <c r="C30" s="1" t="s">
        <v>290</v>
      </c>
      <c r="D30" s="2"/>
      <c r="E30" s="2"/>
      <c r="F30" s="8"/>
      <c r="G30" s="8"/>
      <c r="H30" s="8"/>
      <c r="K30" s="3"/>
      <c r="Q30" s="3"/>
      <c r="T30" s="3"/>
      <c r="AP30" s="3">
        <v>19</v>
      </c>
      <c r="AS30" s="3">
        <v>19</v>
      </c>
      <c r="AV30" s="3">
        <v>20</v>
      </c>
      <c r="AY30" s="3">
        <v>20</v>
      </c>
      <c r="AZ30" s="3">
        <v>20</v>
      </c>
      <c r="BA30" s="1" t="s">
        <v>852</v>
      </c>
      <c r="BC30" s="3">
        <v>20</v>
      </c>
      <c r="BD30" s="3">
        <v>25</v>
      </c>
      <c r="BE30" s="1" t="s">
        <v>852</v>
      </c>
      <c r="BG30" s="3">
        <v>25</v>
      </c>
      <c r="BH30" s="3">
        <v>20</v>
      </c>
      <c r="BI30" s="1" t="s">
        <v>852</v>
      </c>
    </row>
    <row r="31" spans="1:61">
      <c r="B31" s="103" t="s">
        <v>738</v>
      </c>
      <c r="C31" s="1" t="s">
        <v>64</v>
      </c>
      <c r="D31" s="2"/>
      <c r="E31" s="2"/>
      <c r="F31" s="8"/>
      <c r="G31" s="8"/>
      <c r="H31" s="8"/>
      <c r="K31" s="3"/>
      <c r="Q31" s="3"/>
      <c r="T31" s="3"/>
      <c r="X31" s="3">
        <f>143/13</f>
        <v>11</v>
      </c>
      <c r="Y31" s="1" t="s">
        <v>626</v>
      </c>
      <c r="AD31" s="24">
        <v>10.25</v>
      </c>
      <c r="AG31" s="3">
        <v>9.6999999999999993</v>
      </c>
      <c r="AI31" s="3">
        <f>AG31-AD31</f>
        <v>-0.55000000000000071</v>
      </c>
      <c r="AJ31" s="3">
        <v>11.6</v>
      </c>
      <c r="AL31" s="3">
        <f>AJ31-AG31</f>
        <v>1.9000000000000004</v>
      </c>
      <c r="AM31" s="3">
        <v>6.5</v>
      </c>
      <c r="AO31" s="3">
        <f>AM31-AJ31</f>
        <v>-5.0999999999999996</v>
      </c>
      <c r="AP31" s="3">
        <v>6.8</v>
      </c>
      <c r="AS31" s="3">
        <v>9.4</v>
      </c>
      <c r="AV31" s="3">
        <v>8.8000000000000007</v>
      </c>
      <c r="AY31" s="3">
        <v>8.8000000000000007</v>
      </c>
      <c r="AZ31" s="3">
        <v>9.3000000000000007</v>
      </c>
      <c r="BA31" s="1" t="s">
        <v>852</v>
      </c>
      <c r="BC31" s="3">
        <v>9.3000000000000007</v>
      </c>
      <c r="BD31" s="3">
        <v>9.5</v>
      </c>
      <c r="BE31" s="1" t="s">
        <v>852</v>
      </c>
      <c r="BG31" s="3">
        <v>9.5</v>
      </c>
      <c r="BH31" s="3">
        <v>9</v>
      </c>
      <c r="BI31" s="1" t="s">
        <v>852</v>
      </c>
    </row>
    <row r="32" spans="1:61">
      <c r="B32" s="103" t="s">
        <v>738</v>
      </c>
      <c r="C32" s="1" t="s">
        <v>855</v>
      </c>
      <c r="D32" s="2"/>
      <c r="E32" s="2"/>
      <c r="F32" s="8"/>
      <c r="G32" s="8"/>
      <c r="H32" s="8"/>
      <c r="K32" s="3"/>
      <c r="Q32" s="3"/>
      <c r="T32" s="3"/>
      <c r="AI32" s="3"/>
      <c r="AL32" s="3"/>
      <c r="AO32" s="3"/>
      <c r="BC32" s="3">
        <v>9</v>
      </c>
      <c r="BD32" s="3">
        <v>10</v>
      </c>
      <c r="BE32" s="1" t="s">
        <v>852</v>
      </c>
    </row>
    <row r="33" spans="1:64">
      <c r="B33" s="103" t="s">
        <v>738</v>
      </c>
      <c r="C33" s="1" t="s">
        <v>286</v>
      </c>
      <c r="D33" s="2"/>
      <c r="E33" s="2"/>
      <c r="F33" s="8"/>
      <c r="G33" s="8"/>
      <c r="H33" s="8"/>
      <c r="K33" s="3"/>
      <c r="Q33" s="3"/>
      <c r="T33" s="3"/>
      <c r="X33" s="3">
        <f>110/13</f>
        <v>8.4615384615384617</v>
      </c>
      <c r="Y33" s="1" t="s">
        <v>628</v>
      </c>
      <c r="AD33" s="24">
        <v>11</v>
      </c>
      <c r="AG33" s="3">
        <v>12</v>
      </c>
      <c r="AI33" s="3">
        <f>AG33-AD33</f>
        <v>1</v>
      </c>
      <c r="AJ33" s="3">
        <v>11.6</v>
      </c>
      <c r="AL33" s="3">
        <f>AJ33-AG33</f>
        <v>-0.40000000000000036</v>
      </c>
      <c r="AM33" s="3">
        <v>7</v>
      </c>
      <c r="AO33" s="3">
        <f>AM33-AJ33</f>
        <v>-4.5999999999999996</v>
      </c>
      <c r="AP33" s="3">
        <v>7.1</v>
      </c>
      <c r="AS33" s="3">
        <v>8</v>
      </c>
      <c r="AV33" s="3">
        <v>8.8000000000000007</v>
      </c>
      <c r="AY33" s="3">
        <v>8.8000000000000007</v>
      </c>
      <c r="AZ33" s="3">
        <v>9</v>
      </c>
      <c r="BA33" s="1" t="s">
        <v>852</v>
      </c>
      <c r="BG33" s="3">
        <v>10</v>
      </c>
      <c r="BH33" s="3">
        <v>9</v>
      </c>
      <c r="BI33" s="1" t="s">
        <v>852</v>
      </c>
    </row>
    <row r="34" spans="1:64">
      <c r="B34" s="103" t="s">
        <v>738</v>
      </c>
      <c r="C34" s="1" t="s">
        <v>288</v>
      </c>
      <c r="D34" s="2"/>
      <c r="E34" s="2"/>
      <c r="F34" s="8"/>
      <c r="G34" s="8"/>
      <c r="H34" s="8"/>
      <c r="K34" s="3"/>
      <c r="Q34" s="3"/>
      <c r="T34" s="3"/>
      <c r="X34" s="3">
        <f>140/13</f>
        <v>10.76923076923077</v>
      </c>
      <c r="Y34" s="1" t="s">
        <v>627</v>
      </c>
      <c r="AD34" s="24">
        <v>11</v>
      </c>
      <c r="AG34" s="3">
        <v>10.6</v>
      </c>
      <c r="AI34" s="3">
        <f>AG34-AD34</f>
        <v>-0.40000000000000036</v>
      </c>
      <c r="AJ34" s="3">
        <v>11.6</v>
      </c>
      <c r="AL34" s="3">
        <f>AJ34-AG34</f>
        <v>1</v>
      </c>
      <c r="AM34" s="3">
        <v>6.5</v>
      </c>
      <c r="AO34" s="3">
        <f>AM34-AJ34</f>
        <v>-5.0999999999999996</v>
      </c>
      <c r="AP34" s="3">
        <v>6.5</v>
      </c>
      <c r="AS34" s="3">
        <v>9</v>
      </c>
      <c r="AV34" s="3">
        <v>10.6</v>
      </c>
      <c r="AY34" s="3">
        <v>10.6</v>
      </c>
      <c r="AZ34" s="3">
        <v>9</v>
      </c>
      <c r="BA34" s="1" t="s">
        <v>852</v>
      </c>
      <c r="BC34" s="3">
        <v>9</v>
      </c>
      <c r="BD34" s="3">
        <v>10</v>
      </c>
      <c r="BE34" s="1" t="s">
        <v>852</v>
      </c>
      <c r="BG34" s="3">
        <v>10</v>
      </c>
      <c r="BH34" s="3">
        <v>9</v>
      </c>
      <c r="BI34" s="1" t="s">
        <v>852</v>
      </c>
    </row>
    <row r="35" spans="1:64">
      <c r="A35" s="6">
        <v>11</v>
      </c>
      <c r="B35" s="103" t="s">
        <v>738</v>
      </c>
      <c r="C35" s="1" t="s">
        <v>57</v>
      </c>
      <c r="D35" s="2"/>
      <c r="E35" s="2"/>
      <c r="F35" s="8">
        <v>0</v>
      </c>
      <c r="G35" s="8"/>
      <c r="H35" s="8">
        <v>0</v>
      </c>
      <c r="I35" s="8"/>
      <c r="X35" s="3">
        <f>150/13</f>
        <v>11.538461538461538</v>
      </c>
      <c r="Y35" s="1" t="s">
        <v>621</v>
      </c>
    </row>
    <row r="36" spans="1:64" ht="9.6" customHeight="1">
      <c r="B36" s="103" t="s">
        <v>738</v>
      </c>
      <c r="C36" s="1" t="s">
        <v>287</v>
      </c>
      <c r="D36" s="2"/>
      <c r="E36" s="2"/>
      <c r="F36" s="8"/>
      <c r="G36" s="8"/>
      <c r="H36" s="8"/>
      <c r="K36" s="3"/>
      <c r="Q36" s="3"/>
      <c r="T36" s="3"/>
      <c r="AD36" s="24">
        <v>14.65</v>
      </c>
      <c r="AG36" s="3">
        <v>14</v>
      </c>
      <c r="AI36" s="3">
        <f>AG36-AD36</f>
        <v>-0.65000000000000036</v>
      </c>
      <c r="AJ36" s="3">
        <v>11.6</v>
      </c>
      <c r="AL36" s="3">
        <f>AJ36-AG36</f>
        <v>-2.4000000000000004</v>
      </c>
      <c r="AM36" s="3">
        <v>7</v>
      </c>
      <c r="AO36" s="3">
        <f>AM36-AJ36</f>
        <v>-4.5999999999999996</v>
      </c>
      <c r="AP36" s="3">
        <v>6.9</v>
      </c>
      <c r="AS36" s="3">
        <v>9</v>
      </c>
      <c r="AV36" s="3">
        <v>11.5</v>
      </c>
      <c r="AY36" s="3">
        <v>11.5</v>
      </c>
      <c r="AZ36" s="3">
        <v>11</v>
      </c>
      <c r="BA36" s="1" t="s">
        <v>852</v>
      </c>
      <c r="BC36" s="3">
        <v>11</v>
      </c>
      <c r="BD36" s="3">
        <v>11</v>
      </c>
      <c r="BE36" s="1" t="s">
        <v>852</v>
      </c>
      <c r="BG36" s="3">
        <v>11</v>
      </c>
      <c r="BH36" s="3">
        <v>9</v>
      </c>
      <c r="BI36" s="1" t="s">
        <v>852</v>
      </c>
    </row>
    <row r="37" spans="1:64">
      <c r="A37" s="6">
        <v>1</v>
      </c>
      <c r="B37" s="103" t="s">
        <v>739</v>
      </c>
      <c r="C37" s="1" t="s">
        <v>52</v>
      </c>
      <c r="D37" s="2"/>
      <c r="E37" s="2"/>
      <c r="F37" s="9">
        <v>0</v>
      </c>
      <c r="G37" s="9">
        <v>7.31</v>
      </c>
      <c r="H37" s="9">
        <v>7.31</v>
      </c>
      <c r="M37" s="3">
        <v>3.9</v>
      </c>
      <c r="O37" s="3">
        <v>3.9</v>
      </c>
      <c r="Q37" s="3">
        <f>O37-H37</f>
        <v>-3.4099999999999997</v>
      </c>
      <c r="R37" s="3">
        <v>1.54</v>
      </c>
      <c r="T37" s="2">
        <f>R37-O37</f>
        <v>-2.36</v>
      </c>
      <c r="U37" s="3">
        <v>1.58</v>
      </c>
      <c r="W37" s="3">
        <f>U37-R37</f>
        <v>4.0000000000000036E-2</v>
      </c>
      <c r="AW37" s="1" t="s">
        <v>285</v>
      </c>
      <c r="BA37" s="1" t="s">
        <v>285</v>
      </c>
      <c r="BI37" s="1" t="s">
        <v>285</v>
      </c>
    </row>
    <row r="38" spans="1:64">
      <c r="A38" s="6">
        <v>3</v>
      </c>
      <c r="B38" s="103" t="s">
        <v>739</v>
      </c>
      <c r="C38" s="1" t="s">
        <v>54</v>
      </c>
      <c r="D38" s="2"/>
      <c r="E38" s="2"/>
      <c r="F38" s="9">
        <v>0</v>
      </c>
      <c r="H38" s="9">
        <v>0</v>
      </c>
      <c r="R38" s="3">
        <v>33.270000000000003</v>
      </c>
      <c r="U38" s="3">
        <v>20.38</v>
      </c>
      <c r="W38" s="3">
        <f>U38-R38</f>
        <v>-12.890000000000004</v>
      </c>
      <c r="AW38" s="1" t="s">
        <v>285</v>
      </c>
      <c r="BA38" s="1" t="s">
        <v>285</v>
      </c>
      <c r="BI38" s="1" t="s">
        <v>285</v>
      </c>
    </row>
    <row r="39" spans="1:64">
      <c r="A39" s="6">
        <v>4</v>
      </c>
      <c r="B39" s="103" t="s">
        <v>739</v>
      </c>
      <c r="C39" s="1" t="s">
        <v>55</v>
      </c>
      <c r="D39" s="2"/>
      <c r="E39" s="2"/>
      <c r="F39" s="9">
        <v>0</v>
      </c>
      <c r="H39" s="9">
        <v>0</v>
      </c>
      <c r="U39" s="3">
        <v>1.69</v>
      </c>
      <c r="X39" s="105"/>
      <c r="Y39" s="104"/>
      <c r="Z39" s="105"/>
      <c r="AA39" s="105"/>
      <c r="AB39" s="104"/>
      <c r="AC39" s="104"/>
      <c r="AD39" s="106"/>
      <c r="AE39" s="104"/>
      <c r="AF39" s="104"/>
      <c r="AW39" s="1" t="s">
        <v>285</v>
      </c>
      <c r="BA39" s="1" t="s">
        <v>285</v>
      </c>
      <c r="BI39" s="1" t="s">
        <v>285</v>
      </c>
    </row>
    <row r="40" spans="1:64" s="104" customFormat="1">
      <c r="A40" s="6">
        <v>5</v>
      </c>
      <c r="B40" s="103" t="s">
        <v>739</v>
      </c>
      <c r="C40" s="1" t="s">
        <v>56</v>
      </c>
      <c r="D40" s="2"/>
      <c r="E40" s="2"/>
      <c r="F40" s="9">
        <v>0</v>
      </c>
      <c r="G40" s="9"/>
      <c r="H40" s="9">
        <v>0</v>
      </c>
      <c r="I40" s="9"/>
      <c r="J40" s="1"/>
      <c r="K40" s="1"/>
      <c r="L40" s="1"/>
      <c r="M40" s="3">
        <v>5.12</v>
      </c>
      <c r="N40" s="3"/>
      <c r="O40" s="3">
        <v>5.12</v>
      </c>
      <c r="P40" s="1"/>
      <c r="Q40" s="1"/>
      <c r="R40" s="3">
        <v>5.12</v>
      </c>
      <c r="S40" s="1"/>
      <c r="T40" s="3">
        <f>R40-O40</f>
        <v>0</v>
      </c>
      <c r="U40" s="3"/>
      <c r="V40" s="1"/>
      <c r="W40" s="1"/>
      <c r="X40" s="3"/>
      <c r="Y40" s="1"/>
      <c r="Z40" s="3"/>
      <c r="AA40" s="3"/>
      <c r="AB40" s="1"/>
      <c r="AC40" s="1"/>
      <c r="AD40" s="24"/>
      <c r="AE40" s="1"/>
      <c r="AF40" s="1"/>
      <c r="AG40" s="105"/>
      <c r="AJ40" s="105"/>
      <c r="AM40" s="105"/>
      <c r="AP40" s="105"/>
      <c r="AS40" s="105"/>
      <c r="AV40" s="105"/>
      <c r="AW40" s="1" t="s">
        <v>285</v>
      </c>
      <c r="AY40" s="105"/>
      <c r="AZ40" s="105"/>
      <c r="BA40" s="1" t="s">
        <v>285</v>
      </c>
      <c r="BC40" s="105"/>
      <c r="BD40" s="105"/>
      <c r="BG40" s="105"/>
      <c r="BH40" s="105"/>
      <c r="BI40" s="1" t="s">
        <v>285</v>
      </c>
      <c r="BK40" s="105"/>
      <c r="BL40" s="105"/>
    </row>
    <row r="41" spans="1:64">
      <c r="A41" s="6">
        <v>2</v>
      </c>
      <c r="B41" s="103" t="s">
        <v>739</v>
      </c>
      <c r="C41" s="1" t="s">
        <v>53</v>
      </c>
      <c r="D41" s="2">
        <v>8.11</v>
      </c>
      <c r="E41" s="2"/>
      <c r="F41" s="9">
        <v>8.11</v>
      </c>
      <c r="H41" s="9">
        <v>8.11</v>
      </c>
      <c r="I41" s="10">
        <f>H41-D41</f>
        <v>0</v>
      </c>
      <c r="K41" s="3"/>
      <c r="M41" s="3">
        <v>5.16</v>
      </c>
      <c r="O41" s="3">
        <v>5.16</v>
      </c>
      <c r="Q41" s="3">
        <f>O41-H41</f>
        <v>-2.9499999999999993</v>
      </c>
      <c r="R41" s="3">
        <v>2.88</v>
      </c>
      <c r="T41" s="3">
        <f>R41-O41</f>
        <v>-2.2800000000000002</v>
      </c>
      <c r="U41" s="3">
        <v>1.94</v>
      </c>
      <c r="W41" s="3">
        <f>U41-R41</f>
        <v>-0.94</v>
      </c>
      <c r="AW41" s="1" t="s">
        <v>285</v>
      </c>
      <c r="BA41" s="1" t="s">
        <v>285</v>
      </c>
      <c r="BI41" s="1" t="s">
        <v>285</v>
      </c>
    </row>
    <row r="42" spans="1:64">
      <c r="B42" s="103" t="s">
        <v>739</v>
      </c>
      <c r="C42" s="1" t="s">
        <v>595</v>
      </c>
      <c r="D42" s="2"/>
      <c r="E42" s="2"/>
      <c r="I42" s="8"/>
      <c r="K42" s="3"/>
      <c r="M42" s="3">
        <v>3</v>
      </c>
      <c r="N42" s="3" t="s">
        <v>493</v>
      </c>
      <c r="O42" s="3">
        <v>3</v>
      </c>
      <c r="Q42" s="3"/>
      <c r="R42" s="3">
        <v>3</v>
      </c>
      <c r="S42" s="3" t="s">
        <v>493</v>
      </c>
      <c r="T42" s="3">
        <f>R42-O42</f>
        <v>0</v>
      </c>
      <c r="U42" s="3">
        <v>1.35</v>
      </c>
      <c r="W42" s="3">
        <f>U42-R42</f>
        <v>-1.65</v>
      </c>
      <c r="X42" s="3">
        <v>1.35</v>
      </c>
      <c r="Z42" s="3">
        <f>X42-U42</f>
        <v>0</v>
      </c>
      <c r="AA42" s="3">
        <v>3.31</v>
      </c>
      <c r="AC42" s="3">
        <f>AA42-X42</f>
        <v>1.96</v>
      </c>
      <c r="AD42" s="24">
        <v>2.7</v>
      </c>
      <c r="AG42" s="3">
        <v>3</v>
      </c>
      <c r="AI42" s="3">
        <f>AG42-AD42</f>
        <v>0.29999999999999982</v>
      </c>
      <c r="AJ42" s="3">
        <v>3.33</v>
      </c>
      <c r="AL42" s="3">
        <f>AJ42-AG42</f>
        <v>0.33000000000000007</v>
      </c>
      <c r="AM42" s="3">
        <v>3.51</v>
      </c>
      <c r="AO42" s="3">
        <f>AM42-AJ42</f>
        <v>0.17999999999999972</v>
      </c>
      <c r="AW42" s="1" t="s">
        <v>285</v>
      </c>
      <c r="BA42" s="1" t="s">
        <v>285</v>
      </c>
      <c r="BI42" s="1" t="s">
        <v>285</v>
      </c>
    </row>
    <row r="43" spans="1:64">
      <c r="B43" s="103" t="s">
        <v>739</v>
      </c>
      <c r="C43" s="1" t="s">
        <v>700</v>
      </c>
      <c r="D43" s="2"/>
      <c r="E43" s="2"/>
      <c r="I43" s="8"/>
      <c r="K43" s="3"/>
      <c r="Q43" s="3"/>
      <c r="S43" s="3"/>
      <c r="T43" s="3"/>
      <c r="U43" s="3">
        <v>3.42</v>
      </c>
      <c r="X43" s="3">
        <v>3.42</v>
      </c>
      <c r="Z43" s="3">
        <f>X43-U43</f>
        <v>0</v>
      </c>
      <c r="AA43" s="3">
        <v>3.42</v>
      </c>
      <c r="AC43" s="3">
        <f>AA43-X43</f>
        <v>0</v>
      </c>
      <c r="AD43" s="24">
        <v>3.42</v>
      </c>
      <c r="AG43" s="3">
        <v>3.42</v>
      </c>
      <c r="AJ43" s="3">
        <v>3.43</v>
      </c>
      <c r="AM43" s="3">
        <v>3.43</v>
      </c>
      <c r="AW43" s="1" t="s">
        <v>285</v>
      </c>
      <c r="BA43" s="1" t="s">
        <v>285</v>
      </c>
      <c r="BI43" s="1" t="s">
        <v>285</v>
      </c>
    </row>
    <row r="44" spans="1:64">
      <c r="A44" s="6">
        <v>12</v>
      </c>
      <c r="B44" s="103" t="s">
        <v>739</v>
      </c>
      <c r="C44" s="1" t="s">
        <v>594</v>
      </c>
      <c r="D44" s="2">
        <v>5.17</v>
      </c>
      <c r="E44" s="2"/>
      <c r="F44" s="9">
        <v>5.17</v>
      </c>
      <c r="H44" s="9">
        <v>5.17</v>
      </c>
      <c r="I44" s="8">
        <f>H44-D44</f>
        <v>0</v>
      </c>
      <c r="K44" s="3"/>
      <c r="M44" s="3">
        <v>2.33</v>
      </c>
      <c r="O44" s="3">
        <v>2.33</v>
      </c>
      <c r="Q44" s="3">
        <f>O44-H44</f>
        <v>-2.84</v>
      </c>
      <c r="R44" s="3">
        <v>2.81</v>
      </c>
      <c r="T44" s="3">
        <f>R44-O44</f>
        <v>0.48</v>
      </c>
      <c r="U44" s="3">
        <v>1.59</v>
      </c>
      <c r="W44" s="3">
        <f>U44-R44</f>
        <v>-1.22</v>
      </c>
      <c r="X44" s="3">
        <v>1.59</v>
      </c>
      <c r="Z44" s="3">
        <f>X44-U44</f>
        <v>0</v>
      </c>
      <c r="AA44" s="3">
        <v>5.37</v>
      </c>
      <c r="AC44" s="3">
        <f>AA44-X44</f>
        <v>3.7800000000000002</v>
      </c>
      <c r="AD44" s="24">
        <v>3.13</v>
      </c>
      <c r="AG44" s="3">
        <v>2.33</v>
      </c>
      <c r="AI44" s="3">
        <f>AG44-AD44</f>
        <v>-0.79999999999999982</v>
      </c>
      <c r="AJ44" s="3">
        <v>2.96</v>
      </c>
      <c r="AL44" s="3">
        <f>AJ44-AG44</f>
        <v>0.62999999999999989</v>
      </c>
      <c r="AM44" s="3">
        <v>3.4</v>
      </c>
      <c r="AO44" s="3">
        <f>AM44-AJ44</f>
        <v>0.43999999999999995</v>
      </c>
      <c r="AP44" s="3">
        <v>3.4</v>
      </c>
      <c r="AS44" s="3">
        <v>3.25</v>
      </c>
      <c r="AW44" s="1" t="s">
        <v>285</v>
      </c>
      <c r="BA44" s="1" t="s">
        <v>285</v>
      </c>
      <c r="BC44" s="3">
        <v>2.2799999999999998</v>
      </c>
      <c r="BD44" s="3">
        <v>2.21</v>
      </c>
      <c r="BE44" s="1" t="s">
        <v>948</v>
      </c>
      <c r="BI44" s="1" t="s">
        <v>285</v>
      </c>
    </row>
    <row r="45" spans="1:64">
      <c r="A45" s="6">
        <v>14</v>
      </c>
      <c r="B45" s="103" t="s">
        <v>739</v>
      </c>
      <c r="C45" s="1" t="s">
        <v>58</v>
      </c>
      <c r="D45" s="2">
        <v>14.51</v>
      </c>
      <c r="E45" s="2"/>
      <c r="F45" s="9">
        <v>14.51</v>
      </c>
      <c r="H45" s="9">
        <v>14.51</v>
      </c>
      <c r="I45" s="8">
        <f>H45-D45</f>
        <v>0</v>
      </c>
      <c r="K45" s="3"/>
      <c r="L45" s="1" t="s">
        <v>782</v>
      </c>
      <c r="M45" s="3">
        <v>8.07</v>
      </c>
      <c r="O45" s="3">
        <v>8.07</v>
      </c>
      <c r="Q45" s="3">
        <f>O45-H45</f>
        <v>-6.4399999999999995</v>
      </c>
      <c r="R45" s="3">
        <v>8.07</v>
      </c>
      <c r="T45" s="3">
        <f>R45-O45</f>
        <v>0</v>
      </c>
      <c r="AA45" s="3">
        <v>11.91</v>
      </c>
      <c r="AW45" s="1" t="s">
        <v>285</v>
      </c>
      <c r="BA45" s="1" t="s">
        <v>285</v>
      </c>
      <c r="BI45" s="1" t="s">
        <v>285</v>
      </c>
    </row>
    <row r="46" spans="1:64">
      <c r="B46" s="103" t="s">
        <v>739</v>
      </c>
      <c r="C46" s="1" t="s">
        <v>64</v>
      </c>
      <c r="D46" s="2"/>
      <c r="E46" s="2"/>
      <c r="I46" s="8"/>
      <c r="K46" s="3"/>
      <c r="Q46" s="3"/>
      <c r="S46" s="3"/>
      <c r="T46" s="3"/>
      <c r="AA46" s="3">
        <v>14.68</v>
      </c>
      <c r="AW46" s="1" t="s">
        <v>285</v>
      </c>
      <c r="BA46" s="1" t="s">
        <v>285</v>
      </c>
      <c r="BI46" s="1" t="s">
        <v>285</v>
      </c>
    </row>
    <row r="47" spans="1:64">
      <c r="B47" s="103" t="s">
        <v>739</v>
      </c>
      <c r="C47" s="1" t="s">
        <v>286</v>
      </c>
      <c r="D47" s="2"/>
      <c r="E47" s="2"/>
      <c r="I47" s="8"/>
      <c r="K47" s="3"/>
      <c r="Q47" s="3"/>
      <c r="S47" s="3"/>
      <c r="T47" s="3"/>
      <c r="AA47" s="3">
        <v>14.96</v>
      </c>
      <c r="AW47" s="1" t="s">
        <v>285</v>
      </c>
      <c r="BA47" s="1" t="s">
        <v>285</v>
      </c>
      <c r="BI47" s="1" t="s">
        <v>285</v>
      </c>
    </row>
    <row r="48" spans="1:64">
      <c r="A48" s="6">
        <v>11</v>
      </c>
      <c r="B48" s="103" t="s">
        <v>739</v>
      </c>
      <c r="C48" s="1" t="s">
        <v>57</v>
      </c>
      <c r="D48" s="2">
        <v>16.510000000000002</v>
      </c>
      <c r="E48" s="2"/>
      <c r="F48" s="9">
        <v>16.510000000000002</v>
      </c>
      <c r="H48" s="9">
        <v>16.510000000000002</v>
      </c>
      <c r="I48" s="8">
        <f>H48-D48</f>
        <v>0</v>
      </c>
      <c r="K48" s="3"/>
      <c r="AW48" s="1" t="s">
        <v>285</v>
      </c>
      <c r="BA48" s="1" t="s">
        <v>285</v>
      </c>
      <c r="BI48" s="1" t="s">
        <v>285</v>
      </c>
    </row>
    <row r="49" spans="1:60">
      <c r="A49" s="6">
        <v>1</v>
      </c>
      <c r="B49" s="1" t="s">
        <v>547</v>
      </c>
      <c r="C49" s="1" t="s">
        <v>52</v>
      </c>
      <c r="D49" s="2"/>
      <c r="E49" s="2"/>
      <c r="F49" s="8">
        <v>0</v>
      </c>
      <c r="G49" s="8"/>
      <c r="H49" s="8">
        <v>0</v>
      </c>
      <c r="I49" s="8"/>
      <c r="P49" s="1" t="s">
        <v>285</v>
      </c>
      <c r="R49" s="2">
        <v>22</v>
      </c>
      <c r="S49" s="104"/>
      <c r="T49" s="2"/>
      <c r="U49" s="3">
        <v>22</v>
      </c>
      <c r="W49" s="3">
        <f>U49-R49</f>
        <v>0</v>
      </c>
      <c r="Y49" s="1" t="s">
        <v>285</v>
      </c>
    </row>
    <row r="50" spans="1:60">
      <c r="A50" s="6">
        <v>3</v>
      </c>
      <c r="B50" s="1" t="s">
        <v>547</v>
      </c>
      <c r="C50" s="1" t="s">
        <v>54</v>
      </c>
      <c r="D50" s="2"/>
      <c r="E50" s="2"/>
      <c r="F50" s="8">
        <v>0</v>
      </c>
      <c r="G50" s="8"/>
      <c r="H50" s="8">
        <v>0</v>
      </c>
      <c r="I50" s="8"/>
      <c r="P50" s="1" t="s">
        <v>285</v>
      </c>
      <c r="Y50" s="1" t="s">
        <v>285</v>
      </c>
    </row>
    <row r="51" spans="1:60">
      <c r="A51" s="6">
        <v>4</v>
      </c>
      <c r="B51" s="1" t="s">
        <v>547</v>
      </c>
      <c r="C51" s="1" t="s">
        <v>55</v>
      </c>
      <c r="D51" s="2"/>
      <c r="E51" s="2"/>
      <c r="F51" s="8">
        <v>0</v>
      </c>
      <c r="G51" s="8"/>
      <c r="H51" s="8">
        <v>0</v>
      </c>
      <c r="I51" s="8"/>
      <c r="P51" s="1" t="s">
        <v>285</v>
      </c>
      <c r="Y51" s="1" t="s">
        <v>285</v>
      </c>
    </row>
    <row r="52" spans="1:60">
      <c r="A52" s="6">
        <v>5</v>
      </c>
      <c r="B52" s="1" t="s">
        <v>547</v>
      </c>
      <c r="C52" s="1" t="s">
        <v>56</v>
      </c>
      <c r="D52" s="2"/>
      <c r="E52" s="2"/>
      <c r="F52" s="8">
        <v>0</v>
      </c>
      <c r="G52" s="8"/>
      <c r="H52" s="8">
        <v>0</v>
      </c>
      <c r="I52" s="8"/>
      <c r="P52" s="1" t="s">
        <v>285</v>
      </c>
      <c r="Y52" s="1" t="s">
        <v>285</v>
      </c>
    </row>
    <row r="53" spans="1:60">
      <c r="A53" s="6">
        <v>2</v>
      </c>
      <c r="B53" s="1" t="s">
        <v>547</v>
      </c>
      <c r="C53" s="1" t="s">
        <v>53</v>
      </c>
      <c r="D53" s="2"/>
      <c r="E53" s="2"/>
      <c r="F53" s="8">
        <v>0</v>
      </c>
      <c r="G53" s="8"/>
      <c r="H53" s="8">
        <v>0</v>
      </c>
      <c r="I53" s="8"/>
      <c r="P53" s="1" t="s">
        <v>285</v>
      </c>
      <c r="R53" s="3">
        <v>18.5</v>
      </c>
      <c r="T53" s="3"/>
      <c r="U53" s="3">
        <v>18.5</v>
      </c>
      <c r="W53" s="3">
        <f>U53-R53</f>
        <v>0</v>
      </c>
      <c r="Y53" s="1" t="s">
        <v>285</v>
      </c>
    </row>
    <row r="54" spans="1:60">
      <c r="B54" s="1" t="s">
        <v>547</v>
      </c>
      <c r="C54" s="1" t="s">
        <v>595</v>
      </c>
      <c r="D54" s="2"/>
      <c r="E54" s="2"/>
      <c r="F54" s="8"/>
      <c r="G54" s="8"/>
      <c r="H54" s="8"/>
      <c r="I54" s="8"/>
      <c r="T54" s="3"/>
      <c r="W54" s="3"/>
      <c r="AI54" s="3"/>
      <c r="AL54" s="3"/>
      <c r="AO54" s="3"/>
      <c r="BC54" s="3">
        <v>4.7</v>
      </c>
      <c r="BD54" s="3">
        <v>7.1</v>
      </c>
      <c r="BG54" s="3">
        <v>7.1</v>
      </c>
      <c r="BH54" s="3">
        <v>9</v>
      </c>
    </row>
    <row r="55" spans="1:60">
      <c r="A55" s="6">
        <v>12</v>
      </c>
      <c r="B55" s="1" t="s">
        <v>547</v>
      </c>
      <c r="C55" s="1" t="s">
        <v>594</v>
      </c>
      <c r="D55" s="2"/>
      <c r="E55" s="2"/>
      <c r="F55" s="8">
        <v>0</v>
      </c>
      <c r="G55" s="8"/>
      <c r="H55" s="8">
        <v>0</v>
      </c>
      <c r="I55" s="8"/>
      <c r="P55" s="1" t="s">
        <v>285</v>
      </c>
      <c r="R55" s="3">
        <v>20</v>
      </c>
      <c r="T55" s="3"/>
      <c r="U55" s="3">
        <v>20</v>
      </c>
      <c r="W55" s="3">
        <f>U55-R55</f>
        <v>0</v>
      </c>
      <c r="Y55" s="1" t="s">
        <v>285</v>
      </c>
      <c r="AA55" s="3">
        <v>215</v>
      </c>
      <c r="AD55" s="24">
        <v>17</v>
      </c>
      <c r="AG55" s="3">
        <v>17</v>
      </c>
      <c r="AI55" s="3">
        <f>AG55-AD55</f>
        <v>0</v>
      </c>
      <c r="AJ55" s="3">
        <v>20</v>
      </c>
      <c r="AL55" s="3">
        <f>AJ55-AG55</f>
        <v>3</v>
      </c>
      <c r="AM55" s="3">
        <v>20</v>
      </c>
      <c r="AO55" s="3">
        <f>AM55-AJ55</f>
        <v>0</v>
      </c>
      <c r="AP55" s="3">
        <v>22</v>
      </c>
      <c r="AS55" s="3">
        <v>25</v>
      </c>
      <c r="AV55" s="3">
        <v>19</v>
      </c>
      <c r="AZ55" s="3">
        <v>19</v>
      </c>
      <c r="BC55" s="3">
        <v>4.7</v>
      </c>
      <c r="BD55" s="3">
        <v>7.1</v>
      </c>
      <c r="BG55" s="3">
        <v>7.1</v>
      </c>
      <c r="BH55" s="3">
        <v>9.5</v>
      </c>
    </row>
    <row r="56" spans="1:60">
      <c r="A56" s="6">
        <v>14</v>
      </c>
      <c r="B56" s="1" t="s">
        <v>547</v>
      </c>
      <c r="C56" s="1" t="s">
        <v>58</v>
      </c>
      <c r="D56" s="2"/>
      <c r="E56" s="2"/>
      <c r="F56" s="8">
        <v>0</v>
      </c>
      <c r="G56" s="8"/>
      <c r="H56" s="8">
        <v>0</v>
      </c>
      <c r="I56" s="8"/>
      <c r="P56" s="1" t="s">
        <v>285</v>
      </c>
      <c r="R56" s="3">
        <v>17</v>
      </c>
      <c r="T56" s="3"/>
      <c r="U56" s="3">
        <v>17</v>
      </c>
      <c r="W56" s="3">
        <f>U56-R56</f>
        <v>0</v>
      </c>
      <c r="Y56" s="1" t="s">
        <v>285</v>
      </c>
      <c r="AA56" s="3">
        <v>110</v>
      </c>
      <c r="AD56" s="24">
        <v>10</v>
      </c>
      <c r="AG56" s="3">
        <v>10</v>
      </c>
      <c r="AI56" s="3">
        <f>AG56-AD56</f>
        <v>0</v>
      </c>
      <c r="AJ56" s="3">
        <v>13</v>
      </c>
      <c r="AL56" s="3">
        <f>AJ56-AG56</f>
        <v>3</v>
      </c>
      <c r="AM56" s="3">
        <v>13</v>
      </c>
      <c r="AO56" s="3">
        <f>AM56-AJ56</f>
        <v>0</v>
      </c>
      <c r="AP56" s="3">
        <v>18</v>
      </c>
      <c r="AS56" s="3">
        <v>16</v>
      </c>
      <c r="AV56" s="3">
        <v>12</v>
      </c>
      <c r="AZ56" s="3">
        <v>12</v>
      </c>
      <c r="BH56" s="3">
        <v>8</v>
      </c>
    </row>
    <row r="57" spans="1:60">
      <c r="B57" s="1" t="s">
        <v>547</v>
      </c>
      <c r="C57" s="1" t="s">
        <v>857</v>
      </c>
      <c r="D57" s="2"/>
      <c r="E57" s="2"/>
      <c r="F57" s="8"/>
      <c r="G57" s="8"/>
      <c r="H57" s="8"/>
      <c r="I57" s="8"/>
      <c r="T57" s="3"/>
      <c r="W57" s="3"/>
      <c r="AI57" s="3"/>
      <c r="AL57" s="3"/>
      <c r="AO57" s="3"/>
      <c r="BH57" s="3">
        <v>7.5</v>
      </c>
    </row>
    <row r="58" spans="1:60" ht="9.6" customHeight="1">
      <c r="B58" s="1" t="s">
        <v>547</v>
      </c>
      <c r="C58" s="1" t="s">
        <v>289</v>
      </c>
      <c r="D58" s="2"/>
      <c r="E58" s="2"/>
      <c r="F58" s="8"/>
      <c r="G58" s="8"/>
      <c r="H58" s="8"/>
      <c r="I58" s="8"/>
      <c r="T58" s="3"/>
      <c r="W58" s="3"/>
      <c r="AA58" s="3">
        <v>105</v>
      </c>
      <c r="AD58" s="24">
        <v>7</v>
      </c>
      <c r="AG58" s="3">
        <v>7</v>
      </c>
      <c r="AI58" s="3">
        <f>AG58-AD58</f>
        <v>0</v>
      </c>
      <c r="AJ58" s="3">
        <v>7</v>
      </c>
      <c r="AL58" s="3">
        <f>AJ58-AG58</f>
        <v>0</v>
      </c>
      <c r="AM58" s="3">
        <v>7</v>
      </c>
      <c r="AO58" s="3">
        <f>AM58-AJ58</f>
        <v>0</v>
      </c>
      <c r="AP58" s="3">
        <v>9</v>
      </c>
      <c r="AS58" s="3">
        <v>9</v>
      </c>
      <c r="AV58" s="3">
        <v>9</v>
      </c>
      <c r="AZ58" s="3">
        <v>9</v>
      </c>
      <c r="BH58" s="3">
        <v>8</v>
      </c>
    </row>
    <row r="59" spans="1:60">
      <c r="B59" s="1" t="s">
        <v>547</v>
      </c>
      <c r="C59" s="1" t="s">
        <v>290</v>
      </c>
      <c r="D59" s="2"/>
      <c r="E59" s="2"/>
      <c r="F59" s="8"/>
      <c r="G59" s="8"/>
      <c r="H59" s="8"/>
      <c r="I59" s="8"/>
      <c r="T59" s="3"/>
      <c r="W59" s="3"/>
      <c r="AD59" s="24">
        <v>9</v>
      </c>
      <c r="AG59" s="3">
        <v>9</v>
      </c>
      <c r="AI59" s="3">
        <f>AG59-AD59</f>
        <v>0</v>
      </c>
      <c r="AJ59" s="3">
        <v>9</v>
      </c>
      <c r="AL59" s="3">
        <f>AJ59-AG59</f>
        <v>0</v>
      </c>
      <c r="AM59" s="3">
        <v>9</v>
      </c>
      <c r="AO59" s="3">
        <f>AM59-AJ59</f>
        <v>0</v>
      </c>
      <c r="AP59" s="3">
        <v>10</v>
      </c>
      <c r="AS59" s="3">
        <v>10</v>
      </c>
      <c r="AV59" s="3">
        <v>11</v>
      </c>
      <c r="AZ59" s="3">
        <v>11</v>
      </c>
      <c r="BH59" s="3">
        <v>9</v>
      </c>
    </row>
    <row r="60" spans="1:60">
      <c r="B60" s="1" t="s">
        <v>547</v>
      </c>
      <c r="C60" s="1" t="s">
        <v>64</v>
      </c>
      <c r="D60" s="2"/>
      <c r="E60" s="2"/>
      <c r="F60" s="8"/>
      <c r="G60" s="8"/>
      <c r="H60" s="8"/>
      <c r="I60" s="8"/>
      <c r="T60" s="3"/>
      <c r="W60" s="3"/>
      <c r="AA60" s="3">
        <v>140</v>
      </c>
      <c r="AG60" s="3">
        <v>11</v>
      </c>
      <c r="AJ60" s="3">
        <v>12</v>
      </c>
      <c r="AL60" s="3">
        <f>AJ60-AG60</f>
        <v>1</v>
      </c>
      <c r="AM60" s="3">
        <v>12</v>
      </c>
      <c r="AO60" s="3">
        <f>AM60-AJ60</f>
        <v>0</v>
      </c>
      <c r="AP60" s="3">
        <v>15</v>
      </c>
      <c r="AS60" s="3">
        <v>15</v>
      </c>
      <c r="AV60" s="3">
        <v>16</v>
      </c>
      <c r="AZ60" s="3">
        <v>16</v>
      </c>
      <c r="BH60" s="3">
        <v>9</v>
      </c>
    </row>
    <row r="61" spans="1:60">
      <c r="B61" s="1" t="s">
        <v>547</v>
      </c>
      <c r="C61" s="1" t="s">
        <v>286</v>
      </c>
      <c r="D61" s="2"/>
      <c r="E61" s="2"/>
      <c r="F61" s="8"/>
      <c r="G61" s="8"/>
      <c r="H61" s="8"/>
      <c r="I61" s="8"/>
      <c r="T61" s="3"/>
      <c r="W61" s="3"/>
      <c r="AA61" s="3">
        <v>140</v>
      </c>
      <c r="AD61" s="24">
        <v>12</v>
      </c>
      <c r="AG61" s="3">
        <v>12</v>
      </c>
      <c r="AI61" s="3">
        <f>AG61-AD61</f>
        <v>0</v>
      </c>
      <c r="AJ61" s="3">
        <v>14</v>
      </c>
      <c r="AL61" s="3">
        <f>AJ61-AG61</f>
        <v>2</v>
      </c>
      <c r="AM61" s="3">
        <v>14</v>
      </c>
      <c r="AO61" s="3">
        <f>AM61-AJ61</f>
        <v>0</v>
      </c>
      <c r="AP61" s="3">
        <v>15</v>
      </c>
      <c r="AS61" s="3">
        <v>13</v>
      </c>
      <c r="AV61" s="3">
        <v>16</v>
      </c>
      <c r="AZ61" s="3">
        <v>16</v>
      </c>
      <c r="BH61" s="3">
        <v>9</v>
      </c>
    </row>
    <row r="62" spans="1:60">
      <c r="B62" s="1" t="s">
        <v>547</v>
      </c>
      <c r="C62" s="1" t="s">
        <v>288</v>
      </c>
      <c r="D62" s="2"/>
      <c r="E62" s="2"/>
      <c r="F62" s="8"/>
      <c r="G62" s="8"/>
      <c r="H62" s="8"/>
      <c r="I62" s="8"/>
      <c r="T62" s="3"/>
      <c r="W62" s="3"/>
      <c r="AA62" s="3">
        <v>140</v>
      </c>
      <c r="AD62" s="24">
        <v>13</v>
      </c>
      <c r="AG62" s="3">
        <v>13</v>
      </c>
      <c r="AI62" s="3">
        <f>AG62-AD62</f>
        <v>0</v>
      </c>
      <c r="AJ62" s="3">
        <v>12</v>
      </c>
      <c r="AL62" s="3">
        <f>AJ62-AG62</f>
        <v>-1</v>
      </c>
      <c r="AM62" s="3">
        <v>12</v>
      </c>
      <c r="AO62" s="3">
        <f>AM62-AJ62</f>
        <v>0</v>
      </c>
      <c r="AP62" s="3">
        <v>14</v>
      </c>
      <c r="AS62" s="3">
        <v>13</v>
      </c>
      <c r="AV62" s="3">
        <v>16</v>
      </c>
      <c r="AZ62" s="3">
        <v>16</v>
      </c>
      <c r="BH62" s="3">
        <v>9</v>
      </c>
    </row>
    <row r="63" spans="1:60">
      <c r="A63" s="6">
        <v>11</v>
      </c>
      <c r="B63" s="1" t="s">
        <v>547</v>
      </c>
      <c r="C63" s="1" t="s">
        <v>57</v>
      </c>
      <c r="D63" s="2"/>
      <c r="E63" s="2"/>
      <c r="F63" s="8">
        <v>0</v>
      </c>
      <c r="G63" s="8"/>
      <c r="H63" s="8">
        <v>0</v>
      </c>
      <c r="I63" s="8"/>
      <c r="P63" s="1" t="s">
        <v>285</v>
      </c>
      <c r="R63" s="3">
        <v>25</v>
      </c>
      <c r="T63" s="3"/>
      <c r="U63" s="3">
        <v>25</v>
      </c>
      <c r="W63" s="3">
        <f>U63-R63</f>
        <v>0</v>
      </c>
      <c r="Y63" s="1" t="s">
        <v>285</v>
      </c>
    </row>
    <row r="64" spans="1:60">
      <c r="B64" s="1" t="s">
        <v>547</v>
      </c>
      <c r="C64" s="1" t="s">
        <v>287</v>
      </c>
      <c r="D64" s="2"/>
      <c r="E64" s="2"/>
      <c r="F64" s="8"/>
      <c r="G64" s="8"/>
      <c r="H64" s="8"/>
      <c r="I64" s="8"/>
      <c r="T64" s="3"/>
      <c r="W64" s="3"/>
      <c r="AA64" s="3">
        <v>130</v>
      </c>
    </row>
    <row r="65" spans="1:60">
      <c r="A65" s="6">
        <v>1</v>
      </c>
      <c r="B65" s="1" t="s">
        <v>740</v>
      </c>
      <c r="C65" s="1" t="s">
        <v>52</v>
      </c>
      <c r="D65" s="2"/>
      <c r="E65" s="2"/>
      <c r="F65" s="8"/>
      <c r="G65" s="8"/>
      <c r="H65" s="8"/>
      <c r="I65" s="8"/>
    </row>
    <row r="66" spans="1:60">
      <c r="A66" s="6">
        <v>3</v>
      </c>
      <c r="B66" s="1" t="s">
        <v>740</v>
      </c>
      <c r="C66" s="1" t="s">
        <v>54</v>
      </c>
      <c r="D66" s="2"/>
      <c r="E66" s="2"/>
      <c r="F66" s="8"/>
      <c r="G66" s="8"/>
      <c r="H66" s="8"/>
      <c r="I66" s="8"/>
    </row>
    <row r="67" spans="1:60">
      <c r="A67" s="6">
        <v>4</v>
      </c>
      <c r="B67" s="1" t="s">
        <v>740</v>
      </c>
      <c r="C67" s="1" t="s">
        <v>55</v>
      </c>
      <c r="D67" s="2"/>
      <c r="E67" s="2"/>
      <c r="F67" s="8"/>
      <c r="G67" s="8"/>
      <c r="H67" s="8"/>
      <c r="I67" s="8"/>
    </row>
    <row r="68" spans="1:60">
      <c r="A68" s="6">
        <v>5</v>
      </c>
      <c r="B68" s="1" t="s">
        <v>740</v>
      </c>
      <c r="C68" s="1" t="s">
        <v>56</v>
      </c>
      <c r="D68" s="2"/>
      <c r="E68" s="2"/>
      <c r="F68" s="8"/>
      <c r="G68" s="8"/>
      <c r="H68" s="8"/>
      <c r="I68" s="8"/>
    </row>
    <row r="69" spans="1:60">
      <c r="A69" s="6">
        <v>2</v>
      </c>
      <c r="B69" s="1" t="s">
        <v>740</v>
      </c>
      <c r="C69" s="1" t="s">
        <v>53</v>
      </c>
      <c r="D69" s="2"/>
      <c r="E69" s="2"/>
      <c r="F69" s="8"/>
      <c r="G69" s="8">
        <v>38.130000000000003</v>
      </c>
      <c r="H69" s="8">
        <v>38.130000000000003</v>
      </c>
      <c r="I69" s="8"/>
      <c r="M69" s="3">
        <f>787/13.6</f>
        <v>57.867647058823529</v>
      </c>
      <c r="O69" s="3">
        <f>787/13.6</f>
        <v>57.867647058823529</v>
      </c>
      <c r="P69" s="1" t="s">
        <v>184</v>
      </c>
      <c r="Q69" s="3">
        <f>O69-H69</f>
        <v>19.737647058823526</v>
      </c>
      <c r="R69" s="3">
        <v>18.36</v>
      </c>
      <c r="T69" s="3">
        <f>R69-O69</f>
        <v>-39.50764705882353</v>
      </c>
    </row>
    <row r="70" spans="1:60">
      <c r="A70" s="6">
        <v>12</v>
      </c>
      <c r="B70" s="1" t="s">
        <v>740</v>
      </c>
      <c r="C70" s="1" t="s">
        <v>594</v>
      </c>
      <c r="D70" s="2"/>
      <c r="E70" s="2"/>
      <c r="F70" s="8"/>
      <c r="G70" s="8">
        <v>7.47</v>
      </c>
      <c r="H70" s="8">
        <v>7.47</v>
      </c>
      <c r="I70" s="8"/>
      <c r="M70" s="3">
        <f>107/13.6</f>
        <v>7.8676470588235299</v>
      </c>
      <c r="O70" s="3">
        <f>107/13.6</f>
        <v>7.8676470588235299</v>
      </c>
      <c r="P70" s="1" t="s">
        <v>186</v>
      </c>
      <c r="Q70" s="3">
        <f>O70-H70</f>
        <v>0.39764705882353013</v>
      </c>
      <c r="R70" s="3">
        <v>7.46</v>
      </c>
      <c r="T70" s="3">
        <f>R70-O70</f>
        <v>-0.40764705882352992</v>
      </c>
      <c r="U70" s="3">
        <f>69/14</f>
        <v>4.9285714285714288</v>
      </c>
      <c r="V70" s="1" t="s">
        <v>229</v>
      </c>
      <c r="W70" s="3">
        <f>U70-R70</f>
        <v>-2.5314285714285711</v>
      </c>
      <c r="X70" s="3">
        <v>10.41</v>
      </c>
      <c r="Z70" s="3">
        <f>X70-U70</f>
        <v>5.4814285714285713</v>
      </c>
      <c r="AA70" s="3">
        <v>11</v>
      </c>
      <c r="AC70" s="3">
        <f>AA70-X70</f>
        <v>0.58999999999999986</v>
      </c>
      <c r="AD70" s="24">
        <v>10.8</v>
      </c>
      <c r="AG70" s="3">
        <v>10.8</v>
      </c>
      <c r="AI70" s="3">
        <f>AG70-AD70</f>
        <v>0</v>
      </c>
      <c r="AJ70" s="3">
        <v>13.53</v>
      </c>
      <c r="AL70" s="3">
        <f>AJ70-AG70</f>
        <v>2.7299999999999986</v>
      </c>
      <c r="AM70" s="3">
        <v>13.5</v>
      </c>
      <c r="AP70" s="3">
        <v>13.5</v>
      </c>
      <c r="AS70" s="3">
        <v>13.5</v>
      </c>
      <c r="AV70" s="3">
        <v>18.95</v>
      </c>
      <c r="AZ70" s="3">
        <v>18.940000000000001</v>
      </c>
      <c r="BA70" s="1" t="s">
        <v>852</v>
      </c>
      <c r="BD70" s="3">
        <v>18.97</v>
      </c>
      <c r="BE70" s="1" t="s">
        <v>852</v>
      </c>
      <c r="BH70" s="3">
        <v>13.5</v>
      </c>
    </row>
    <row r="71" spans="1:60">
      <c r="A71" s="6">
        <v>14</v>
      </c>
      <c r="B71" s="1" t="s">
        <v>740</v>
      </c>
      <c r="C71" s="1" t="s">
        <v>58</v>
      </c>
      <c r="D71" s="2"/>
      <c r="E71" s="2"/>
      <c r="F71" s="8"/>
      <c r="G71" s="8">
        <v>16.760000000000002</v>
      </c>
      <c r="H71" s="8">
        <v>16.760000000000002</v>
      </c>
      <c r="I71" s="8"/>
      <c r="R71" s="3">
        <v>3.46</v>
      </c>
      <c r="T71" s="3"/>
      <c r="U71" s="3">
        <f>120/14</f>
        <v>8.5714285714285712</v>
      </c>
      <c r="V71" s="1" t="s">
        <v>230</v>
      </c>
      <c r="W71" s="3">
        <f>U71-R71</f>
        <v>5.1114285714285712</v>
      </c>
      <c r="X71" s="3">
        <v>16.809999999999999</v>
      </c>
      <c r="Z71" s="3">
        <f>X71-U71</f>
        <v>8.2385714285714275</v>
      </c>
      <c r="AA71" s="3">
        <v>10</v>
      </c>
      <c r="AC71" s="3">
        <f>AA71-X71</f>
        <v>-6.8099999999999987</v>
      </c>
      <c r="AD71" s="24">
        <v>26.46</v>
      </c>
      <c r="AG71" s="3">
        <v>26.46</v>
      </c>
      <c r="AI71" s="3">
        <f>AG71-AD71</f>
        <v>0</v>
      </c>
      <c r="AJ71" s="3">
        <v>15.56</v>
      </c>
      <c r="AL71" s="3">
        <f>AJ71-AG71</f>
        <v>-10.9</v>
      </c>
      <c r="AM71" s="3">
        <v>15.56</v>
      </c>
      <c r="AP71" s="3">
        <v>15.56</v>
      </c>
      <c r="AS71" s="3">
        <v>14.94</v>
      </c>
      <c r="AV71" s="3">
        <v>15.56</v>
      </c>
      <c r="AZ71" s="3">
        <v>15.56</v>
      </c>
      <c r="BA71" s="1" t="s">
        <v>852</v>
      </c>
      <c r="BD71" s="3">
        <v>15.56</v>
      </c>
      <c r="BE71" s="1" t="s">
        <v>852</v>
      </c>
      <c r="BH71" s="3">
        <v>15.56</v>
      </c>
    </row>
    <row r="72" spans="1:60">
      <c r="B72" s="1" t="s">
        <v>740</v>
      </c>
      <c r="C72" s="1" t="s">
        <v>857</v>
      </c>
      <c r="D72" s="2"/>
      <c r="E72" s="2"/>
      <c r="F72" s="8"/>
      <c r="G72" s="8"/>
      <c r="H72" s="8"/>
      <c r="I72" s="8"/>
      <c r="T72" s="3"/>
      <c r="W72" s="3"/>
      <c r="AC72" s="3"/>
      <c r="AI72" s="3"/>
      <c r="AL72" s="3"/>
      <c r="BH72" s="3">
        <v>16.2</v>
      </c>
    </row>
    <row r="73" spans="1:60">
      <c r="B73" s="1" t="s">
        <v>740</v>
      </c>
      <c r="C73" s="1" t="s">
        <v>289</v>
      </c>
      <c r="D73" s="2"/>
      <c r="E73" s="2"/>
      <c r="F73" s="8"/>
      <c r="G73" s="8"/>
      <c r="H73" s="8"/>
      <c r="I73" s="8"/>
      <c r="T73" s="3"/>
      <c r="W73" s="3"/>
      <c r="AC73" s="3"/>
      <c r="AI73" s="3"/>
      <c r="AJ73" s="3">
        <v>5.6</v>
      </c>
      <c r="AM73" s="3">
        <v>11.2</v>
      </c>
      <c r="AP73" s="3">
        <v>11.2</v>
      </c>
      <c r="AS73" s="3">
        <v>11.19</v>
      </c>
      <c r="AZ73" s="3">
        <v>11.2</v>
      </c>
      <c r="BA73" s="1" t="s">
        <v>852</v>
      </c>
      <c r="BD73" s="3">
        <v>11.2</v>
      </c>
      <c r="BE73" s="1" t="s">
        <v>852</v>
      </c>
      <c r="BH73" s="3">
        <v>11.2</v>
      </c>
    </row>
    <row r="74" spans="1:60">
      <c r="B74" s="1" t="s">
        <v>740</v>
      </c>
      <c r="C74" s="1" t="s">
        <v>290</v>
      </c>
      <c r="D74" s="2"/>
      <c r="E74" s="2"/>
      <c r="F74" s="8"/>
      <c r="G74" s="8"/>
      <c r="H74" s="8"/>
      <c r="I74" s="8"/>
      <c r="T74" s="3"/>
      <c r="W74" s="3"/>
      <c r="AC74" s="3"/>
      <c r="AI74" s="3"/>
      <c r="AL74" s="3"/>
      <c r="AZ74" s="3">
        <v>119.62</v>
      </c>
      <c r="BA74" s="1" t="s">
        <v>852</v>
      </c>
      <c r="BD74" s="3">
        <v>119.62</v>
      </c>
      <c r="BE74" s="1" t="s">
        <v>852</v>
      </c>
      <c r="BH74" s="3">
        <v>8.42</v>
      </c>
    </row>
    <row r="75" spans="1:60">
      <c r="B75" s="1" t="s">
        <v>740</v>
      </c>
      <c r="C75" s="1" t="s">
        <v>64</v>
      </c>
      <c r="D75" s="2"/>
      <c r="E75" s="2"/>
      <c r="F75" s="8"/>
      <c r="G75" s="8"/>
      <c r="H75" s="8"/>
      <c r="I75" s="8"/>
      <c r="R75" s="3">
        <v>6.61</v>
      </c>
      <c r="T75" s="3"/>
      <c r="U75" s="3">
        <f>140/11</f>
        <v>12.727272727272727</v>
      </c>
      <c r="V75" s="1" t="s">
        <v>231</v>
      </c>
      <c r="W75" s="3">
        <f>U75-R75</f>
        <v>6.1172727272727263</v>
      </c>
      <c r="X75" s="3">
        <v>24.42</v>
      </c>
      <c r="Z75" s="3">
        <f>X75-U75</f>
        <v>11.692727272727275</v>
      </c>
      <c r="AA75" s="3">
        <v>31</v>
      </c>
      <c r="AC75" s="3">
        <f>AA75-X75</f>
        <v>6.5799999999999983</v>
      </c>
      <c r="AD75" s="24">
        <v>30.47</v>
      </c>
      <c r="AG75" s="3">
        <v>24.42</v>
      </c>
      <c r="AI75" s="3">
        <f>AG75-AD75</f>
        <v>-6.0499999999999972</v>
      </c>
      <c r="AJ75" s="3">
        <v>14</v>
      </c>
      <c r="AL75" s="3">
        <f>AJ75-AG75</f>
        <v>-10.420000000000002</v>
      </c>
      <c r="AM75" s="3">
        <v>17.47</v>
      </c>
      <c r="AP75" s="3">
        <v>17.47</v>
      </c>
      <c r="AS75" s="3">
        <v>17.47</v>
      </c>
      <c r="AV75" s="3">
        <v>17.47</v>
      </c>
      <c r="AZ75" s="3">
        <v>17.47</v>
      </c>
      <c r="BA75" s="1" t="s">
        <v>852</v>
      </c>
      <c r="BD75" s="3">
        <v>17.47</v>
      </c>
      <c r="BE75" s="1" t="s">
        <v>852</v>
      </c>
      <c r="BH75" s="3">
        <v>17.47</v>
      </c>
    </row>
    <row r="76" spans="1:60">
      <c r="B76" s="1" t="s">
        <v>740</v>
      </c>
      <c r="C76" s="1" t="s">
        <v>855</v>
      </c>
      <c r="D76" s="2"/>
      <c r="E76" s="2"/>
      <c r="F76" s="8"/>
      <c r="G76" s="8"/>
      <c r="H76" s="8"/>
      <c r="I76" s="8"/>
      <c r="T76" s="3"/>
      <c r="W76" s="3"/>
      <c r="AC76" s="3"/>
      <c r="AI76" s="3"/>
      <c r="AL76" s="3"/>
      <c r="BD76" s="3">
        <v>9.15</v>
      </c>
      <c r="BE76" s="1" t="s">
        <v>852</v>
      </c>
    </row>
    <row r="77" spans="1:60">
      <c r="B77" s="1" t="s">
        <v>740</v>
      </c>
      <c r="C77" s="1" t="s">
        <v>286</v>
      </c>
      <c r="D77" s="2"/>
      <c r="E77" s="2"/>
      <c r="F77" s="8"/>
      <c r="G77" s="8"/>
      <c r="H77" s="8"/>
      <c r="I77" s="8"/>
      <c r="T77" s="3"/>
      <c r="W77" s="3"/>
      <c r="X77" s="3">
        <v>29.15</v>
      </c>
      <c r="AD77" s="24">
        <v>20</v>
      </c>
      <c r="AG77" s="3">
        <v>20</v>
      </c>
      <c r="AI77" s="3">
        <f>AG77-AD77</f>
        <v>0</v>
      </c>
      <c r="AJ77" s="3">
        <v>12.29</v>
      </c>
      <c r="AL77" s="3">
        <f>AJ77-AG77</f>
        <v>-7.7100000000000009</v>
      </c>
      <c r="AM77" s="3">
        <v>12.3</v>
      </c>
      <c r="AP77" s="3">
        <v>12.3</v>
      </c>
      <c r="AS77" s="3">
        <v>12.3</v>
      </c>
      <c r="AV77" s="3">
        <v>16.2</v>
      </c>
      <c r="AZ77" s="3">
        <v>16.2</v>
      </c>
      <c r="BA77" s="1" t="s">
        <v>852</v>
      </c>
      <c r="BD77" s="3">
        <v>23.47</v>
      </c>
      <c r="BE77" s="1" t="s">
        <v>852</v>
      </c>
      <c r="BH77" s="3">
        <v>23.47</v>
      </c>
    </row>
    <row r="78" spans="1:60">
      <c r="B78" s="1" t="s">
        <v>740</v>
      </c>
      <c r="C78" s="1" t="s">
        <v>288</v>
      </c>
      <c r="D78" s="2"/>
      <c r="E78" s="2"/>
      <c r="F78" s="8"/>
      <c r="G78" s="8"/>
      <c r="H78" s="8"/>
      <c r="I78" s="8"/>
      <c r="R78" s="3">
        <v>2.77</v>
      </c>
      <c r="T78" s="3"/>
      <c r="U78" s="3">
        <f>142/11</f>
        <v>12.909090909090908</v>
      </c>
      <c r="V78" s="1" t="s">
        <v>232</v>
      </c>
      <c r="W78" s="3">
        <f>U78-R78</f>
        <v>10.139090909090909</v>
      </c>
      <c r="X78" s="3">
        <v>25.37</v>
      </c>
      <c r="Z78" s="3">
        <f>X78-U78</f>
        <v>12.460909090909093</v>
      </c>
      <c r="AA78" s="3">
        <v>399</v>
      </c>
      <c r="AC78" s="3">
        <f>AA78-X78</f>
        <v>373.63</v>
      </c>
      <c r="AD78" s="24">
        <v>34.869999999999997</v>
      </c>
      <c r="AG78" s="3">
        <v>21.62</v>
      </c>
      <c r="AI78" s="3">
        <f>AG78-AD78</f>
        <v>-13.249999999999996</v>
      </c>
      <c r="AJ78" s="3">
        <v>16.02</v>
      </c>
      <c r="AL78" s="3">
        <f>AJ78-AG78</f>
        <v>-5.6000000000000014</v>
      </c>
      <c r="AM78" s="3">
        <v>16.02</v>
      </c>
      <c r="AP78" s="3">
        <v>16.02</v>
      </c>
      <c r="AS78" s="3">
        <v>23.47</v>
      </c>
      <c r="AV78" s="3">
        <v>17.690000000000001</v>
      </c>
      <c r="AZ78" s="3">
        <v>23.1</v>
      </c>
      <c r="BA78" s="1" t="s">
        <v>852</v>
      </c>
      <c r="BD78" s="3">
        <v>21.98</v>
      </c>
      <c r="BE78" s="1" t="s">
        <v>852</v>
      </c>
      <c r="BH78" s="3">
        <v>74.31</v>
      </c>
    </row>
    <row r="79" spans="1:60">
      <c r="A79" s="6">
        <v>11</v>
      </c>
      <c r="B79" s="1" t="s">
        <v>740</v>
      </c>
      <c r="C79" s="1" t="s">
        <v>57</v>
      </c>
      <c r="D79" s="2"/>
      <c r="E79" s="2"/>
      <c r="F79" s="8"/>
      <c r="G79" s="8">
        <v>33.92</v>
      </c>
      <c r="H79" s="8">
        <v>33.92</v>
      </c>
      <c r="I79" s="8"/>
      <c r="M79" s="3">
        <f>761/13.6</f>
        <v>55.955882352941181</v>
      </c>
      <c r="O79" s="3">
        <f>761/13.6</f>
        <v>55.955882352941181</v>
      </c>
      <c r="P79" s="1" t="s">
        <v>185</v>
      </c>
      <c r="Q79" s="3">
        <f>O79-H79</f>
        <v>22.035882352941179</v>
      </c>
      <c r="R79" s="3">
        <v>18.36</v>
      </c>
      <c r="T79" s="3">
        <f>R79-O79</f>
        <v>-37.595882352941182</v>
      </c>
    </row>
    <row r="80" spans="1:60">
      <c r="A80" s="6">
        <v>1</v>
      </c>
      <c r="B80" s="103" t="s">
        <v>741</v>
      </c>
      <c r="C80" s="1" t="s">
        <v>52</v>
      </c>
      <c r="D80" s="2">
        <v>6</v>
      </c>
      <c r="E80" s="2"/>
      <c r="F80" s="8">
        <v>13</v>
      </c>
      <c r="G80" s="8"/>
      <c r="H80" s="8">
        <v>13</v>
      </c>
      <c r="I80" s="8">
        <f>H80-D80</f>
        <v>7</v>
      </c>
      <c r="K80" s="3"/>
      <c r="L80" s="1" t="s">
        <v>489</v>
      </c>
      <c r="M80" s="3">
        <v>12</v>
      </c>
      <c r="O80" s="3">
        <v>12</v>
      </c>
      <c r="Q80" s="3">
        <f>O80-H80</f>
        <v>-1</v>
      </c>
      <c r="R80" s="3">
        <v>12</v>
      </c>
      <c r="T80" s="2">
        <f>R80-O80</f>
        <v>0</v>
      </c>
      <c r="U80" s="3">
        <v>20</v>
      </c>
      <c r="W80" s="3">
        <f>U80-R80</f>
        <v>8</v>
      </c>
      <c r="X80" s="3">
        <v>40</v>
      </c>
      <c r="Z80" s="3">
        <f>X80-U80</f>
        <v>20</v>
      </c>
    </row>
    <row r="81" spans="1:61">
      <c r="A81" s="6">
        <v>3</v>
      </c>
      <c r="B81" s="103" t="s">
        <v>741</v>
      </c>
      <c r="C81" s="1" t="s">
        <v>54</v>
      </c>
      <c r="D81" s="2"/>
      <c r="E81" s="2"/>
      <c r="F81" s="8">
        <v>0</v>
      </c>
      <c r="G81" s="8">
        <v>108</v>
      </c>
      <c r="H81" s="8">
        <v>108</v>
      </c>
      <c r="I81" s="8"/>
      <c r="J81" s="1" t="s">
        <v>176</v>
      </c>
      <c r="S81" s="1" t="s">
        <v>68</v>
      </c>
      <c r="U81" s="3">
        <v>266</v>
      </c>
    </row>
    <row r="82" spans="1:61">
      <c r="A82" s="6">
        <v>4</v>
      </c>
      <c r="B82" s="103" t="s">
        <v>741</v>
      </c>
      <c r="C82" s="1" t="s">
        <v>55</v>
      </c>
      <c r="D82" s="2"/>
      <c r="E82" s="2"/>
      <c r="F82" s="8">
        <v>25.8</v>
      </c>
      <c r="G82" s="8"/>
      <c r="H82" s="8">
        <v>25.8</v>
      </c>
      <c r="I82" s="8"/>
      <c r="L82" s="1" t="s">
        <v>705</v>
      </c>
      <c r="M82" s="3">
        <v>26.8</v>
      </c>
      <c r="O82" s="3">
        <v>26.8</v>
      </c>
      <c r="Q82" s="3">
        <f>O82-H82</f>
        <v>1</v>
      </c>
      <c r="R82" s="3">
        <v>27</v>
      </c>
      <c r="T82" s="3">
        <f>R82-O82</f>
        <v>0.19999999999999929</v>
      </c>
    </row>
    <row r="83" spans="1:61">
      <c r="A83" s="6">
        <v>5</v>
      </c>
      <c r="B83" s="103" t="s">
        <v>741</v>
      </c>
      <c r="C83" s="1" t="s">
        <v>56</v>
      </c>
      <c r="D83" s="2"/>
      <c r="E83" s="2"/>
      <c r="F83" s="8">
        <v>0</v>
      </c>
      <c r="G83" s="8"/>
      <c r="H83" s="8">
        <v>0</v>
      </c>
      <c r="I83" s="8"/>
      <c r="J83" s="1" t="s">
        <v>177</v>
      </c>
      <c r="S83" s="1" t="s">
        <v>177</v>
      </c>
    </row>
    <row r="84" spans="1:61">
      <c r="A84" s="6">
        <v>2</v>
      </c>
      <c r="B84" s="103" t="s">
        <v>741</v>
      </c>
      <c r="C84" s="1" t="s">
        <v>53</v>
      </c>
      <c r="D84" s="2">
        <v>9</v>
      </c>
      <c r="E84" s="2"/>
      <c r="F84" s="8">
        <v>15.5</v>
      </c>
      <c r="G84" s="8"/>
      <c r="H84" s="8">
        <v>15.5</v>
      </c>
      <c r="I84" s="10">
        <f>H84-D84</f>
        <v>6.5</v>
      </c>
      <c r="K84" s="3"/>
      <c r="L84" s="1" t="s">
        <v>619</v>
      </c>
      <c r="M84" s="3">
        <v>12.5</v>
      </c>
      <c r="O84" s="3">
        <v>12.5</v>
      </c>
      <c r="Q84" s="3">
        <f>O84-H84</f>
        <v>-3</v>
      </c>
      <c r="R84" s="3">
        <v>12</v>
      </c>
      <c r="T84" s="3">
        <f>R84-O84</f>
        <v>-0.5</v>
      </c>
      <c r="U84" s="3">
        <v>16</v>
      </c>
      <c r="W84" s="3">
        <f>U84-R84</f>
        <v>4</v>
      </c>
      <c r="X84" s="3">
        <v>30.75</v>
      </c>
      <c r="Z84" s="3">
        <f>X84-U84</f>
        <v>14.75</v>
      </c>
      <c r="AA84" s="3">
        <v>27.5</v>
      </c>
      <c r="AC84" s="3">
        <f>AA84-X84</f>
        <v>-3.25</v>
      </c>
    </row>
    <row r="85" spans="1:61">
      <c r="B85" s="103" t="s">
        <v>741</v>
      </c>
      <c r="C85" s="1" t="s">
        <v>158</v>
      </c>
      <c r="D85" s="2"/>
      <c r="E85" s="2"/>
      <c r="F85" s="8"/>
      <c r="G85" s="8"/>
      <c r="H85" s="8"/>
      <c r="K85" s="3"/>
      <c r="U85" s="3">
        <v>4.05</v>
      </c>
      <c r="X85" s="3">
        <v>4</v>
      </c>
      <c r="Z85" s="3">
        <f>X85-U85</f>
        <v>-4.9999999999999822E-2</v>
      </c>
    </row>
    <row r="86" spans="1:61">
      <c r="B86" s="103" t="s">
        <v>741</v>
      </c>
      <c r="C86" s="1" t="s">
        <v>597</v>
      </c>
      <c r="D86" s="2"/>
      <c r="E86" s="2"/>
      <c r="F86" s="8"/>
      <c r="G86" s="8"/>
      <c r="H86" s="8"/>
      <c r="K86" s="3"/>
      <c r="Q86" s="3"/>
      <c r="T86" s="3"/>
      <c r="U86" s="3">
        <v>11.5</v>
      </c>
      <c r="X86" s="3">
        <v>15</v>
      </c>
      <c r="Z86" s="3">
        <f>X86-U86</f>
        <v>3.5</v>
      </c>
      <c r="AA86" s="3">
        <v>15</v>
      </c>
      <c r="AC86" s="3">
        <f>AA86-X86</f>
        <v>0</v>
      </c>
      <c r="AD86" s="24">
        <v>16</v>
      </c>
      <c r="AF86" s="24">
        <f>AD86-AA86</f>
        <v>1</v>
      </c>
      <c r="AG86" s="3">
        <v>16.5</v>
      </c>
      <c r="AJ86" s="3">
        <v>16.47</v>
      </c>
      <c r="AM86" s="3">
        <v>20</v>
      </c>
      <c r="AP86" s="3">
        <v>21</v>
      </c>
      <c r="AS86" s="3">
        <v>12</v>
      </c>
      <c r="AZ86" s="3">
        <v>9.1</v>
      </c>
      <c r="BA86" s="1" t="s">
        <v>890</v>
      </c>
      <c r="BD86" s="3">
        <v>8.64</v>
      </c>
      <c r="BE86" s="1" t="s">
        <v>862</v>
      </c>
      <c r="BH86" s="3">
        <v>9.57</v>
      </c>
      <c r="BI86" s="1" t="s">
        <v>862</v>
      </c>
    </row>
    <row r="87" spans="1:61">
      <c r="B87" s="103" t="s">
        <v>741</v>
      </c>
      <c r="C87" s="1" t="s">
        <v>600</v>
      </c>
      <c r="D87" s="2"/>
      <c r="E87" s="2"/>
      <c r="F87" s="8"/>
      <c r="G87" s="8"/>
      <c r="H87" s="8"/>
      <c r="K87" s="3"/>
      <c r="Q87" s="3"/>
      <c r="T87" s="3"/>
      <c r="U87" s="3">
        <v>14</v>
      </c>
      <c r="X87" s="3">
        <v>22.85</v>
      </c>
      <c r="Z87" s="3">
        <f>X87-U87</f>
        <v>8.8500000000000014</v>
      </c>
      <c r="AS87" s="3">
        <v>15.42</v>
      </c>
    </row>
    <row r="88" spans="1:61">
      <c r="B88" s="103" t="s">
        <v>741</v>
      </c>
      <c r="C88" s="1" t="s">
        <v>595</v>
      </c>
      <c r="D88" s="2"/>
      <c r="E88" s="2"/>
      <c r="F88" s="8"/>
      <c r="G88" s="8"/>
      <c r="H88" s="8"/>
      <c r="K88" s="3"/>
      <c r="M88" s="3">
        <v>3.8</v>
      </c>
      <c r="O88" s="3">
        <v>3.8</v>
      </c>
      <c r="R88" s="3">
        <v>3.6</v>
      </c>
      <c r="T88" s="3">
        <f>R88-O88</f>
        <v>-0.19999999999999973</v>
      </c>
      <c r="U88" s="3">
        <v>3.1</v>
      </c>
      <c r="W88" s="3">
        <f>U88-R88</f>
        <v>-0.5</v>
      </c>
      <c r="X88" s="3">
        <v>4.9000000000000004</v>
      </c>
      <c r="Z88" s="3">
        <f>X88-U88</f>
        <v>1.8000000000000003</v>
      </c>
      <c r="AA88" s="3">
        <v>5</v>
      </c>
      <c r="AC88" s="3">
        <f>AA88-X88</f>
        <v>9.9999999999999645E-2</v>
      </c>
      <c r="AD88" s="24">
        <v>5.3</v>
      </c>
      <c r="AF88" s="24">
        <f>AD88-AA88</f>
        <v>0.29999999999999982</v>
      </c>
      <c r="AG88" s="3">
        <v>7.55</v>
      </c>
      <c r="AI88" s="3">
        <f>AG88-AD88</f>
        <v>2.25</v>
      </c>
      <c r="AJ88" s="3">
        <v>7.56</v>
      </c>
      <c r="AL88" s="3">
        <f>AJ88-AG88</f>
        <v>9.9999999999997868E-3</v>
      </c>
      <c r="AM88" s="3">
        <v>8.3000000000000007</v>
      </c>
      <c r="AO88" s="3">
        <f>AM88-AJ88</f>
        <v>0.7400000000000011</v>
      </c>
      <c r="AP88" s="3">
        <v>12.6</v>
      </c>
      <c r="AS88" s="3">
        <v>10</v>
      </c>
      <c r="AV88" s="3">
        <v>6.5</v>
      </c>
      <c r="AZ88" s="3">
        <v>3.01</v>
      </c>
      <c r="BA88" s="1" t="s">
        <v>889</v>
      </c>
      <c r="BD88" s="3">
        <v>2.39</v>
      </c>
      <c r="BE88" s="1" t="s">
        <v>862</v>
      </c>
      <c r="BH88" s="3">
        <v>2.5</v>
      </c>
      <c r="BI88" s="1" t="s">
        <v>862</v>
      </c>
    </row>
    <row r="89" spans="1:61">
      <c r="B89" s="103" t="s">
        <v>741</v>
      </c>
      <c r="C89" s="1" t="s">
        <v>700</v>
      </c>
      <c r="D89" s="2"/>
      <c r="E89" s="2"/>
      <c r="F89" s="8"/>
      <c r="G89" s="8"/>
      <c r="H89" s="8"/>
      <c r="K89" s="3"/>
      <c r="T89" s="3"/>
      <c r="W89" s="3"/>
      <c r="X89" s="3">
        <v>3.25</v>
      </c>
      <c r="AA89" s="3">
        <v>3.3</v>
      </c>
      <c r="AC89" s="3">
        <f>AA89-X89</f>
        <v>4.9999999999999822E-2</v>
      </c>
      <c r="AG89" s="3">
        <v>6</v>
      </c>
      <c r="AJ89" s="3">
        <v>6.1</v>
      </c>
      <c r="AM89" s="3">
        <v>6.5</v>
      </c>
      <c r="AP89" s="3">
        <v>10.199999999999999</v>
      </c>
    </row>
    <row r="90" spans="1:61">
      <c r="B90" s="103" t="s">
        <v>741</v>
      </c>
      <c r="C90" s="1" t="s">
        <v>596</v>
      </c>
      <c r="D90" s="2"/>
      <c r="E90" s="2"/>
      <c r="F90" s="8"/>
      <c r="G90" s="8"/>
      <c r="H90" s="8"/>
      <c r="K90" s="3"/>
      <c r="M90" s="3">
        <v>6.3</v>
      </c>
      <c r="O90" s="3">
        <v>6.3</v>
      </c>
      <c r="R90" s="3">
        <v>7</v>
      </c>
      <c r="T90" s="3">
        <f>R90-O90</f>
        <v>0.70000000000000018</v>
      </c>
      <c r="U90" s="3">
        <v>4</v>
      </c>
      <c r="W90" s="3">
        <f>U90-R90</f>
        <v>-3</v>
      </c>
      <c r="X90" s="3">
        <v>6.6</v>
      </c>
      <c r="Z90" s="3">
        <f>X90-U90</f>
        <v>2.5999999999999996</v>
      </c>
      <c r="AJ90" s="3">
        <v>8</v>
      </c>
      <c r="AM90" s="3">
        <v>8</v>
      </c>
      <c r="AP90" s="3">
        <v>8</v>
      </c>
    </row>
    <row r="91" spans="1:61">
      <c r="A91" s="6">
        <v>12</v>
      </c>
      <c r="B91" s="103" t="s">
        <v>741</v>
      </c>
      <c r="C91" s="1" t="s">
        <v>594</v>
      </c>
      <c r="D91" s="2">
        <v>4.5</v>
      </c>
      <c r="E91" s="2"/>
      <c r="F91" s="8">
        <v>3.9</v>
      </c>
      <c r="G91" s="8"/>
      <c r="H91" s="8">
        <v>3.9</v>
      </c>
      <c r="I91" s="8">
        <f>H91-D91</f>
        <v>-0.60000000000000009</v>
      </c>
      <c r="M91" s="3">
        <v>3.8</v>
      </c>
      <c r="O91" s="3">
        <v>3.8</v>
      </c>
      <c r="Q91" s="3">
        <f>O91-H91</f>
        <v>-0.10000000000000009</v>
      </c>
      <c r="R91" s="3">
        <v>2.8</v>
      </c>
      <c r="T91" s="3">
        <f>R91-O91</f>
        <v>-1</v>
      </c>
      <c r="U91" s="3">
        <v>4</v>
      </c>
      <c r="W91" s="3">
        <f>U91-R91</f>
        <v>1.2000000000000002</v>
      </c>
      <c r="X91" s="3">
        <v>7.85</v>
      </c>
      <c r="Z91" s="3">
        <f>X91-U91</f>
        <v>3.8499999999999996</v>
      </c>
      <c r="AA91" s="3">
        <v>7.5</v>
      </c>
      <c r="AC91" s="3">
        <f>AA91-X91</f>
        <v>-0.34999999999999964</v>
      </c>
      <c r="AD91" s="24">
        <v>9.5</v>
      </c>
      <c r="AF91" s="24">
        <f>AD91-AA91</f>
        <v>2</v>
      </c>
      <c r="AG91" s="3">
        <v>13.8</v>
      </c>
      <c r="AI91" s="3">
        <f>AG91-AD91</f>
        <v>4.3000000000000007</v>
      </c>
      <c r="AJ91" s="3">
        <v>13.36</v>
      </c>
      <c r="AL91" s="3">
        <f>AJ91-AG91</f>
        <v>-0.44000000000000128</v>
      </c>
      <c r="AM91" s="3">
        <v>12.75</v>
      </c>
      <c r="AO91" s="3">
        <f>AM91-AJ91</f>
        <v>-0.60999999999999943</v>
      </c>
      <c r="AP91" s="3">
        <v>12.75</v>
      </c>
      <c r="AS91" s="3">
        <v>9</v>
      </c>
      <c r="AV91" s="3">
        <v>8.5</v>
      </c>
      <c r="AZ91" s="3">
        <v>3</v>
      </c>
      <c r="BA91" s="1" t="s">
        <v>889</v>
      </c>
      <c r="BD91" s="3">
        <v>2.15</v>
      </c>
      <c r="BE91" s="1" t="s">
        <v>862</v>
      </c>
      <c r="BH91" s="3">
        <v>3.5</v>
      </c>
      <c r="BI91" s="1" t="s">
        <v>862</v>
      </c>
    </row>
    <row r="92" spans="1:61">
      <c r="B92" s="103" t="s">
        <v>741</v>
      </c>
      <c r="C92" s="1" t="s">
        <v>372</v>
      </c>
      <c r="D92" s="2"/>
      <c r="E92" s="2"/>
      <c r="F92" s="8"/>
      <c r="G92" s="8"/>
      <c r="H92" s="8"/>
      <c r="K92" s="3"/>
      <c r="T92" s="3"/>
      <c r="W92" s="3"/>
      <c r="AC92" s="3"/>
      <c r="AF92" s="24"/>
      <c r="AI92" s="3"/>
      <c r="AL92" s="3"/>
      <c r="AO92" s="3"/>
      <c r="BD92" s="3">
        <v>2.2400000000000002</v>
      </c>
      <c r="BE92" s="1" t="s">
        <v>862</v>
      </c>
      <c r="BH92" s="3">
        <v>3.97</v>
      </c>
      <c r="BI92" s="1" t="s">
        <v>862</v>
      </c>
    </row>
    <row r="93" spans="1:61">
      <c r="A93" s="6">
        <v>14</v>
      </c>
      <c r="B93" s="103" t="s">
        <v>741</v>
      </c>
      <c r="C93" s="1" t="s">
        <v>58</v>
      </c>
      <c r="D93" s="2">
        <v>10</v>
      </c>
      <c r="E93" s="2"/>
      <c r="F93" s="8">
        <v>13.2</v>
      </c>
      <c r="G93" s="8"/>
      <c r="H93" s="8">
        <v>13.2</v>
      </c>
      <c r="I93" s="9">
        <f>H93-D93</f>
        <v>3.1999999999999993</v>
      </c>
      <c r="K93" s="3"/>
      <c r="L93" s="1" t="s">
        <v>792</v>
      </c>
      <c r="M93" s="3">
        <v>10.4</v>
      </c>
      <c r="O93" s="3">
        <v>10.4</v>
      </c>
      <c r="Q93" s="3">
        <f>O93-H93</f>
        <v>-2.7999999999999989</v>
      </c>
      <c r="R93" s="3">
        <v>6.5</v>
      </c>
      <c r="T93" s="3">
        <f>R93-O93</f>
        <v>-3.9000000000000004</v>
      </c>
      <c r="U93" s="3">
        <v>8</v>
      </c>
      <c r="W93" s="3">
        <f>U93-R93</f>
        <v>1.5</v>
      </c>
      <c r="X93" s="3">
        <v>18.850000000000001</v>
      </c>
      <c r="Z93" s="3">
        <f>X93-U93</f>
        <v>10.850000000000001</v>
      </c>
      <c r="AA93" s="3">
        <v>18</v>
      </c>
      <c r="AC93" s="3">
        <f>AA93-X93</f>
        <v>-0.85000000000000142</v>
      </c>
      <c r="AD93" s="24">
        <v>14</v>
      </c>
      <c r="AF93" s="24">
        <f>AD93-AA93</f>
        <v>-4</v>
      </c>
      <c r="AG93" s="3">
        <v>12.55</v>
      </c>
      <c r="AI93" s="3">
        <f>AG93-AD93</f>
        <v>-1.4499999999999993</v>
      </c>
      <c r="AJ93" s="3">
        <v>11.59</v>
      </c>
      <c r="AL93" s="3">
        <f>AJ93-AG93</f>
        <v>-0.96000000000000085</v>
      </c>
      <c r="AM93" s="3">
        <v>8.5</v>
      </c>
      <c r="AO93" s="3">
        <f>AM93-AJ93</f>
        <v>-3.09</v>
      </c>
      <c r="AP93" s="3">
        <v>8.74</v>
      </c>
      <c r="AS93" s="3">
        <v>6.5</v>
      </c>
      <c r="BD93" s="3">
        <v>3.34</v>
      </c>
      <c r="BE93" s="1" t="s">
        <v>862</v>
      </c>
      <c r="BH93" s="3">
        <v>4.24</v>
      </c>
      <c r="BI93" s="1" t="s">
        <v>862</v>
      </c>
    </row>
    <row r="94" spans="1:61">
      <c r="B94" s="103" t="s">
        <v>741</v>
      </c>
      <c r="C94" s="1" t="s">
        <v>607</v>
      </c>
      <c r="D94" s="2"/>
      <c r="E94" s="2"/>
      <c r="F94" s="8"/>
      <c r="G94" s="8"/>
      <c r="H94" s="8"/>
      <c r="K94" s="3"/>
      <c r="T94" s="3"/>
      <c r="W94" s="3"/>
      <c r="AC94" s="3"/>
      <c r="AF94" s="24"/>
      <c r="AI94" s="3"/>
      <c r="AL94" s="3"/>
      <c r="AO94" s="3"/>
      <c r="BD94" s="3">
        <v>10.5</v>
      </c>
      <c r="BE94" s="1" t="s">
        <v>862</v>
      </c>
      <c r="BH94" s="3">
        <v>8</v>
      </c>
      <c r="BI94" s="1" t="s">
        <v>862</v>
      </c>
    </row>
    <row r="95" spans="1:61">
      <c r="B95" s="103" t="s">
        <v>741</v>
      </c>
      <c r="C95" s="1" t="s">
        <v>854</v>
      </c>
      <c r="D95" s="2"/>
      <c r="E95" s="2"/>
      <c r="F95" s="8"/>
      <c r="G95" s="8"/>
      <c r="H95" s="8"/>
      <c r="K95" s="3"/>
      <c r="T95" s="3"/>
      <c r="W95" s="3"/>
      <c r="AC95" s="3"/>
      <c r="AF95" s="24"/>
      <c r="AI95" s="3"/>
      <c r="AL95" s="3"/>
      <c r="AO95" s="3"/>
      <c r="BD95" s="3">
        <v>40</v>
      </c>
      <c r="BE95" s="1" t="s">
        <v>862</v>
      </c>
      <c r="BH95" s="3">
        <v>70</v>
      </c>
      <c r="BI95" s="1" t="s">
        <v>862</v>
      </c>
    </row>
    <row r="96" spans="1:61">
      <c r="B96" s="103" t="s">
        <v>741</v>
      </c>
      <c r="C96" s="1" t="s">
        <v>869</v>
      </c>
      <c r="D96" s="2"/>
      <c r="E96" s="2"/>
      <c r="F96" s="8"/>
      <c r="G96" s="8"/>
      <c r="H96" s="8"/>
      <c r="K96" s="3"/>
      <c r="T96" s="3"/>
      <c r="W96" s="3"/>
      <c r="AC96" s="3"/>
      <c r="AF96" s="24"/>
      <c r="AI96" s="3"/>
      <c r="AL96" s="3"/>
      <c r="AO96" s="3"/>
      <c r="BH96" s="3">
        <v>8.5</v>
      </c>
      <c r="BI96" s="1" t="s">
        <v>862</v>
      </c>
    </row>
    <row r="97" spans="1:61" ht="9.6" customHeight="1">
      <c r="B97" s="103" t="s">
        <v>741</v>
      </c>
      <c r="C97" s="1" t="s">
        <v>857</v>
      </c>
      <c r="D97" s="2"/>
      <c r="E97" s="2"/>
      <c r="F97" s="8"/>
      <c r="G97" s="8"/>
      <c r="H97" s="8"/>
      <c r="K97" s="3"/>
      <c r="T97" s="3"/>
      <c r="W97" s="3"/>
      <c r="AC97" s="3"/>
      <c r="AF97" s="24"/>
      <c r="AI97" s="3"/>
      <c r="AL97" s="3"/>
      <c r="AO97" s="3"/>
      <c r="BC97" s="3">
        <v>1.81</v>
      </c>
      <c r="BD97" s="3">
        <v>1.81</v>
      </c>
      <c r="BE97" s="1" t="s">
        <v>862</v>
      </c>
      <c r="BH97" s="3">
        <v>2.64</v>
      </c>
      <c r="BI97" s="1" t="s">
        <v>862</v>
      </c>
    </row>
    <row r="98" spans="1:61">
      <c r="B98" s="103" t="s">
        <v>741</v>
      </c>
      <c r="C98" s="1" t="s">
        <v>386</v>
      </c>
      <c r="D98" s="2"/>
      <c r="E98" s="2"/>
      <c r="F98" s="8"/>
      <c r="G98" s="8"/>
      <c r="H98" s="8"/>
      <c r="K98" s="3"/>
      <c r="T98" s="3"/>
      <c r="W98" s="3"/>
      <c r="AC98" s="3"/>
      <c r="AF98" s="24"/>
      <c r="AI98" s="3"/>
      <c r="AL98" s="3"/>
      <c r="AO98" s="3"/>
      <c r="BH98" s="3">
        <v>7.06</v>
      </c>
      <c r="BI98" s="1" t="s">
        <v>862</v>
      </c>
    </row>
    <row r="99" spans="1:61">
      <c r="B99" s="103" t="s">
        <v>741</v>
      </c>
      <c r="C99" s="1" t="s">
        <v>289</v>
      </c>
      <c r="D99" s="2"/>
      <c r="E99" s="2"/>
      <c r="F99" s="8"/>
      <c r="G99" s="8"/>
      <c r="H99" s="8"/>
      <c r="K99" s="3"/>
      <c r="R99" s="3">
        <v>3</v>
      </c>
      <c r="T99" s="3"/>
      <c r="U99" s="3">
        <v>15</v>
      </c>
      <c r="W99" s="3">
        <f>U99-R99</f>
        <v>12</v>
      </c>
      <c r="X99" s="3">
        <v>15.31</v>
      </c>
      <c r="Z99" s="3">
        <f>X99-U99</f>
        <v>0.3100000000000005</v>
      </c>
      <c r="AA99" s="3">
        <v>46</v>
      </c>
      <c r="AC99" s="3">
        <f>AA99-X99</f>
        <v>30.689999999999998</v>
      </c>
      <c r="AG99" s="3">
        <v>18</v>
      </c>
      <c r="AJ99" s="3">
        <v>18</v>
      </c>
      <c r="AL99" s="3">
        <f>AJ99-AG99</f>
        <v>0</v>
      </c>
      <c r="AM99" s="3">
        <v>10</v>
      </c>
      <c r="AO99" s="3">
        <f>AM99-AJ99</f>
        <v>-8</v>
      </c>
      <c r="AP99" s="3">
        <v>9.5299999999999994</v>
      </c>
      <c r="AS99" s="3">
        <v>7.18</v>
      </c>
    </row>
    <row r="100" spans="1:61">
      <c r="B100" s="103" t="s">
        <v>741</v>
      </c>
      <c r="C100" s="1" t="s">
        <v>160</v>
      </c>
      <c r="D100" s="2"/>
      <c r="E100" s="2"/>
      <c r="F100" s="8"/>
      <c r="G100" s="8"/>
      <c r="H100" s="8"/>
      <c r="K100" s="3"/>
      <c r="M100" s="3">
        <v>3.7</v>
      </c>
      <c r="O100" s="3">
        <v>3.7</v>
      </c>
      <c r="X100" s="3">
        <v>3</v>
      </c>
      <c r="AA100" s="3">
        <v>3.08</v>
      </c>
      <c r="AC100" s="3">
        <f>AA100-X100</f>
        <v>8.0000000000000071E-2</v>
      </c>
    </row>
    <row r="101" spans="1:61">
      <c r="B101" s="103" t="s">
        <v>741</v>
      </c>
      <c r="C101" s="1" t="s">
        <v>74</v>
      </c>
      <c r="D101" s="2"/>
      <c r="E101" s="2"/>
      <c r="F101" s="8"/>
      <c r="G101" s="8"/>
      <c r="H101" s="8"/>
      <c r="K101" s="3"/>
      <c r="R101" s="3">
        <v>6</v>
      </c>
    </row>
    <row r="102" spans="1:61">
      <c r="B102" s="103" t="s">
        <v>741</v>
      </c>
      <c r="C102" s="1" t="s">
        <v>290</v>
      </c>
      <c r="D102" s="2"/>
      <c r="E102" s="2"/>
      <c r="F102" s="8"/>
      <c r="G102" s="8"/>
      <c r="H102" s="8"/>
      <c r="K102" s="3"/>
      <c r="R102" s="3">
        <v>3.5</v>
      </c>
      <c r="W102" s="3"/>
      <c r="AA102" s="3">
        <v>3</v>
      </c>
      <c r="AP102" s="3">
        <v>20</v>
      </c>
      <c r="AS102" s="3">
        <v>20</v>
      </c>
    </row>
    <row r="103" spans="1:61">
      <c r="B103" s="103" t="s">
        <v>741</v>
      </c>
      <c r="C103" s="1" t="s">
        <v>64</v>
      </c>
      <c r="D103" s="2"/>
      <c r="E103" s="2"/>
      <c r="F103" s="8"/>
      <c r="G103" s="8"/>
      <c r="H103" s="8"/>
      <c r="K103" s="3"/>
      <c r="M103" s="3">
        <v>9.5</v>
      </c>
      <c r="O103" s="3">
        <v>9.5</v>
      </c>
      <c r="R103" s="3">
        <v>9</v>
      </c>
      <c r="T103" s="3">
        <f>R103-O103</f>
        <v>-0.5</v>
      </c>
      <c r="U103" s="3">
        <v>8</v>
      </c>
      <c r="W103" s="3">
        <f>U103-R103</f>
        <v>-1</v>
      </c>
      <c r="X103" s="3">
        <v>19.7</v>
      </c>
      <c r="Z103" s="3">
        <f>X103-U103</f>
        <v>11.7</v>
      </c>
      <c r="AA103" s="3">
        <v>19.5</v>
      </c>
      <c r="AC103" s="3">
        <f>AA103-X103</f>
        <v>-0.19999999999999929</v>
      </c>
      <c r="AD103" s="24">
        <v>18</v>
      </c>
      <c r="AF103" s="24">
        <f>AD103-AA103</f>
        <v>-1.5</v>
      </c>
      <c r="AG103" s="3">
        <v>11.9</v>
      </c>
      <c r="AI103" s="3">
        <f>AG103-AD103</f>
        <v>-6.1</v>
      </c>
      <c r="AJ103" s="3">
        <v>11.9</v>
      </c>
      <c r="AL103" s="3">
        <f>AJ103-AG103</f>
        <v>0</v>
      </c>
      <c r="AM103" s="3">
        <v>8.17</v>
      </c>
      <c r="AO103" s="3">
        <f>AM103-AJ103</f>
        <v>-3.7300000000000004</v>
      </c>
      <c r="AP103" s="3">
        <v>10.7</v>
      </c>
      <c r="AS103" s="3">
        <v>8</v>
      </c>
      <c r="BD103" s="3">
        <v>3</v>
      </c>
      <c r="BE103" s="1" t="s">
        <v>862</v>
      </c>
      <c r="BH103" s="3">
        <v>5.4</v>
      </c>
      <c r="BI103" s="1" t="s">
        <v>862</v>
      </c>
    </row>
    <row r="104" spans="1:61">
      <c r="B104" s="103" t="s">
        <v>741</v>
      </c>
      <c r="C104" s="1" t="s">
        <v>855</v>
      </c>
      <c r="D104" s="2"/>
      <c r="E104" s="2"/>
      <c r="F104" s="8"/>
      <c r="G104" s="8"/>
      <c r="H104" s="8"/>
      <c r="K104" s="3"/>
      <c r="T104" s="3"/>
      <c r="W104" s="3"/>
      <c r="AC104" s="3"/>
      <c r="AF104" s="24"/>
      <c r="AI104" s="3"/>
      <c r="AL104" s="3"/>
      <c r="AO104" s="3"/>
      <c r="BH104" s="3">
        <v>4.8</v>
      </c>
      <c r="BI104" s="1" t="s">
        <v>862</v>
      </c>
    </row>
    <row r="105" spans="1:61">
      <c r="B105" s="103" t="s">
        <v>741</v>
      </c>
      <c r="C105" s="1" t="s">
        <v>286</v>
      </c>
      <c r="D105" s="2"/>
      <c r="E105" s="2"/>
      <c r="F105" s="8"/>
      <c r="G105" s="8"/>
      <c r="H105" s="8"/>
      <c r="K105" s="3"/>
      <c r="M105" s="3">
        <v>12</v>
      </c>
      <c r="O105" s="3">
        <v>12</v>
      </c>
      <c r="R105" s="3">
        <v>12.5</v>
      </c>
      <c r="T105" s="3">
        <f>R105-O105</f>
        <v>0.5</v>
      </c>
      <c r="U105" s="3">
        <v>9</v>
      </c>
      <c r="W105" s="3">
        <f>U105-R105</f>
        <v>-3.5</v>
      </c>
      <c r="X105" s="3">
        <v>17</v>
      </c>
      <c r="Z105" s="3">
        <f>X105-U105</f>
        <v>8</v>
      </c>
      <c r="AA105" s="3">
        <v>18.2</v>
      </c>
      <c r="AC105" s="3">
        <f>AA105-X105</f>
        <v>1.1999999999999993</v>
      </c>
      <c r="AG105" s="3">
        <v>13.05</v>
      </c>
      <c r="AJ105" s="3">
        <v>10.7</v>
      </c>
      <c r="AL105" s="3">
        <f>AJ105-AG105</f>
        <v>-2.3500000000000014</v>
      </c>
      <c r="AM105" s="3">
        <v>9</v>
      </c>
      <c r="AO105" s="3">
        <f>AM105-AJ105</f>
        <v>-1.6999999999999993</v>
      </c>
      <c r="AP105" s="3">
        <v>10.9</v>
      </c>
      <c r="AS105" s="3">
        <v>8</v>
      </c>
      <c r="BD105" s="3">
        <v>3.69</v>
      </c>
      <c r="BE105" s="1" t="s">
        <v>862</v>
      </c>
      <c r="BH105" s="3">
        <v>4.2</v>
      </c>
      <c r="BI105" s="1" t="s">
        <v>862</v>
      </c>
    </row>
    <row r="106" spans="1:61" ht="9.6" customHeight="1">
      <c r="B106" s="103" t="s">
        <v>741</v>
      </c>
      <c r="C106" s="1" t="s">
        <v>288</v>
      </c>
      <c r="D106" s="2"/>
      <c r="E106" s="2"/>
      <c r="F106" s="8"/>
      <c r="G106" s="8"/>
      <c r="H106" s="8"/>
      <c r="K106" s="3"/>
      <c r="M106" s="3">
        <v>18</v>
      </c>
      <c r="O106" s="3">
        <v>18</v>
      </c>
      <c r="R106" s="3">
        <v>15</v>
      </c>
      <c r="T106" s="3">
        <f>R106-O106</f>
        <v>-3</v>
      </c>
      <c r="U106" s="3">
        <v>12.5</v>
      </c>
      <c r="W106" s="3">
        <f>U106-R106</f>
        <v>-2.5</v>
      </c>
      <c r="X106" s="3">
        <v>20</v>
      </c>
      <c r="Z106" s="3">
        <f>X106-U106</f>
        <v>7.5</v>
      </c>
      <c r="AA106" s="3">
        <v>19.3</v>
      </c>
      <c r="AC106" s="3">
        <f>AA106-X106</f>
        <v>-0.69999999999999929</v>
      </c>
      <c r="AD106" s="24">
        <v>16.8</v>
      </c>
      <c r="AF106" s="24">
        <f>AD106-AA106</f>
        <v>-2.5</v>
      </c>
      <c r="AG106" s="3">
        <v>12.9</v>
      </c>
      <c r="AI106" s="3">
        <f>AG106-AD106</f>
        <v>-3.9000000000000004</v>
      </c>
      <c r="AJ106" s="3">
        <v>12.38</v>
      </c>
      <c r="AL106" s="3">
        <f>AJ106-AG106</f>
        <v>-0.51999999999999957</v>
      </c>
      <c r="AM106" s="3">
        <v>8.9</v>
      </c>
      <c r="AO106" s="3">
        <f>AM106-AJ106</f>
        <v>-3.4800000000000004</v>
      </c>
      <c r="AP106" s="3">
        <v>10.24</v>
      </c>
      <c r="AS106" s="3">
        <v>10</v>
      </c>
      <c r="BD106" s="3">
        <v>2.65</v>
      </c>
      <c r="BE106" s="1" t="s">
        <v>862</v>
      </c>
      <c r="BH106" s="3">
        <v>4</v>
      </c>
      <c r="BI106" s="1" t="s">
        <v>862</v>
      </c>
    </row>
    <row r="107" spans="1:61" ht="9.6" customHeight="1">
      <c r="A107" s="6">
        <v>11</v>
      </c>
      <c r="B107" s="103" t="s">
        <v>741</v>
      </c>
      <c r="C107" s="1" t="s">
        <v>57</v>
      </c>
      <c r="D107" s="2">
        <v>20</v>
      </c>
      <c r="E107" s="2"/>
      <c r="F107" s="8">
        <v>16</v>
      </c>
      <c r="G107" s="8"/>
      <c r="H107" s="8">
        <v>16</v>
      </c>
      <c r="I107" s="8">
        <f>H107-D107</f>
        <v>-4</v>
      </c>
      <c r="M107" s="3">
        <v>14</v>
      </c>
      <c r="O107" s="3">
        <v>14</v>
      </c>
      <c r="Q107" s="3">
        <f>O107-H107</f>
        <v>-2</v>
      </c>
      <c r="R107" s="3">
        <v>15.5</v>
      </c>
      <c r="T107" s="3">
        <f>R107-O107</f>
        <v>1.5</v>
      </c>
      <c r="X107" s="3">
        <v>15.5</v>
      </c>
      <c r="AA107" s="3">
        <v>16.5</v>
      </c>
      <c r="AC107" s="3">
        <f>AA107-X107</f>
        <v>1</v>
      </c>
    </row>
    <row r="108" spans="1:61">
      <c r="B108" s="103" t="s">
        <v>741</v>
      </c>
      <c r="C108" s="1" t="s">
        <v>287</v>
      </c>
      <c r="D108" s="2"/>
      <c r="E108" s="2"/>
      <c r="F108" s="8"/>
      <c r="G108" s="8"/>
      <c r="H108" s="8"/>
      <c r="K108" s="3"/>
      <c r="M108" s="3">
        <v>12</v>
      </c>
      <c r="O108" s="3">
        <v>12</v>
      </c>
      <c r="R108" s="3">
        <v>13</v>
      </c>
      <c r="T108" s="3">
        <f>R108-O108</f>
        <v>1</v>
      </c>
      <c r="U108" s="3">
        <v>10</v>
      </c>
      <c r="W108" s="3">
        <f>U108-R108</f>
        <v>-3</v>
      </c>
      <c r="X108" s="3">
        <v>16.100000000000001</v>
      </c>
      <c r="Z108" s="3">
        <f>X108-U108</f>
        <v>6.1000000000000014</v>
      </c>
      <c r="AA108" s="3">
        <v>17.149999999999999</v>
      </c>
      <c r="AC108" s="3">
        <f>AA108-X108</f>
        <v>1.0499999999999972</v>
      </c>
      <c r="AD108" s="24">
        <v>17</v>
      </c>
      <c r="AF108" s="24">
        <f>AD108-AA108</f>
        <v>-0.14999999999999858</v>
      </c>
      <c r="AG108" s="3">
        <v>16.899999999999999</v>
      </c>
      <c r="AI108" s="3">
        <f>AG108-AD108</f>
        <v>-0.10000000000000142</v>
      </c>
      <c r="AJ108" s="3">
        <v>16.899999999999999</v>
      </c>
      <c r="AL108" s="3">
        <f>AJ108-AG108</f>
        <v>0</v>
      </c>
      <c r="AM108" s="3">
        <v>12</v>
      </c>
      <c r="AO108" s="3">
        <f>AM108-AJ108</f>
        <v>-4.8999999999999986</v>
      </c>
      <c r="AS108" s="3">
        <v>12.35</v>
      </c>
      <c r="BD108" s="3">
        <v>8.82</v>
      </c>
      <c r="BE108" s="1" t="s">
        <v>862</v>
      </c>
      <c r="BH108" s="3">
        <v>8.0500000000000007</v>
      </c>
      <c r="BI108" s="1" t="s">
        <v>862</v>
      </c>
    </row>
    <row r="109" spans="1:61">
      <c r="B109" s="103" t="s">
        <v>741</v>
      </c>
      <c r="C109" s="1" t="s">
        <v>872</v>
      </c>
      <c r="D109" s="2"/>
      <c r="E109" s="2"/>
      <c r="F109" s="8"/>
      <c r="G109" s="8"/>
      <c r="H109" s="8"/>
      <c r="K109" s="3"/>
      <c r="T109" s="3"/>
      <c r="W109" s="3"/>
      <c r="AC109" s="3"/>
      <c r="AF109" s="24"/>
      <c r="AI109" s="3"/>
      <c r="AL109" s="3"/>
      <c r="AO109" s="3"/>
      <c r="BD109" s="3">
        <v>179</v>
      </c>
      <c r="BE109" s="1" t="s">
        <v>862</v>
      </c>
      <c r="BH109" s="3">
        <v>160</v>
      </c>
      <c r="BI109" s="1" t="s">
        <v>862</v>
      </c>
    </row>
    <row r="110" spans="1:61">
      <c r="A110" s="6">
        <v>1</v>
      </c>
      <c r="B110" s="103" t="s">
        <v>768</v>
      </c>
      <c r="C110" s="1" t="s">
        <v>52</v>
      </c>
      <c r="D110" s="2"/>
      <c r="E110" s="2"/>
      <c r="F110" s="9">
        <v>0</v>
      </c>
      <c r="H110" s="9">
        <v>0</v>
      </c>
    </row>
    <row r="111" spans="1:61">
      <c r="A111" s="6">
        <v>3</v>
      </c>
      <c r="B111" s="103" t="s">
        <v>768</v>
      </c>
      <c r="C111" s="1" t="s">
        <v>54</v>
      </c>
      <c r="D111" s="2"/>
      <c r="E111" s="2"/>
      <c r="F111" s="9">
        <v>0</v>
      </c>
      <c r="H111" s="9">
        <v>0</v>
      </c>
    </row>
    <row r="112" spans="1:61">
      <c r="A112" s="6">
        <v>4</v>
      </c>
      <c r="B112" s="103" t="s">
        <v>768</v>
      </c>
      <c r="C112" s="1" t="s">
        <v>55</v>
      </c>
      <c r="D112" s="2"/>
      <c r="E112" s="2"/>
      <c r="F112" s="9">
        <v>0</v>
      </c>
      <c r="H112" s="9">
        <v>0</v>
      </c>
    </row>
    <row r="113" spans="1:61">
      <c r="A113" s="6">
        <v>5</v>
      </c>
      <c r="B113" s="103" t="s">
        <v>768</v>
      </c>
      <c r="C113" s="1" t="s">
        <v>56</v>
      </c>
      <c r="D113" s="2"/>
      <c r="E113" s="2"/>
      <c r="F113" s="9">
        <v>0</v>
      </c>
      <c r="H113" s="9">
        <v>0</v>
      </c>
    </row>
    <row r="114" spans="1:61">
      <c r="A114" s="6">
        <v>2</v>
      </c>
      <c r="B114" s="103" t="s">
        <v>768</v>
      </c>
      <c r="C114" s="1" t="s">
        <v>53</v>
      </c>
      <c r="D114" s="2"/>
      <c r="E114" s="2"/>
      <c r="F114" s="9">
        <v>4.1100000000000003</v>
      </c>
      <c r="H114" s="9">
        <v>4.1100000000000003</v>
      </c>
      <c r="M114" s="3">
        <v>4.87</v>
      </c>
      <c r="O114" s="3">
        <v>4.87</v>
      </c>
      <c r="Q114" s="3">
        <f>O114-H114</f>
        <v>0.75999999999999979</v>
      </c>
      <c r="R114" s="3">
        <v>8.1999999999999993</v>
      </c>
      <c r="T114" s="3">
        <f>R114-O114</f>
        <v>3.3299999999999992</v>
      </c>
      <c r="U114" s="3">
        <v>8</v>
      </c>
      <c r="W114" s="3">
        <f>U114-R114</f>
        <v>-0.19999999999999929</v>
      </c>
      <c r="X114" s="3">
        <v>16</v>
      </c>
      <c r="Z114" s="3">
        <f>X114-U114</f>
        <v>8</v>
      </c>
      <c r="AA114" s="3">
        <v>17</v>
      </c>
      <c r="AC114" s="3">
        <f>AA114-X114</f>
        <v>1</v>
      </c>
    </row>
    <row r="115" spans="1:61">
      <c r="B115" s="103" t="s">
        <v>768</v>
      </c>
      <c r="C115" s="1" t="s">
        <v>158</v>
      </c>
      <c r="D115" s="2"/>
      <c r="E115" s="2"/>
      <c r="T115" s="3"/>
      <c r="U115" s="3">
        <v>3.3</v>
      </c>
      <c r="X115" s="3">
        <v>5.6</v>
      </c>
      <c r="Z115" s="3">
        <f>X115-U115</f>
        <v>2.2999999999999998</v>
      </c>
      <c r="AA115" s="3">
        <v>5.6</v>
      </c>
      <c r="AC115" s="3">
        <f>AA115-X115</f>
        <v>0</v>
      </c>
    </row>
    <row r="116" spans="1:61">
      <c r="B116" s="103" t="s">
        <v>768</v>
      </c>
      <c r="C116" s="1" t="s">
        <v>595</v>
      </c>
      <c r="D116" s="2"/>
      <c r="E116" s="2"/>
      <c r="Q116" s="3"/>
      <c r="T116" s="3"/>
      <c r="U116" s="3">
        <v>5</v>
      </c>
    </row>
    <row r="117" spans="1:61">
      <c r="B117" s="103" t="s">
        <v>768</v>
      </c>
      <c r="C117" s="1" t="s">
        <v>700</v>
      </c>
      <c r="D117" s="2"/>
      <c r="E117" s="2"/>
      <c r="Q117" s="3"/>
      <c r="T117" s="3"/>
      <c r="AD117" s="24">
        <v>5</v>
      </c>
      <c r="AG117" s="3">
        <v>3</v>
      </c>
    </row>
    <row r="118" spans="1:61">
      <c r="A118" s="6">
        <v>12</v>
      </c>
      <c r="B118" s="103" t="s">
        <v>768</v>
      </c>
      <c r="C118" s="1" t="s">
        <v>594</v>
      </c>
      <c r="D118" s="2"/>
      <c r="E118" s="2"/>
      <c r="F118" s="9">
        <v>3.6</v>
      </c>
      <c r="H118" s="9">
        <v>3.6</v>
      </c>
      <c r="M118" s="3">
        <v>4.22</v>
      </c>
      <c r="O118" s="3">
        <v>4.22</v>
      </c>
      <c r="Q118" s="3">
        <f>O118-H118</f>
        <v>0.61999999999999966</v>
      </c>
      <c r="R118" s="3">
        <v>5.9</v>
      </c>
      <c r="T118" s="3">
        <f>R118-O118</f>
        <v>1.6800000000000006</v>
      </c>
      <c r="U118" s="3">
        <v>5</v>
      </c>
      <c r="W118" s="3">
        <f>U118-R118</f>
        <v>-0.90000000000000036</v>
      </c>
      <c r="X118" s="3">
        <v>10</v>
      </c>
      <c r="Z118" s="3">
        <f>X118-U118</f>
        <v>5</v>
      </c>
      <c r="AA118" s="3">
        <v>8.1</v>
      </c>
      <c r="AC118" s="3">
        <f>AA118-X118</f>
        <v>-1.9000000000000004</v>
      </c>
      <c r="AD118" s="24">
        <v>4.75</v>
      </c>
      <c r="AF118" s="24">
        <f>AD118-AA118</f>
        <v>-3.3499999999999996</v>
      </c>
      <c r="AG118" s="3">
        <v>5.9</v>
      </c>
      <c r="AI118" s="3">
        <f>AG118-AD118</f>
        <v>1.1500000000000004</v>
      </c>
      <c r="AJ118" s="3">
        <v>6</v>
      </c>
      <c r="AL118" s="3">
        <f>AJ118-AG118</f>
        <v>9.9999999999999645E-2</v>
      </c>
      <c r="AM118" s="3">
        <v>5.2</v>
      </c>
      <c r="AO118" s="3">
        <f>AM118-AJ118</f>
        <v>-0.79999999999999982</v>
      </c>
      <c r="AP118" s="3">
        <v>7.4</v>
      </c>
      <c r="AS118" s="3">
        <v>7.2</v>
      </c>
      <c r="AV118" s="3">
        <v>7</v>
      </c>
      <c r="AZ118" s="3">
        <v>6.02</v>
      </c>
      <c r="BA118" s="1" t="s">
        <v>852</v>
      </c>
      <c r="BD118" s="3">
        <v>5.12</v>
      </c>
      <c r="BE118" s="1" t="s">
        <v>852</v>
      </c>
      <c r="BH118" s="3">
        <v>6.11</v>
      </c>
      <c r="BI118" s="1" t="s">
        <v>852</v>
      </c>
    </row>
    <row r="119" spans="1:61">
      <c r="A119" s="6">
        <v>14</v>
      </c>
      <c r="B119" s="103" t="s">
        <v>768</v>
      </c>
      <c r="C119" s="1" t="s">
        <v>58</v>
      </c>
      <c r="D119" s="2"/>
      <c r="E119" s="2"/>
      <c r="F119" s="9">
        <v>6.85</v>
      </c>
      <c r="H119" s="9">
        <v>6.85</v>
      </c>
      <c r="M119" s="3">
        <v>6.5</v>
      </c>
      <c r="O119" s="3">
        <v>6.5</v>
      </c>
      <c r="Q119" s="3">
        <f>O119-H119</f>
        <v>-0.34999999999999964</v>
      </c>
      <c r="R119" s="3">
        <v>11.48</v>
      </c>
      <c r="T119" s="3">
        <f>R119-O119</f>
        <v>4.9800000000000004</v>
      </c>
      <c r="U119" s="3">
        <v>10</v>
      </c>
      <c r="W119" s="3">
        <f>U119-R119</f>
        <v>-1.4800000000000004</v>
      </c>
      <c r="X119" s="3">
        <v>18</v>
      </c>
      <c r="Z119" s="3">
        <f>X119-U119</f>
        <v>8</v>
      </c>
      <c r="AA119" s="3">
        <v>19</v>
      </c>
      <c r="AC119" s="3">
        <f>AA119-X119</f>
        <v>1</v>
      </c>
      <c r="AD119" s="24">
        <v>8.1300000000000008</v>
      </c>
      <c r="AF119" s="24">
        <f>AD119-AA119</f>
        <v>-10.87</v>
      </c>
      <c r="AG119" s="3">
        <v>14.5</v>
      </c>
      <c r="AI119" s="3">
        <f>AG119-AD119</f>
        <v>6.3699999999999992</v>
      </c>
      <c r="AJ119" s="3">
        <v>12.12</v>
      </c>
      <c r="AL119" s="3">
        <f>AJ119-AG119</f>
        <v>-2.3800000000000008</v>
      </c>
      <c r="AM119" s="3">
        <v>11.5</v>
      </c>
      <c r="AO119" s="3">
        <f>AM119-AJ119</f>
        <v>-0.61999999999999922</v>
      </c>
      <c r="AP119" s="3">
        <v>10.7</v>
      </c>
      <c r="AS119" s="3">
        <v>9.1</v>
      </c>
      <c r="AV119" s="3">
        <v>9.25</v>
      </c>
      <c r="AZ119" s="3">
        <v>9.58</v>
      </c>
      <c r="BA119" s="1" t="s">
        <v>852</v>
      </c>
      <c r="BD119" s="3">
        <v>8.01</v>
      </c>
      <c r="BE119" s="1" t="s">
        <v>852</v>
      </c>
      <c r="BH119" s="3">
        <v>10.31</v>
      </c>
      <c r="BI119" s="1" t="s">
        <v>852</v>
      </c>
    </row>
    <row r="120" spans="1:61">
      <c r="B120" s="103" t="s">
        <v>768</v>
      </c>
      <c r="C120" s="1" t="s">
        <v>291</v>
      </c>
      <c r="D120" s="2"/>
      <c r="E120" s="2"/>
      <c r="T120" s="3"/>
      <c r="U120" s="3">
        <v>9.6</v>
      </c>
    </row>
    <row r="121" spans="1:61" ht="9.6" customHeight="1">
      <c r="B121" s="103" t="s">
        <v>768</v>
      </c>
      <c r="C121" s="1" t="s">
        <v>857</v>
      </c>
      <c r="D121" s="2"/>
      <c r="E121" s="2"/>
      <c r="T121" s="3"/>
      <c r="BD121" s="3">
        <v>11.1</v>
      </c>
      <c r="BE121" s="1" t="s">
        <v>852</v>
      </c>
      <c r="BH121" s="3">
        <v>11.1</v>
      </c>
      <c r="BI121" s="1" t="s">
        <v>852</v>
      </c>
    </row>
    <row r="122" spans="1:61">
      <c r="B122" s="103" t="s">
        <v>768</v>
      </c>
      <c r="C122" s="1" t="s">
        <v>289</v>
      </c>
      <c r="D122" s="2"/>
      <c r="E122" s="2"/>
      <c r="R122" s="3">
        <v>57.37</v>
      </c>
      <c r="T122" s="3"/>
      <c r="U122" s="3">
        <v>21.33</v>
      </c>
      <c r="W122" s="3">
        <f>U122-R122</f>
        <v>-36.04</v>
      </c>
      <c r="X122" s="3">
        <v>45</v>
      </c>
      <c r="Z122" s="3">
        <f>X122-U122</f>
        <v>23.67</v>
      </c>
      <c r="AA122" s="3">
        <v>45</v>
      </c>
      <c r="AC122" s="3">
        <f>AA122-X122</f>
        <v>0</v>
      </c>
      <c r="AD122" s="24">
        <v>16.25</v>
      </c>
      <c r="AF122" s="24">
        <f>AD122-AA122</f>
        <v>-28.75</v>
      </c>
      <c r="AG122" s="3">
        <v>36</v>
      </c>
      <c r="AI122" s="3">
        <f>AG122-AD122</f>
        <v>19.75</v>
      </c>
      <c r="AJ122" s="3">
        <v>40.5</v>
      </c>
      <c r="AL122" s="3">
        <f>AJ122-AG122</f>
        <v>4.5</v>
      </c>
      <c r="AM122" s="3">
        <v>38</v>
      </c>
      <c r="AO122" s="3">
        <f>AM122-AJ122</f>
        <v>-2.5</v>
      </c>
      <c r="AP122" s="3">
        <v>31.26</v>
      </c>
      <c r="AS122" s="3">
        <v>12.1</v>
      </c>
      <c r="AV122" s="3">
        <v>21</v>
      </c>
      <c r="AZ122" s="3">
        <v>21.65</v>
      </c>
      <c r="BA122" s="1" t="s">
        <v>852</v>
      </c>
      <c r="BD122" s="3">
        <v>19.829999999999998</v>
      </c>
      <c r="BE122" s="1" t="s">
        <v>852</v>
      </c>
    </row>
    <row r="123" spans="1:61">
      <c r="B123" s="103" t="s">
        <v>768</v>
      </c>
      <c r="C123" s="1" t="s">
        <v>160</v>
      </c>
      <c r="D123" s="2"/>
      <c r="E123" s="2"/>
      <c r="T123" s="3"/>
      <c r="W123" s="3"/>
      <c r="AC123" s="3"/>
      <c r="AG123" s="3">
        <v>3</v>
      </c>
      <c r="AJ123" s="3">
        <v>3</v>
      </c>
    </row>
    <row r="124" spans="1:61">
      <c r="B124" s="103" t="s">
        <v>768</v>
      </c>
      <c r="C124" s="1" t="s">
        <v>74</v>
      </c>
      <c r="D124" s="2"/>
      <c r="E124" s="2"/>
      <c r="T124" s="3"/>
      <c r="U124" s="3">
        <v>2.2000000000000002</v>
      </c>
      <c r="X124" s="3">
        <v>4</v>
      </c>
      <c r="Z124" s="3">
        <f>X124-U124</f>
        <v>1.7999999999999998</v>
      </c>
      <c r="AA124" s="3">
        <v>4</v>
      </c>
      <c r="AC124" s="3">
        <f>AA124-X124</f>
        <v>0</v>
      </c>
    </row>
    <row r="125" spans="1:61">
      <c r="B125" s="103" t="s">
        <v>768</v>
      </c>
      <c r="C125" s="1" t="s">
        <v>290</v>
      </c>
      <c r="D125" s="2"/>
      <c r="E125" s="2"/>
      <c r="T125" s="3"/>
      <c r="U125" s="3">
        <v>7.48</v>
      </c>
      <c r="AD125" s="24">
        <v>15</v>
      </c>
    </row>
    <row r="126" spans="1:61" ht="9" customHeight="1">
      <c r="B126" s="103" t="s">
        <v>768</v>
      </c>
      <c r="C126" s="1" t="s">
        <v>64</v>
      </c>
      <c r="D126" s="2"/>
      <c r="E126" s="2"/>
      <c r="M126" s="3">
        <v>13</v>
      </c>
      <c r="O126" s="3">
        <v>13</v>
      </c>
      <c r="R126" s="3">
        <v>16.39</v>
      </c>
      <c r="T126" s="3">
        <f>R126-O126</f>
        <v>3.3900000000000006</v>
      </c>
      <c r="U126" s="3">
        <v>13</v>
      </c>
      <c r="W126" s="3">
        <f>U126-R126</f>
        <v>-3.3900000000000006</v>
      </c>
      <c r="X126" s="3">
        <v>27</v>
      </c>
      <c r="Z126" s="3">
        <f>X126-U126</f>
        <v>14</v>
      </c>
      <c r="AA126" s="3">
        <v>21.6</v>
      </c>
      <c r="AC126" s="3">
        <f>AA126-X126</f>
        <v>-5.3999999999999986</v>
      </c>
      <c r="AD126" s="24">
        <v>14.38</v>
      </c>
      <c r="AF126" s="24">
        <f>AD126-AA126</f>
        <v>-7.2200000000000006</v>
      </c>
      <c r="AG126" s="3">
        <v>14.5</v>
      </c>
      <c r="AI126" s="3">
        <f>AG126-AD126</f>
        <v>0.11999999999999922</v>
      </c>
      <c r="AJ126" s="3">
        <v>13.34</v>
      </c>
      <c r="AL126" s="3">
        <f>AJ126-AG126</f>
        <v>-1.1600000000000001</v>
      </c>
      <c r="AM126" s="3">
        <v>12.6</v>
      </c>
      <c r="AO126" s="3">
        <f>AM126-AJ126</f>
        <v>-0.74000000000000021</v>
      </c>
      <c r="AP126" s="3">
        <v>13.4</v>
      </c>
      <c r="AS126" s="3">
        <v>11.5</v>
      </c>
      <c r="AV126" s="3">
        <v>11.6</v>
      </c>
      <c r="AZ126" s="3">
        <v>10.25</v>
      </c>
      <c r="BA126" s="1" t="s">
        <v>852</v>
      </c>
      <c r="BD126" s="3">
        <v>9.16</v>
      </c>
      <c r="BE126" s="1" t="s">
        <v>852</v>
      </c>
      <c r="BH126" s="3">
        <v>14.14</v>
      </c>
      <c r="BI126" s="1" t="s">
        <v>852</v>
      </c>
    </row>
    <row r="127" spans="1:61">
      <c r="B127" s="103" t="s">
        <v>768</v>
      </c>
      <c r="C127" s="1" t="s">
        <v>286</v>
      </c>
      <c r="D127" s="2"/>
      <c r="E127" s="2"/>
      <c r="R127" s="3">
        <v>16.39</v>
      </c>
      <c r="T127" s="3"/>
      <c r="U127" s="3">
        <v>12</v>
      </c>
      <c r="W127" s="3">
        <f>U127-R127</f>
        <v>-4.3900000000000006</v>
      </c>
      <c r="X127" s="3">
        <v>22</v>
      </c>
      <c r="Z127" s="3">
        <f>X127-U127</f>
        <v>10</v>
      </c>
      <c r="AA127" s="3">
        <v>23</v>
      </c>
      <c r="AC127" s="3">
        <f>AA127-X127</f>
        <v>1</v>
      </c>
      <c r="AD127" s="24">
        <v>12.5</v>
      </c>
      <c r="AF127" s="24">
        <f>AD127-AA127</f>
        <v>-10.5</v>
      </c>
      <c r="AG127" s="3">
        <v>16</v>
      </c>
      <c r="AI127" s="3">
        <f>AG127-AD127</f>
        <v>3.5</v>
      </c>
      <c r="AJ127" s="3">
        <v>14.55</v>
      </c>
      <c r="AL127" s="3">
        <f>AJ127-AG127</f>
        <v>-1.4499999999999993</v>
      </c>
      <c r="AM127" s="3">
        <v>12.6</v>
      </c>
      <c r="AO127" s="3">
        <f>AM127-AJ127</f>
        <v>-1.9500000000000011</v>
      </c>
      <c r="AP127" s="3">
        <v>12.9</v>
      </c>
      <c r="AS127" s="3">
        <v>11.3</v>
      </c>
      <c r="AV127" s="3">
        <v>11.56</v>
      </c>
      <c r="AZ127" s="3">
        <v>9.35</v>
      </c>
      <c r="BA127" s="1" t="s">
        <v>852</v>
      </c>
      <c r="BD127" s="3">
        <v>9.02</v>
      </c>
      <c r="BE127" s="1" t="s">
        <v>852</v>
      </c>
      <c r="BH127" s="3">
        <v>12.1</v>
      </c>
      <c r="BI127" s="1" t="s">
        <v>852</v>
      </c>
    </row>
    <row r="128" spans="1:61">
      <c r="B128" s="103" t="s">
        <v>768</v>
      </c>
      <c r="C128" s="1" t="s">
        <v>288</v>
      </c>
      <c r="D128" s="2"/>
      <c r="E128" s="2"/>
      <c r="R128" s="3">
        <v>16.39</v>
      </c>
      <c r="T128" s="3"/>
      <c r="U128" s="3">
        <v>14</v>
      </c>
      <c r="W128" s="3">
        <f>U128-R128</f>
        <v>-2.3900000000000006</v>
      </c>
      <c r="X128" s="3">
        <v>21</v>
      </c>
      <c r="Z128" s="3">
        <f>X128-U128</f>
        <v>7</v>
      </c>
      <c r="AA128" s="3">
        <v>24.3</v>
      </c>
      <c r="AC128" s="3">
        <f>AA128-X128</f>
        <v>3.3000000000000007</v>
      </c>
      <c r="AD128" s="24">
        <v>12.5</v>
      </c>
      <c r="AF128" s="24">
        <f>AD128-AA128</f>
        <v>-11.8</v>
      </c>
      <c r="AG128" s="3">
        <v>14.5</v>
      </c>
      <c r="AI128" s="3">
        <f>AG128-AD128</f>
        <v>2</v>
      </c>
      <c r="AJ128" s="3">
        <v>10.199999999999999</v>
      </c>
      <c r="AL128" s="3">
        <f>AJ128-AG128</f>
        <v>-4.3000000000000007</v>
      </c>
      <c r="AM128" s="3">
        <v>13.6</v>
      </c>
      <c r="AO128" s="3">
        <f>AM128-AJ128</f>
        <v>3.4000000000000004</v>
      </c>
      <c r="AP128" s="3">
        <v>12.9</v>
      </c>
      <c r="AS128" s="3">
        <v>10.3</v>
      </c>
      <c r="AV128" s="3">
        <v>11</v>
      </c>
      <c r="AZ128" s="3">
        <v>9.35</v>
      </c>
      <c r="BA128" s="1" t="s">
        <v>852</v>
      </c>
      <c r="BD128" s="3">
        <v>8.7799999999999994</v>
      </c>
      <c r="BE128" s="1" t="s">
        <v>852</v>
      </c>
      <c r="BH128" s="3">
        <v>11.88</v>
      </c>
      <c r="BI128" s="1" t="s">
        <v>852</v>
      </c>
    </row>
    <row r="129" spans="1:61">
      <c r="A129" s="6">
        <v>11</v>
      </c>
      <c r="B129" s="103" t="s">
        <v>768</v>
      </c>
      <c r="C129" s="1" t="s">
        <v>57</v>
      </c>
      <c r="D129" s="2"/>
      <c r="E129" s="2"/>
      <c r="F129" s="9">
        <v>11</v>
      </c>
      <c r="H129" s="9">
        <v>11</v>
      </c>
      <c r="M129" s="3">
        <v>13</v>
      </c>
      <c r="O129" s="3">
        <v>13</v>
      </c>
      <c r="Q129" s="3">
        <f>O129-H129</f>
        <v>2</v>
      </c>
    </row>
    <row r="130" spans="1:61">
      <c r="B130" s="103" t="s">
        <v>768</v>
      </c>
      <c r="C130" s="1" t="s">
        <v>287</v>
      </c>
      <c r="D130" s="2"/>
      <c r="E130" s="2"/>
      <c r="T130" s="3"/>
      <c r="W130" s="3"/>
      <c r="AC130" s="3"/>
      <c r="AD130" s="24">
        <v>11.25</v>
      </c>
      <c r="AG130" s="3">
        <v>17.5</v>
      </c>
      <c r="AI130" s="3">
        <f>AG130-AD130</f>
        <v>6.25</v>
      </c>
      <c r="AJ130" s="3">
        <v>17.7</v>
      </c>
      <c r="AL130" s="3">
        <f>AJ130-AG130</f>
        <v>0.19999999999999929</v>
      </c>
      <c r="AM130" s="3">
        <v>15.7</v>
      </c>
      <c r="AO130" s="3">
        <f>AM130-AJ130</f>
        <v>-2</v>
      </c>
      <c r="AP130" s="3">
        <v>12.9</v>
      </c>
      <c r="AS130" s="3">
        <v>11</v>
      </c>
      <c r="AV130" s="3">
        <v>11.86</v>
      </c>
      <c r="AZ130" s="3">
        <v>11.46</v>
      </c>
      <c r="BA130" s="1" t="s">
        <v>852</v>
      </c>
      <c r="BD130" s="3">
        <v>10.59</v>
      </c>
      <c r="BE130" s="1" t="s">
        <v>852</v>
      </c>
      <c r="BH130" s="3">
        <v>18</v>
      </c>
      <c r="BI130" s="1" t="s">
        <v>852</v>
      </c>
    </row>
    <row r="131" spans="1:61">
      <c r="A131" s="6">
        <v>1</v>
      </c>
      <c r="B131" s="1" t="s">
        <v>542</v>
      </c>
      <c r="C131" s="1" t="s">
        <v>52</v>
      </c>
      <c r="D131" s="2"/>
      <c r="E131" s="2"/>
      <c r="F131" s="9">
        <v>0</v>
      </c>
      <c r="H131" s="9">
        <v>0</v>
      </c>
      <c r="AE131" s="24"/>
    </row>
    <row r="132" spans="1:61">
      <c r="A132" s="6">
        <v>3</v>
      </c>
      <c r="B132" s="1" t="s">
        <v>542</v>
      </c>
      <c r="C132" s="1" t="s">
        <v>54</v>
      </c>
      <c r="D132" s="2"/>
      <c r="E132" s="2"/>
      <c r="F132" s="9">
        <v>0</v>
      </c>
      <c r="H132" s="9">
        <v>0</v>
      </c>
      <c r="AE132" s="24"/>
    </row>
    <row r="133" spans="1:61">
      <c r="A133" s="6">
        <v>4</v>
      </c>
      <c r="B133" s="1" t="s">
        <v>542</v>
      </c>
      <c r="C133" s="1" t="s">
        <v>55</v>
      </c>
      <c r="D133" s="2"/>
      <c r="E133" s="2"/>
      <c r="F133" s="9">
        <v>0</v>
      </c>
      <c r="H133" s="9">
        <v>0</v>
      </c>
      <c r="AE133" s="24"/>
    </row>
    <row r="134" spans="1:61">
      <c r="A134" s="6">
        <v>5</v>
      </c>
      <c r="B134" s="1" t="s">
        <v>542</v>
      </c>
      <c r="C134" s="1" t="s">
        <v>56</v>
      </c>
      <c r="D134" s="2"/>
      <c r="E134" s="2"/>
      <c r="F134" s="9">
        <v>0</v>
      </c>
      <c r="H134" s="9">
        <v>0</v>
      </c>
      <c r="AE134" s="24"/>
    </row>
    <row r="135" spans="1:61">
      <c r="A135" s="6">
        <v>2</v>
      </c>
      <c r="B135" s="1" t="s">
        <v>542</v>
      </c>
      <c r="C135" s="1" t="s">
        <v>53</v>
      </c>
      <c r="D135" s="2"/>
      <c r="E135" s="2"/>
      <c r="F135" s="9">
        <v>10.87</v>
      </c>
      <c r="H135" s="9">
        <v>10.87</v>
      </c>
      <c r="AE135" s="24"/>
    </row>
    <row r="136" spans="1:61">
      <c r="A136" s="6">
        <v>12</v>
      </c>
      <c r="B136" s="1" t="s">
        <v>542</v>
      </c>
      <c r="C136" s="1" t="s">
        <v>594</v>
      </c>
      <c r="D136" s="2"/>
      <c r="E136" s="2"/>
      <c r="F136" s="9">
        <v>6.7</v>
      </c>
      <c r="H136" s="9">
        <v>6.7</v>
      </c>
      <c r="M136" s="3">
        <v>6.51</v>
      </c>
      <c r="O136" s="3">
        <v>6.51</v>
      </c>
      <c r="Q136" s="3">
        <f>O136-H136</f>
        <v>-0.19000000000000039</v>
      </c>
      <c r="R136" s="3">
        <v>7.69</v>
      </c>
      <c r="T136" s="3">
        <f>R136-O136</f>
        <v>1.1800000000000006</v>
      </c>
      <c r="U136" s="3">
        <v>6.61</v>
      </c>
      <c r="W136" s="3">
        <f>U136-R136</f>
        <v>-1.08</v>
      </c>
      <c r="X136" s="3">
        <v>11.76</v>
      </c>
      <c r="Z136" s="3">
        <f>X136-U136</f>
        <v>5.1499999999999995</v>
      </c>
      <c r="AA136" s="3">
        <v>10.130000000000001</v>
      </c>
      <c r="AC136" s="3">
        <f>AA136-X136</f>
        <v>-1.629999999999999</v>
      </c>
      <c r="AD136" s="24">
        <v>9.6999999999999993</v>
      </c>
      <c r="AE136" s="24"/>
      <c r="AG136" s="3">
        <v>1.25</v>
      </c>
      <c r="AI136" s="3">
        <f>AG136-AD136</f>
        <v>-8.4499999999999993</v>
      </c>
      <c r="AJ136" s="3">
        <v>7.11</v>
      </c>
      <c r="AL136" s="3">
        <f>AJ136-AG136</f>
        <v>5.86</v>
      </c>
      <c r="AM136" s="3">
        <v>10.66</v>
      </c>
      <c r="AO136" s="3">
        <f>AM136-AJ136</f>
        <v>3.55</v>
      </c>
      <c r="AP136" s="3">
        <v>6.5</v>
      </c>
      <c r="AS136" s="3">
        <v>6.5</v>
      </c>
      <c r="AV136" s="3">
        <v>7.48</v>
      </c>
      <c r="AZ136" s="3">
        <v>13.97</v>
      </c>
      <c r="BA136" s="1" t="s">
        <v>852</v>
      </c>
      <c r="BD136" s="3">
        <v>10.29</v>
      </c>
      <c r="BE136" s="1" t="s">
        <v>852</v>
      </c>
      <c r="BG136" s="3">
        <v>10.29</v>
      </c>
      <c r="BH136" s="3">
        <v>13.35</v>
      </c>
      <c r="BI136" s="1" t="s">
        <v>852</v>
      </c>
    </row>
    <row r="137" spans="1:61">
      <c r="A137" s="6">
        <v>14</v>
      </c>
      <c r="B137" s="1" t="s">
        <v>542</v>
      </c>
      <c r="C137" s="1" t="s">
        <v>58</v>
      </c>
      <c r="D137" s="2"/>
      <c r="E137" s="2"/>
      <c r="F137" s="9">
        <v>0</v>
      </c>
      <c r="H137" s="9">
        <v>0</v>
      </c>
      <c r="R137" s="3">
        <v>15.33</v>
      </c>
      <c r="T137" s="3"/>
      <c r="U137" s="3">
        <v>15.33</v>
      </c>
      <c r="W137" s="3">
        <f>U137-R137</f>
        <v>0</v>
      </c>
      <c r="X137" s="3">
        <v>35.86</v>
      </c>
      <c r="Z137" s="3">
        <f>X137-U137</f>
        <v>20.53</v>
      </c>
      <c r="AA137" s="3">
        <v>35.880000000000003</v>
      </c>
      <c r="AC137" s="3">
        <f>AA137-X137</f>
        <v>2.0000000000003126E-2</v>
      </c>
      <c r="AD137" s="24">
        <v>35.85</v>
      </c>
      <c r="AE137" s="24"/>
      <c r="AG137" s="3">
        <v>2.15</v>
      </c>
      <c r="AI137" s="3">
        <f>AG137-AD137</f>
        <v>-33.700000000000003</v>
      </c>
      <c r="AJ137" s="3">
        <v>9.48</v>
      </c>
      <c r="AL137" s="3">
        <f>AJ137-AG137</f>
        <v>7.33</v>
      </c>
      <c r="AM137" s="3">
        <v>9.48</v>
      </c>
      <c r="AO137" s="3">
        <f>AM137-AJ137</f>
        <v>0</v>
      </c>
      <c r="AP137" s="3">
        <v>10</v>
      </c>
      <c r="AS137" s="3">
        <v>10</v>
      </c>
      <c r="AV137" s="3">
        <v>11.09</v>
      </c>
      <c r="AZ137" s="3">
        <v>11.76</v>
      </c>
      <c r="BA137" s="1" t="s">
        <v>852</v>
      </c>
      <c r="BD137" s="3">
        <v>10.29</v>
      </c>
      <c r="BE137" s="1" t="s">
        <v>852</v>
      </c>
      <c r="BG137" s="3">
        <v>10.29</v>
      </c>
      <c r="BH137" s="3">
        <v>10.91</v>
      </c>
      <c r="BI137" s="1" t="s">
        <v>852</v>
      </c>
    </row>
    <row r="138" spans="1:61">
      <c r="B138" s="1" t="s">
        <v>542</v>
      </c>
      <c r="C138" s="1" t="s">
        <v>289</v>
      </c>
      <c r="D138" s="2"/>
      <c r="E138" s="2"/>
      <c r="AE138" s="24"/>
      <c r="AZ138" s="3">
        <v>22</v>
      </c>
      <c r="BA138" s="1" t="s">
        <v>852</v>
      </c>
      <c r="BD138" s="3">
        <v>85.58</v>
      </c>
      <c r="BE138" s="1" t="s">
        <v>852</v>
      </c>
      <c r="BG138" s="3">
        <v>85.58</v>
      </c>
      <c r="BH138" s="3">
        <v>192</v>
      </c>
      <c r="BI138" s="1" t="s">
        <v>852</v>
      </c>
    </row>
    <row r="139" spans="1:61">
      <c r="B139" s="1" t="s">
        <v>542</v>
      </c>
      <c r="C139" s="1" t="s">
        <v>290</v>
      </c>
      <c r="D139" s="2"/>
      <c r="E139" s="2"/>
      <c r="AE139" s="24"/>
      <c r="BD139" s="3">
        <v>11.24</v>
      </c>
      <c r="BG139" s="3">
        <v>11.24</v>
      </c>
      <c r="BH139" s="3">
        <v>144</v>
      </c>
      <c r="BI139" s="1" t="s">
        <v>852</v>
      </c>
    </row>
    <row r="140" spans="1:61">
      <c r="B140" s="1" t="s">
        <v>542</v>
      </c>
      <c r="C140" s="1" t="s">
        <v>64</v>
      </c>
      <c r="D140" s="2"/>
      <c r="E140" s="2"/>
      <c r="T140" s="3"/>
      <c r="W140" s="3"/>
      <c r="AC140" s="3"/>
      <c r="AD140" s="24">
        <v>44</v>
      </c>
      <c r="AE140" s="24"/>
      <c r="AG140" s="3">
        <v>2.0499999999999998</v>
      </c>
      <c r="AI140" s="3">
        <f>AG140-AD140</f>
        <v>-41.95</v>
      </c>
      <c r="AJ140" s="3">
        <v>9.2799999999999994</v>
      </c>
      <c r="AL140" s="3">
        <f>AJ140-AG140</f>
        <v>7.2299999999999995</v>
      </c>
      <c r="AM140" s="3">
        <v>12.25</v>
      </c>
      <c r="AO140" s="3">
        <f>AM140-AJ140</f>
        <v>2.9700000000000006</v>
      </c>
      <c r="AP140" s="3">
        <v>13.61</v>
      </c>
      <c r="AS140" s="3">
        <v>13.61</v>
      </c>
      <c r="AV140" s="3">
        <v>9.1199999999999992</v>
      </c>
      <c r="AZ140" s="3">
        <v>10.66</v>
      </c>
      <c r="BA140" s="1" t="s">
        <v>852</v>
      </c>
      <c r="BD140" s="3">
        <v>19.3</v>
      </c>
      <c r="BE140" s="1" t="s">
        <v>852</v>
      </c>
      <c r="BG140" s="3">
        <v>16</v>
      </c>
      <c r="BH140" s="3">
        <v>16</v>
      </c>
      <c r="BI140" s="1" t="s">
        <v>852</v>
      </c>
    </row>
    <row r="141" spans="1:61">
      <c r="B141" s="1" t="s">
        <v>542</v>
      </c>
      <c r="C141" s="1" t="s">
        <v>286</v>
      </c>
      <c r="D141" s="2"/>
      <c r="E141" s="2"/>
      <c r="T141" s="3"/>
      <c r="W141" s="3"/>
      <c r="AC141" s="3"/>
      <c r="AD141" s="24">
        <v>13.52</v>
      </c>
      <c r="AE141" s="24"/>
    </row>
    <row r="142" spans="1:61">
      <c r="B142" s="1" t="s">
        <v>542</v>
      </c>
      <c r="C142" s="1" t="s">
        <v>288</v>
      </c>
      <c r="D142" s="2"/>
      <c r="E142" s="2"/>
      <c r="T142" s="3"/>
      <c r="W142" s="3"/>
      <c r="X142" s="3">
        <v>58.63</v>
      </c>
      <c r="AA142" s="3">
        <v>31.5</v>
      </c>
      <c r="AC142" s="3">
        <f>AA142-X142</f>
        <v>-27.130000000000003</v>
      </c>
      <c r="AD142" s="24">
        <v>23.14</v>
      </c>
      <c r="AE142" s="24"/>
      <c r="AG142" s="3">
        <v>2.2000000000000002</v>
      </c>
      <c r="AI142" s="3">
        <f>AG142-AD142</f>
        <v>-20.94</v>
      </c>
      <c r="AJ142" s="3">
        <v>9.48</v>
      </c>
      <c r="AL142" s="3">
        <f>AJ142-AG142</f>
        <v>7.28</v>
      </c>
      <c r="AM142" s="3">
        <v>10.66</v>
      </c>
      <c r="AO142" s="3">
        <f>AM142-AJ142</f>
        <v>1.1799999999999997</v>
      </c>
      <c r="AP142" s="3">
        <v>9.5299999999999994</v>
      </c>
      <c r="AS142" s="3">
        <v>9.52</v>
      </c>
      <c r="AV142" s="3">
        <v>7.81</v>
      </c>
      <c r="AZ142" s="3">
        <v>10.66</v>
      </c>
      <c r="BA142" s="1" t="s">
        <v>852</v>
      </c>
      <c r="BD142" s="3">
        <v>9.7100000000000009</v>
      </c>
      <c r="BE142" s="1" t="s">
        <v>852</v>
      </c>
      <c r="BG142" s="3">
        <v>16</v>
      </c>
      <c r="BH142" s="3">
        <v>16</v>
      </c>
      <c r="BI142" s="1" t="s">
        <v>852</v>
      </c>
    </row>
    <row r="143" spans="1:61">
      <c r="A143" s="6">
        <v>11</v>
      </c>
      <c r="B143" s="1" t="s">
        <v>542</v>
      </c>
      <c r="C143" s="1" t="s">
        <v>57</v>
      </c>
      <c r="D143" s="2"/>
      <c r="E143" s="2"/>
      <c r="F143" s="9">
        <v>20.92</v>
      </c>
      <c r="H143" s="9">
        <v>20.92</v>
      </c>
      <c r="AE143" s="24"/>
    </row>
    <row r="144" spans="1:61">
      <c r="A144" s="6">
        <v>1</v>
      </c>
      <c r="B144" s="103" t="s">
        <v>537</v>
      </c>
      <c r="C144" s="1" t="s">
        <v>52</v>
      </c>
      <c r="D144" s="2">
        <v>6.5</v>
      </c>
      <c r="E144" s="2"/>
      <c r="F144" s="8">
        <v>6.1</v>
      </c>
      <c r="G144" s="8"/>
      <c r="H144" s="8">
        <v>6.1</v>
      </c>
      <c r="I144" s="8">
        <f>H144-D144</f>
        <v>-0.40000000000000036</v>
      </c>
      <c r="M144" s="3">
        <v>7.6</v>
      </c>
      <c r="O144" s="3">
        <v>7.6</v>
      </c>
      <c r="Q144" s="3">
        <f>O144-H144</f>
        <v>1.5</v>
      </c>
      <c r="R144" s="3">
        <v>8.8000000000000007</v>
      </c>
      <c r="T144" s="2">
        <f>R144-O144</f>
        <v>1.2000000000000011</v>
      </c>
      <c r="V144" s="1" t="s">
        <v>285</v>
      </c>
      <c r="Y144" s="1" t="s">
        <v>285</v>
      </c>
      <c r="AB144" s="1" t="s">
        <v>285</v>
      </c>
    </row>
    <row r="145" spans="1:60">
      <c r="A145" s="6">
        <v>3</v>
      </c>
      <c r="B145" s="103" t="s">
        <v>537</v>
      </c>
      <c r="C145" s="1" t="s">
        <v>54</v>
      </c>
      <c r="D145" s="2" t="s">
        <v>685</v>
      </c>
      <c r="E145" s="2"/>
      <c r="F145" s="8">
        <v>0</v>
      </c>
      <c r="G145" s="8"/>
      <c r="H145" s="8">
        <v>0</v>
      </c>
      <c r="I145" s="8"/>
      <c r="M145" s="3">
        <v>0</v>
      </c>
      <c r="O145" s="3">
        <v>0</v>
      </c>
      <c r="V145" s="1" t="s">
        <v>285</v>
      </c>
      <c r="Y145" s="1" t="s">
        <v>285</v>
      </c>
      <c r="AB145" s="1" t="s">
        <v>285</v>
      </c>
    </row>
    <row r="146" spans="1:60">
      <c r="A146" s="6">
        <v>4</v>
      </c>
      <c r="B146" s="103" t="s">
        <v>537</v>
      </c>
      <c r="C146" s="1" t="s">
        <v>55</v>
      </c>
      <c r="D146" s="2" t="s">
        <v>685</v>
      </c>
      <c r="E146" s="2"/>
      <c r="F146" s="8">
        <v>0</v>
      </c>
      <c r="G146" s="8"/>
      <c r="H146" s="8">
        <v>0</v>
      </c>
      <c r="I146" s="8"/>
      <c r="M146" s="3">
        <v>0</v>
      </c>
      <c r="O146" s="3">
        <v>0</v>
      </c>
      <c r="V146" s="1" t="s">
        <v>285</v>
      </c>
      <c r="Y146" s="1" t="s">
        <v>285</v>
      </c>
      <c r="AB146" s="1" t="s">
        <v>285</v>
      </c>
    </row>
    <row r="147" spans="1:60">
      <c r="A147" s="6">
        <v>5</v>
      </c>
      <c r="B147" s="103" t="s">
        <v>537</v>
      </c>
      <c r="C147" s="1" t="s">
        <v>56</v>
      </c>
      <c r="D147" s="2">
        <v>6.5</v>
      </c>
      <c r="E147" s="2"/>
      <c r="F147" s="8">
        <v>0</v>
      </c>
      <c r="G147" s="8"/>
      <c r="H147" s="8">
        <v>0</v>
      </c>
      <c r="I147" s="8"/>
      <c r="M147" s="3">
        <v>0</v>
      </c>
      <c r="O147" s="3">
        <v>0</v>
      </c>
      <c r="V147" s="1" t="s">
        <v>285</v>
      </c>
      <c r="Y147" s="1" t="s">
        <v>285</v>
      </c>
      <c r="AB147" s="1" t="s">
        <v>285</v>
      </c>
    </row>
    <row r="148" spans="1:60">
      <c r="A148" s="6">
        <v>2</v>
      </c>
      <c r="B148" s="103" t="s">
        <v>537</v>
      </c>
      <c r="C148" s="1" t="s">
        <v>53</v>
      </c>
      <c r="D148" s="2">
        <v>9.6</v>
      </c>
      <c r="E148" s="2"/>
      <c r="F148" s="8">
        <v>8.2200000000000006</v>
      </c>
      <c r="G148" s="8"/>
      <c r="H148" s="8">
        <v>8.2200000000000006</v>
      </c>
      <c r="I148" s="10">
        <f>H148-D148</f>
        <v>-1.379999999999999</v>
      </c>
      <c r="M148" s="3">
        <v>10.65</v>
      </c>
      <c r="O148" s="3">
        <v>10.65</v>
      </c>
      <c r="Q148" s="3">
        <f>O148-H148</f>
        <v>2.4299999999999997</v>
      </c>
      <c r="R148" s="3">
        <v>7.8</v>
      </c>
      <c r="T148" s="3">
        <f>R148-O148</f>
        <v>-2.8500000000000005</v>
      </c>
      <c r="V148" s="1" t="s">
        <v>285</v>
      </c>
      <c r="Y148" s="1" t="s">
        <v>285</v>
      </c>
      <c r="AB148" s="1" t="s">
        <v>285</v>
      </c>
    </row>
    <row r="149" spans="1:60">
      <c r="B149" s="103" t="s">
        <v>537</v>
      </c>
      <c r="C149" s="1" t="s">
        <v>595</v>
      </c>
      <c r="D149" s="2"/>
      <c r="E149" s="2"/>
      <c r="F149" s="8"/>
      <c r="G149" s="8"/>
      <c r="H149" s="8"/>
      <c r="I149" s="8"/>
      <c r="Q149" s="3"/>
      <c r="T149" s="3"/>
      <c r="AD149" s="24">
        <v>5</v>
      </c>
      <c r="AG149" s="3">
        <v>9.5</v>
      </c>
      <c r="AI149" s="3">
        <f t="shared" ref="AI149:AI154" si="0">AG149-AD149</f>
        <v>4.5</v>
      </c>
      <c r="AJ149" s="3">
        <v>9.5</v>
      </c>
      <c r="AL149" s="3">
        <f t="shared" ref="AL149:AL154" si="1">AJ149-AG149</f>
        <v>0</v>
      </c>
      <c r="AM149" s="3">
        <v>10</v>
      </c>
      <c r="AO149" s="3">
        <f t="shared" ref="AO149:AO154" si="2">AM149-AJ149</f>
        <v>0.5</v>
      </c>
      <c r="AP149" s="3">
        <v>10</v>
      </c>
      <c r="AS149" s="3">
        <v>10</v>
      </c>
      <c r="AV149" s="3">
        <v>10</v>
      </c>
      <c r="AY149" s="3">
        <v>10</v>
      </c>
      <c r="AZ149" s="3">
        <v>10</v>
      </c>
    </row>
    <row r="150" spans="1:60">
      <c r="A150" s="6">
        <v>12</v>
      </c>
      <c r="B150" s="103" t="s">
        <v>537</v>
      </c>
      <c r="C150" s="1" t="s">
        <v>594</v>
      </c>
      <c r="D150" s="2">
        <v>3</v>
      </c>
      <c r="E150" s="2"/>
      <c r="F150" s="8">
        <v>2.72</v>
      </c>
      <c r="G150" s="8"/>
      <c r="H150" s="8">
        <v>2.72</v>
      </c>
      <c r="I150" s="9">
        <f>H150-D150</f>
        <v>-0.2799999999999998</v>
      </c>
      <c r="M150" s="3">
        <v>3.95</v>
      </c>
      <c r="O150" s="3">
        <v>3.95</v>
      </c>
      <c r="Q150" s="3">
        <f>O150-H150</f>
        <v>1.23</v>
      </c>
      <c r="R150" s="3">
        <v>3.4</v>
      </c>
      <c r="T150" s="3">
        <f>R150-O150</f>
        <v>-0.55000000000000027</v>
      </c>
      <c r="V150" s="1" t="s">
        <v>285</v>
      </c>
      <c r="Y150" s="1" t="s">
        <v>285</v>
      </c>
      <c r="AB150" s="1" t="s">
        <v>285</v>
      </c>
      <c r="AD150" s="24">
        <v>4.8</v>
      </c>
      <c r="AG150" s="3">
        <v>5.4</v>
      </c>
      <c r="AI150" s="3">
        <f t="shared" si="0"/>
        <v>0.60000000000000053</v>
      </c>
      <c r="AJ150" s="3">
        <v>5.4</v>
      </c>
      <c r="AL150" s="3">
        <f t="shared" si="1"/>
        <v>0</v>
      </c>
      <c r="AM150" s="3">
        <v>5.8</v>
      </c>
      <c r="AO150" s="3">
        <f t="shared" si="2"/>
        <v>0.39999999999999947</v>
      </c>
      <c r="AP150" s="3">
        <v>5.8</v>
      </c>
      <c r="AS150" s="3">
        <v>5.8</v>
      </c>
      <c r="AV150" s="3">
        <v>6</v>
      </c>
      <c r="AY150" s="3">
        <v>6</v>
      </c>
      <c r="AZ150" s="3">
        <v>6</v>
      </c>
      <c r="BC150" s="3">
        <v>6</v>
      </c>
      <c r="BD150" s="3">
        <v>6</v>
      </c>
      <c r="BG150" s="3">
        <v>6</v>
      </c>
      <c r="BH150" s="3">
        <v>8</v>
      </c>
    </row>
    <row r="151" spans="1:60">
      <c r="A151" s="6">
        <v>14</v>
      </c>
      <c r="B151" s="103" t="s">
        <v>537</v>
      </c>
      <c r="C151" s="1" t="s">
        <v>58</v>
      </c>
      <c r="D151" s="2">
        <v>10.7</v>
      </c>
      <c r="E151" s="2"/>
      <c r="F151" s="8">
        <v>10.33</v>
      </c>
      <c r="G151" s="8"/>
      <c r="H151" s="8">
        <v>10.33</v>
      </c>
      <c r="I151" s="9">
        <f>H151-D151</f>
        <v>-0.36999999999999922</v>
      </c>
      <c r="M151" s="3">
        <v>13.6</v>
      </c>
      <c r="O151" s="3">
        <v>13.6</v>
      </c>
      <c r="Q151" s="3">
        <f>O151-H151</f>
        <v>3.2699999999999996</v>
      </c>
      <c r="R151" s="3">
        <v>8.8000000000000007</v>
      </c>
      <c r="T151" s="3">
        <f>R151-O151</f>
        <v>-4.7999999999999989</v>
      </c>
      <c r="V151" s="1" t="s">
        <v>285</v>
      </c>
      <c r="Y151" s="1" t="s">
        <v>285</v>
      </c>
      <c r="AB151" s="1" t="s">
        <v>285</v>
      </c>
      <c r="AD151" s="24">
        <v>10</v>
      </c>
      <c r="AG151" s="3">
        <v>8</v>
      </c>
      <c r="AI151" s="3">
        <f t="shared" si="0"/>
        <v>-2</v>
      </c>
      <c r="AJ151" s="3">
        <v>8</v>
      </c>
      <c r="AL151" s="3">
        <f t="shared" si="1"/>
        <v>0</v>
      </c>
      <c r="AM151" s="3">
        <v>8</v>
      </c>
      <c r="AO151" s="3">
        <f t="shared" si="2"/>
        <v>0</v>
      </c>
      <c r="AP151" s="3">
        <v>8</v>
      </c>
      <c r="AS151" s="3">
        <v>8</v>
      </c>
      <c r="AV151" s="3">
        <v>8</v>
      </c>
      <c r="AY151" s="3">
        <v>8</v>
      </c>
      <c r="AZ151" s="3">
        <v>8</v>
      </c>
      <c r="BC151" s="3">
        <v>8</v>
      </c>
      <c r="BD151" s="3">
        <v>8</v>
      </c>
      <c r="BG151" s="3">
        <v>8</v>
      </c>
      <c r="BH151" s="3">
        <v>8</v>
      </c>
    </row>
    <row r="152" spans="1:60">
      <c r="B152" s="103" t="s">
        <v>537</v>
      </c>
      <c r="C152" s="1" t="s">
        <v>64</v>
      </c>
      <c r="D152" s="2"/>
      <c r="E152" s="2"/>
      <c r="F152" s="8"/>
      <c r="G152" s="8"/>
      <c r="H152" s="8"/>
      <c r="I152" s="8"/>
      <c r="Q152" s="3"/>
      <c r="T152" s="3"/>
      <c r="AD152" s="24">
        <v>7.5</v>
      </c>
      <c r="AG152" s="3">
        <v>10</v>
      </c>
      <c r="AI152" s="3">
        <f t="shared" si="0"/>
        <v>2.5</v>
      </c>
      <c r="AJ152" s="3">
        <v>10</v>
      </c>
      <c r="AL152" s="3">
        <f t="shared" si="1"/>
        <v>0</v>
      </c>
      <c r="AM152" s="3">
        <v>10</v>
      </c>
      <c r="AO152" s="3">
        <f t="shared" si="2"/>
        <v>0</v>
      </c>
      <c r="AP152" s="3">
        <v>10</v>
      </c>
      <c r="AS152" s="3">
        <v>10</v>
      </c>
      <c r="AV152" s="3">
        <v>10</v>
      </c>
      <c r="AY152" s="3">
        <v>10</v>
      </c>
      <c r="AZ152" s="3">
        <v>10</v>
      </c>
      <c r="BC152" s="3">
        <v>10</v>
      </c>
      <c r="BD152" s="3">
        <v>10</v>
      </c>
      <c r="BG152" s="3">
        <v>10</v>
      </c>
      <c r="BH152" s="3">
        <v>10</v>
      </c>
    </row>
    <row r="153" spans="1:60">
      <c r="B153" s="103" t="s">
        <v>537</v>
      </c>
      <c r="C153" s="1" t="s">
        <v>286</v>
      </c>
      <c r="D153" s="2"/>
      <c r="E153" s="2"/>
      <c r="F153" s="8"/>
      <c r="G153" s="8"/>
      <c r="H153" s="8"/>
      <c r="I153" s="8"/>
      <c r="Q153" s="3"/>
      <c r="T153" s="3"/>
      <c r="AD153" s="24">
        <v>13</v>
      </c>
      <c r="AG153" s="3">
        <v>10</v>
      </c>
      <c r="AI153" s="3">
        <f t="shared" si="0"/>
        <v>-3</v>
      </c>
      <c r="AJ153" s="3">
        <v>10</v>
      </c>
      <c r="AL153" s="3">
        <f t="shared" si="1"/>
        <v>0</v>
      </c>
      <c r="AM153" s="3">
        <v>10</v>
      </c>
      <c r="AO153" s="3">
        <f t="shared" si="2"/>
        <v>0</v>
      </c>
      <c r="AP153" s="3">
        <v>10</v>
      </c>
      <c r="AS153" s="3">
        <v>10</v>
      </c>
      <c r="AV153" s="3">
        <v>10</v>
      </c>
      <c r="AY153" s="3">
        <v>10</v>
      </c>
      <c r="AZ153" s="3">
        <v>10</v>
      </c>
      <c r="BC153" s="3">
        <v>10</v>
      </c>
      <c r="BD153" s="3">
        <v>10</v>
      </c>
      <c r="BG153" s="3">
        <v>10</v>
      </c>
      <c r="BH153" s="3">
        <v>10</v>
      </c>
    </row>
    <row r="154" spans="1:60">
      <c r="B154" s="103" t="s">
        <v>537</v>
      </c>
      <c r="C154" s="1" t="s">
        <v>288</v>
      </c>
      <c r="D154" s="2"/>
      <c r="E154" s="2"/>
      <c r="F154" s="8"/>
      <c r="G154" s="8"/>
      <c r="H154" s="8"/>
      <c r="I154" s="8"/>
      <c r="Q154" s="3"/>
      <c r="T154" s="3"/>
      <c r="AD154" s="24">
        <v>13</v>
      </c>
      <c r="AG154" s="3">
        <v>10</v>
      </c>
      <c r="AI154" s="3">
        <f t="shared" si="0"/>
        <v>-3</v>
      </c>
      <c r="AJ154" s="3">
        <v>10</v>
      </c>
      <c r="AL154" s="3">
        <f t="shared" si="1"/>
        <v>0</v>
      </c>
      <c r="AM154" s="3">
        <v>10</v>
      </c>
      <c r="AO154" s="3">
        <f t="shared" si="2"/>
        <v>0</v>
      </c>
      <c r="AP154" s="3">
        <v>10</v>
      </c>
      <c r="AS154" s="3">
        <v>10</v>
      </c>
      <c r="AV154" s="3">
        <v>10</v>
      </c>
      <c r="AY154" s="3">
        <v>10</v>
      </c>
      <c r="AZ154" s="3">
        <v>10</v>
      </c>
      <c r="BC154" s="3">
        <v>10</v>
      </c>
      <c r="BD154" s="3">
        <v>10</v>
      </c>
      <c r="BG154" s="3">
        <v>10</v>
      </c>
      <c r="BH154" s="3">
        <v>10</v>
      </c>
    </row>
    <row r="155" spans="1:60">
      <c r="A155" s="6">
        <v>11</v>
      </c>
      <c r="B155" s="103" t="s">
        <v>537</v>
      </c>
      <c r="C155" s="1" t="s">
        <v>57</v>
      </c>
      <c r="D155" s="2">
        <v>10.7</v>
      </c>
      <c r="E155" s="2"/>
      <c r="F155" s="8">
        <v>10.55</v>
      </c>
      <c r="G155" s="8"/>
      <c r="H155" s="8">
        <v>10.55</v>
      </c>
      <c r="I155" s="8">
        <f>H155-D155</f>
        <v>-0.14999999999999858</v>
      </c>
      <c r="M155" s="3">
        <v>13.2</v>
      </c>
      <c r="O155" s="3">
        <v>13.2</v>
      </c>
      <c r="Q155" s="3">
        <f>O155-H155</f>
        <v>2.6499999999999986</v>
      </c>
      <c r="R155" s="3">
        <v>13.7</v>
      </c>
      <c r="T155" s="3">
        <f>R155-O155</f>
        <v>0.5</v>
      </c>
      <c r="V155" s="1" t="s">
        <v>285</v>
      </c>
      <c r="Y155" s="1" t="s">
        <v>285</v>
      </c>
      <c r="AB155" s="1" t="s">
        <v>285</v>
      </c>
    </row>
    <row r="156" spans="1:60">
      <c r="A156" s="6">
        <v>1</v>
      </c>
      <c r="B156" s="103" t="s">
        <v>541</v>
      </c>
      <c r="C156" s="1" t="s">
        <v>52</v>
      </c>
      <c r="D156" s="2"/>
      <c r="E156" s="2"/>
      <c r="F156" s="8"/>
      <c r="G156" s="8"/>
      <c r="H156" s="8"/>
      <c r="I156" s="8"/>
      <c r="M156" s="3">
        <v>16.22</v>
      </c>
      <c r="O156" s="3">
        <v>16.22</v>
      </c>
      <c r="Q156" s="3"/>
      <c r="R156" s="3">
        <v>16.22</v>
      </c>
      <c r="T156" s="2">
        <f>R156-O156</f>
        <v>0</v>
      </c>
      <c r="U156" s="3">
        <v>18.25</v>
      </c>
      <c r="W156" s="3">
        <f>U156-R156</f>
        <v>2.0300000000000011</v>
      </c>
    </row>
    <row r="157" spans="1:60">
      <c r="A157" s="6">
        <v>3</v>
      </c>
      <c r="B157" s="103" t="s">
        <v>541</v>
      </c>
      <c r="C157" s="1" t="s">
        <v>54</v>
      </c>
      <c r="D157" s="2"/>
      <c r="E157" s="2"/>
      <c r="F157" s="8"/>
      <c r="G157" s="8"/>
      <c r="H157" s="8"/>
      <c r="I157" s="8"/>
    </row>
    <row r="158" spans="1:60">
      <c r="A158" s="6">
        <v>4</v>
      </c>
      <c r="B158" s="103" t="s">
        <v>541</v>
      </c>
      <c r="C158" s="1" t="s">
        <v>55</v>
      </c>
      <c r="D158" s="2"/>
      <c r="E158" s="2"/>
      <c r="F158" s="8"/>
      <c r="G158" s="8"/>
      <c r="H158" s="8"/>
      <c r="I158" s="8"/>
    </row>
    <row r="159" spans="1:60">
      <c r="A159" s="6">
        <v>5</v>
      </c>
      <c r="B159" s="103" t="s">
        <v>541</v>
      </c>
      <c r="C159" s="1" t="s">
        <v>56</v>
      </c>
      <c r="D159" s="2"/>
      <c r="E159" s="2"/>
      <c r="F159" s="8"/>
      <c r="G159" s="8"/>
      <c r="H159" s="8"/>
      <c r="I159" s="8"/>
    </row>
    <row r="160" spans="1:60">
      <c r="A160" s="6">
        <v>2</v>
      </c>
      <c r="B160" s="103" t="s">
        <v>541</v>
      </c>
      <c r="C160" s="1" t="s">
        <v>53</v>
      </c>
      <c r="D160" s="2"/>
      <c r="E160" s="2"/>
      <c r="F160" s="8"/>
      <c r="G160" s="8"/>
      <c r="H160" s="8"/>
      <c r="I160" s="8"/>
      <c r="M160" s="3">
        <v>11.76</v>
      </c>
      <c r="O160" s="3">
        <v>11.76</v>
      </c>
      <c r="Q160" s="3"/>
      <c r="R160" s="3">
        <v>12</v>
      </c>
      <c r="T160" s="3">
        <f>R160-O160</f>
        <v>0.24000000000000021</v>
      </c>
      <c r="U160" s="3">
        <v>14.5</v>
      </c>
      <c r="W160" s="3">
        <f>U160-R160</f>
        <v>2.5</v>
      </c>
    </row>
    <row r="161" spans="1:60">
      <c r="B161" s="103" t="s">
        <v>541</v>
      </c>
      <c r="C161" s="1" t="s">
        <v>597</v>
      </c>
      <c r="D161" s="2"/>
      <c r="E161" s="2"/>
      <c r="F161" s="8"/>
      <c r="G161" s="8"/>
      <c r="H161" s="8"/>
      <c r="I161" s="8"/>
      <c r="Q161" s="3"/>
      <c r="T161" s="3"/>
      <c r="W161" s="3"/>
      <c r="AC161" s="3"/>
      <c r="AM161" s="3">
        <v>25</v>
      </c>
      <c r="AO161" s="3"/>
      <c r="AP161" s="3">
        <v>19</v>
      </c>
      <c r="AS161" s="3">
        <v>23</v>
      </c>
      <c r="AV161" s="3">
        <v>27.5</v>
      </c>
      <c r="AY161" s="3">
        <v>27.5</v>
      </c>
      <c r="AZ161" s="3">
        <v>29</v>
      </c>
      <c r="BC161" s="3">
        <v>29</v>
      </c>
      <c r="BD161" s="3">
        <v>30</v>
      </c>
      <c r="BG161" s="3">
        <v>30</v>
      </c>
      <c r="BH161" s="3">
        <v>35</v>
      </c>
    </row>
    <row r="162" spans="1:60">
      <c r="B162" s="103" t="s">
        <v>541</v>
      </c>
      <c r="C162" s="1" t="s">
        <v>595</v>
      </c>
      <c r="D162" s="2"/>
      <c r="E162" s="2"/>
      <c r="F162" s="8"/>
      <c r="G162" s="8"/>
      <c r="H162" s="8"/>
      <c r="I162" s="8"/>
      <c r="Q162" s="3"/>
      <c r="T162" s="3"/>
      <c r="W162" s="3"/>
      <c r="AC162" s="3"/>
      <c r="AG162" s="3">
        <v>9.6</v>
      </c>
    </row>
    <row r="163" spans="1:60">
      <c r="B163" s="103" t="s">
        <v>541</v>
      </c>
      <c r="C163" s="1" t="s">
        <v>700</v>
      </c>
      <c r="D163" s="2"/>
      <c r="E163" s="2"/>
      <c r="F163" s="8"/>
      <c r="G163" s="8"/>
      <c r="H163" s="8"/>
      <c r="I163" s="8"/>
      <c r="Q163" s="3"/>
      <c r="T163" s="3"/>
      <c r="W163" s="3"/>
      <c r="AC163" s="3"/>
      <c r="AM163" s="3">
        <v>2.5</v>
      </c>
      <c r="AO163" s="3"/>
      <c r="AP163" s="3">
        <v>2.5</v>
      </c>
      <c r="AS163" s="3">
        <v>3.1</v>
      </c>
      <c r="AV163" s="3">
        <v>3.5</v>
      </c>
      <c r="AY163" s="3">
        <v>3.5</v>
      </c>
      <c r="AZ163" s="3">
        <v>3.5</v>
      </c>
      <c r="BC163" s="3">
        <v>3.5</v>
      </c>
      <c r="BD163" s="3">
        <v>4.25</v>
      </c>
      <c r="BG163" s="3">
        <v>4.25</v>
      </c>
      <c r="BH163" s="3">
        <v>4.7</v>
      </c>
    </row>
    <row r="164" spans="1:60">
      <c r="A164" s="6">
        <v>12</v>
      </c>
      <c r="B164" s="103" t="s">
        <v>541</v>
      </c>
      <c r="C164" s="1" t="s">
        <v>594</v>
      </c>
      <c r="D164" s="2"/>
      <c r="E164" s="2"/>
      <c r="F164" s="8"/>
      <c r="G164" s="8"/>
      <c r="H164" s="8"/>
      <c r="I164" s="8"/>
      <c r="M164" s="3">
        <v>5.14</v>
      </c>
      <c r="O164" s="3">
        <v>5.14</v>
      </c>
      <c r="Q164" s="3"/>
      <c r="R164" s="3">
        <v>6.75</v>
      </c>
      <c r="T164" s="3">
        <f>R164-O164</f>
        <v>1.6100000000000003</v>
      </c>
      <c r="U164" s="3">
        <v>7.25</v>
      </c>
      <c r="W164" s="3">
        <f>U164-R164</f>
        <v>0.5</v>
      </c>
      <c r="X164" s="3">
        <v>11.25</v>
      </c>
      <c r="Z164" s="3">
        <f>X164-U164</f>
        <v>4</v>
      </c>
      <c r="AA164" s="3">
        <v>6.5</v>
      </c>
      <c r="AC164" s="3">
        <f>AA164-X164</f>
        <v>-4.75</v>
      </c>
      <c r="AD164" s="24">
        <v>5</v>
      </c>
      <c r="AG164" s="3">
        <v>5.5</v>
      </c>
      <c r="AI164" s="3">
        <f>AG164-AD164</f>
        <v>0.5</v>
      </c>
      <c r="AJ164" s="3">
        <v>6</v>
      </c>
      <c r="AM164" s="3">
        <v>4.5</v>
      </c>
      <c r="AO164" s="3">
        <f>AM164-AJ164</f>
        <v>-1.5</v>
      </c>
      <c r="AP164" s="3">
        <v>4.8</v>
      </c>
      <c r="AS164" s="3">
        <v>7.8</v>
      </c>
      <c r="AV164" s="3">
        <v>7</v>
      </c>
      <c r="AY164" s="3">
        <v>7</v>
      </c>
      <c r="AZ164" s="3">
        <v>8</v>
      </c>
      <c r="BC164" s="3">
        <v>8</v>
      </c>
      <c r="BD164" s="3">
        <v>8.5</v>
      </c>
      <c r="BG164" s="3">
        <v>8.5</v>
      </c>
      <c r="BH164" s="3">
        <v>9.5</v>
      </c>
    </row>
    <row r="165" spans="1:60">
      <c r="A165" s="6">
        <v>14</v>
      </c>
      <c r="B165" s="103" t="s">
        <v>541</v>
      </c>
      <c r="C165" s="1" t="s">
        <v>58</v>
      </c>
      <c r="D165" s="2"/>
      <c r="E165" s="2"/>
      <c r="F165" s="8"/>
      <c r="G165" s="8"/>
      <c r="H165" s="8"/>
      <c r="I165" s="8"/>
      <c r="M165" s="3">
        <v>10.29</v>
      </c>
      <c r="O165" s="3">
        <v>10.29</v>
      </c>
      <c r="Q165" s="3"/>
      <c r="R165" s="3">
        <v>10</v>
      </c>
      <c r="T165" s="3">
        <f>R165-O165</f>
        <v>-0.28999999999999915</v>
      </c>
      <c r="U165" s="3">
        <v>12</v>
      </c>
      <c r="W165" s="3">
        <f>U165-R165</f>
        <v>2</v>
      </c>
      <c r="X165" s="3">
        <v>13</v>
      </c>
      <c r="Z165" s="3">
        <f>X165-U165</f>
        <v>1</v>
      </c>
      <c r="AA165" s="3">
        <v>15</v>
      </c>
      <c r="AC165" s="3">
        <f>AA165-X165</f>
        <v>2</v>
      </c>
      <c r="AJ165" s="3">
        <v>10</v>
      </c>
      <c r="AO165" s="3"/>
      <c r="AP165" s="3">
        <v>6</v>
      </c>
      <c r="AS165" s="3">
        <v>8</v>
      </c>
      <c r="AV165" s="3">
        <v>8</v>
      </c>
      <c r="AY165" s="3">
        <v>8</v>
      </c>
      <c r="AZ165" s="3">
        <v>8</v>
      </c>
      <c r="BC165" s="3">
        <v>8</v>
      </c>
      <c r="BD165" s="3">
        <v>6.7</v>
      </c>
      <c r="BG165" s="3">
        <v>6.7</v>
      </c>
      <c r="BH165" s="3">
        <v>7</v>
      </c>
    </row>
    <row r="166" spans="1:60">
      <c r="B166" s="103" t="s">
        <v>541</v>
      </c>
      <c r="C166" s="1" t="s">
        <v>857</v>
      </c>
      <c r="D166" s="2"/>
      <c r="E166" s="2"/>
      <c r="F166" s="8"/>
      <c r="G166" s="8"/>
      <c r="H166" s="8"/>
      <c r="I166" s="8"/>
      <c r="Q166" s="3"/>
      <c r="T166" s="3"/>
      <c r="W166" s="3"/>
      <c r="AC166" s="3"/>
      <c r="AO166" s="3"/>
      <c r="BD166" s="3">
        <v>10</v>
      </c>
      <c r="BG166" s="3">
        <v>10</v>
      </c>
      <c r="BH166" s="3">
        <v>9</v>
      </c>
    </row>
    <row r="167" spans="1:60">
      <c r="B167" s="103" t="s">
        <v>541</v>
      </c>
      <c r="C167" s="1" t="s">
        <v>289</v>
      </c>
      <c r="D167" s="2"/>
      <c r="E167" s="2"/>
      <c r="F167" s="8"/>
      <c r="G167" s="8"/>
      <c r="H167" s="8"/>
      <c r="I167" s="8"/>
      <c r="M167" s="3">
        <v>8.09</v>
      </c>
      <c r="O167" s="3">
        <v>8.09</v>
      </c>
      <c r="R167" s="3">
        <v>10</v>
      </c>
      <c r="T167" s="3">
        <f>R167-O167</f>
        <v>1.9100000000000001</v>
      </c>
      <c r="U167" s="3">
        <v>17</v>
      </c>
      <c r="W167" s="3">
        <f>U167-R167</f>
        <v>7</v>
      </c>
      <c r="X167" s="3">
        <v>19</v>
      </c>
      <c r="Z167" s="3">
        <f>X167-U167</f>
        <v>2</v>
      </c>
      <c r="AA167" s="3">
        <v>15</v>
      </c>
      <c r="AC167" s="3">
        <f>AA167-X167</f>
        <v>-4</v>
      </c>
      <c r="AD167" s="24">
        <v>8.75</v>
      </c>
      <c r="AJ167" s="3">
        <v>8</v>
      </c>
      <c r="AM167" s="3">
        <v>8.5</v>
      </c>
      <c r="AO167" s="3">
        <f>AM167-AJ167</f>
        <v>0.5</v>
      </c>
      <c r="AP167" s="3">
        <v>4</v>
      </c>
      <c r="AS167" s="3">
        <v>5.5</v>
      </c>
      <c r="AY167" s="3">
        <v>8</v>
      </c>
      <c r="AZ167" s="3">
        <v>8</v>
      </c>
      <c r="BC167" s="3">
        <v>8</v>
      </c>
      <c r="BD167" s="3">
        <v>8.5</v>
      </c>
      <c r="BG167" s="3">
        <v>8.5</v>
      </c>
      <c r="BH167" s="3">
        <v>9</v>
      </c>
    </row>
    <row r="168" spans="1:60">
      <c r="B168" s="103" t="s">
        <v>541</v>
      </c>
      <c r="C168" s="1" t="s">
        <v>290</v>
      </c>
      <c r="D168" s="2"/>
      <c r="E168" s="2"/>
      <c r="F168" s="8"/>
      <c r="G168" s="8"/>
      <c r="H168" s="8"/>
      <c r="I168" s="8"/>
      <c r="T168" s="3"/>
      <c r="U168" s="3">
        <v>20</v>
      </c>
      <c r="AG168" s="3">
        <v>8.5</v>
      </c>
    </row>
    <row r="169" spans="1:60">
      <c r="B169" s="103" t="s">
        <v>541</v>
      </c>
      <c r="C169" s="1" t="s">
        <v>64</v>
      </c>
      <c r="D169" s="2"/>
      <c r="E169" s="2"/>
      <c r="F169" s="8"/>
      <c r="G169" s="8"/>
      <c r="H169" s="8"/>
      <c r="I169" s="8"/>
      <c r="M169" s="3">
        <v>11.76</v>
      </c>
      <c r="O169" s="3">
        <v>11.76</v>
      </c>
      <c r="R169" s="3">
        <v>11.76</v>
      </c>
      <c r="T169" s="3">
        <f>R169-O169</f>
        <v>0</v>
      </c>
      <c r="U169" s="3">
        <v>15</v>
      </c>
      <c r="W169" s="3">
        <f>U169-R169</f>
        <v>3.24</v>
      </c>
      <c r="X169" s="3">
        <v>17</v>
      </c>
      <c r="Z169" s="3">
        <f>X169-U169</f>
        <v>2</v>
      </c>
      <c r="AA169" s="3">
        <v>13.75</v>
      </c>
      <c r="AC169" s="3">
        <f>AA169-X169</f>
        <v>-3.25</v>
      </c>
      <c r="AD169" s="24">
        <v>13.75</v>
      </c>
      <c r="AG169" s="3">
        <v>14</v>
      </c>
      <c r="AI169" s="3">
        <f>AG169-AD169</f>
        <v>0.25</v>
      </c>
      <c r="AJ169" s="3">
        <v>15</v>
      </c>
      <c r="AM169" s="3">
        <v>15.5</v>
      </c>
      <c r="AO169" s="3">
        <f>AM169-AJ169</f>
        <v>0.5</v>
      </c>
      <c r="AP169" s="3">
        <v>7.6</v>
      </c>
      <c r="AS169" s="3">
        <v>8.1</v>
      </c>
      <c r="AV169" s="3">
        <v>9</v>
      </c>
      <c r="AY169" s="3">
        <v>9</v>
      </c>
      <c r="AZ169" s="3">
        <v>10</v>
      </c>
      <c r="BC169" s="3">
        <v>10</v>
      </c>
      <c r="BD169" s="3">
        <v>10</v>
      </c>
      <c r="BG169" s="3">
        <v>10</v>
      </c>
      <c r="BH169" s="3">
        <v>10</v>
      </c>
    </row>
    <row r="170" spans="1:60">
      <c r="B170" s="103" t="s">
        <v>541</v>
      </c>
      <c r="C170" s="1" t="s">
        <v>286</v>
      </c>
      <c r="D170" s="2"/>
      <c r="E170" s="2"/>
      <c r="F170" s="8"/>
      <c r="G170" s="8"/>
      <c r="H170" s="8"/>
      <c r="I170" s="8"/>
      <c r="M170" s="3">
        <v>20.59</v>
      </c>
      <c r="O170" s="3">
        <v>20.59</v>
      </c>
      <c r="R170" s="3">
        <v>20.59</v>
      </c>
      <c r="T170" s="3">
        <f>R170-O170</f>
        <v>0</v>
      </c>
      <c r="U170" s="3">
        <v>18.5</v>
      </c>
      <c r="W170" s="3">
        <f>U170-R170</f>
        <v>-2.09</v>
      </c>
      <c r="X170" s="3">
        <v>20.5</v>
      </c>
      <c r="Z170" s="3">
        <f>X170-U170</f>
        <v>2</v>
      </c>
      <c r="AA170" s="3">
        <v>17.5</v>
      </c>
      <c r="AC170" s="3">
        <f>AA170-X170</f>
        <v>-3</v>
      </c>
      <c r="AD170" s="24">
        <v>18.75</v>
      </c>
      <c r="AG170" s="3">
        <v>19.5</v>
      </c>
      <c r="AI170" s="3">
        <f>AG170-AD170</f>
        <v>0.75</v>
      </c>
      <c r="AJ170" s="3">
        <v>19.5</v>
      </c>
      <c r="AM170" s="3">
        <v>12</v>
      </c>
      <c r="AO170" s="3">
        <f>AM170-AJ170</f>
        <v>-7.5</v>
      </c>
      <c r="AP170" s="3">
        <v>7.8</v>
      </c>
      <c r="AS170" s="3">
        <v>9.8000000000000007</v>
      </c>
      <c r="AV170" s="3">
        <v>10</v>
      </c>
      <c r="AY170" s="3">
        <v>10</v>
      </c>
      <c r="AZ170" s="3">
        <v>10</v>
      </c>
      <c r="BC170" s="3">
        <v>10</v>
      </c>
      <c r="BD170" s="3">
        <v>10.5</v>
      </c>
      <c r="BG170" s="3">
        <v>10.5</v>
      </c>
      <c r="BH170" s="3">
        <v>12</v>
      </c>
    </row>
    <row r="171" spans="1:60">
      <c r="B171" s="103" t="s">
        <v>541</v>
      </c>
      <c r="C171" s="1" t="s">
        <v>288</v>
      </c>
      <c r="D171" s="2"/>
      <c r="E171" s="2"/>
      <c r="F171" s="8"/>
      <c r="G171" s="8"/>
      <c r="H171" s="8"/>
      <c r="I171" s="8"/>
      <c r="T171" s="3"/>
      <c r="U171" s="3">
        <v>26.47</v>
      </c>
      <c r="AA171" s="3">
        <v>14</v>
      </c>
      <c r="AD171" s="24">
        <v>18.75</v>
      </c>
      <c r="AG171" s="3">
        <v>18.75</v>
      </c>
      <c r="AI171" s="3">
        <f>AG171-AD171</f>
        <v>0</v>
      </c>
      <c r="AJ171" s="3">
        <v>18.75</v>
      </c>
      <c r="AM171" s="3">
        <v>9.25</v>
      </c>
      <c r="AO171" s="3">
        <f>AM171-AJ171</f>
        <v>-9.5</v>
      </c>
      <c r="AP171" s="3">
        <v>10.25</v>
      </c>
      <c r="AS171" s="3">
        <v>12.6</v>
      </c>
      <c r="AV171" s="3">
        <v>10</v>
      </c>
      <c r="AY171" s="3">
        <v>10</v>
      </c>
      <c r="AZ171" s="3">
        <v>10.5</v>
      </c>
      <c r="BC171" s="3">
        <v>10.5</v>
      </c>
      <c r="BD171" s="3">
        <v>11.5</v>
      </c>
      <c r="BG171" s="3">
        <v>11.5</v>
      </c>
      <c r="BH171" s="3">
        <v>9</v>
      </c>
    </row>
    <row r="172" spans="1:60">
      <c r="A172" s="6">
        <v>11</v>
      </c>
      <c r="B172" s="103" t="s">
        <v>541</v>
      </c>
      <c r="C172" s="1" t="s">
        <v>57</v>
      </c>
      <c r="D172" s="2"/>
      <c r="E172" s="2"/>
      <c r="F172" s="8"/>
      <c r="G172" s="8"/>
      <c r="H172" s="8"/>
      <c r="I172" s="8"/>
    </row>
    <row r="173" spans="1:60">
      <c r="B173" s="103" t="s">
        <v>541</v>
      </c>
      <c r="C173" s="1" t="s">
        <v>287</v>
      </c>
      <c r="D173" s="2"/>
      <c r="E173" s="2"/>
      <c r="F173" s="8"/>
      <c r="G173" s="8"/>
      <c r="H173" s="8"/>
      <c r="I173" s="8"/>
      <c r="BH173" s="3">
        <v>10</v>
      </c>
    </row>
    <row r="174" spans="1:60">
      <c r="A174" s="6">
        <v>1</v>
      </c>
      <c r="B174" s="1" t="s">
        <v>538</v>
      </c>
      <c r="C174" s="1" t="s">
        <v>52</v>
      </c>
      <c r="D174" s="2"/>
      <c r="E174" s="2"/>
      <c r="F174" s="8">
        <v>8.33</v>
      </c>
      <c r="G174" s="8"/>
      <c r="H174" s="8">
        <v>8.33</v>
      </c>
      <c r="I174" s="8"/>
      <c r="J174" s="1" t="s">
        <v>178</v>
      </c>
    </row>
    <row r="175" spans="1:60">
      <c r="A175" s="6">
        <v>3</v>
      </c>
      <c r="B175" s="1" t="s">
        <v>538</v>
      </c>
      <c r="C175" s="1" t="s">
        <v>54</v>
      </c>
      <c r="D175" s="2"/>
      <c r="E175" s="2"/>
      <c r="F175" s="8">
        <v>8.33</v>
      </c>
      <c r="G175" s="8"/>
      <c r="H175" s="8">
        <v>8.33</v>
      </c>
      <c r="I175" s="8"/>
      <c r="J175" s="1" t="s">
        <v>178</v>
      </c>
    </row>
    <row r="176" spans="1:60">
      <c r="A176" s="6">
        <v>4</v>
      </c>
      <c r="B176" s="1" t="s">
        <v>538</v>
      </c>
      <c r="C176" s="1" t="s">
        <v>55</v>
      </c>
      <c r="D176" s="2"/>
      <c r="E176" s="2"/>
      <c r="F176" s="8">
        <v>8.33</v>
      </c>
      <c r="G176" s="8"/>
      <c r="H176" s="8">
        <v>8.33</v>
      </c>
      <c r="I176" s="8"/>
      <c r="J176" s="1" t="s">
        <v>178</v>
      </c>
    </row>
    <row r="177" spans="1:60">
      <c r="A177" s="6">
        <v>5</v>
      </c>
      <c r="B177" s="1" t="s">
        <v>538</v>
      </c>
      <c r="C177" s="1" t="s">
        <v>56</v>
      </c>
      <c r="D177" s="2"/>
      <c r="E177" s="2"/>
      <c r="F177" s="8">
        <v>8.33</v>
      </c>
      <c r="G177" s="8"/>
      <c r="H177" s="8">
        <v>8.33</v>
      </c>
      <c r="I177" s="8"/>
      <c r="J177" s="1" t="s">
        <v>178</v>
      </c>
    </row>
    <row r="178" spans="1:60">
      <c r="A178" s="6">
        <v>2</v>
      </c>
      <c r="B178" s="1" t="s">
        <v>538</v>
      </c>
      <c r="C178" s="1" t="s">
        <v>53</v>
      </c>
      <c r="D178" s="2"/>
      <c r="E178" s="2"/>
      <c r="F178" s="8">
        <v>8.33</v>
      </c>
      <c r="G178" s="8"/>
      <c r="H178" s="8">
        <v>8.33</v>
      </c>
      <c r="I178" s="8"/>
      <c r="J178" s="1" t="s">
        <v>178</v>
      </c>
    </row>
    <row r="179" spans="1:60">
      <c r="A179" s="6">
        <v>12</v>
      </c>
      <c r="B179" s="1" t="s">
        <v>538</v>
      </c>
      <c r="C179" s="1" t="s">
        <v>594</v>
      </c>
      <c r="D179" s="2"/>
      <c r="E179" s="2"/>
      <c r="F179" s="8">
        <v>4.3499999999999996</v>
      </c>
      <c r="G179" s="8"/>
      <c r="H179" s="8">
        <v>4.3499999999999996</v>
      </c>
      <c r="I179" s="8"/>
      <c r="J179" s="1" t="s">
        <v>82</v>
      </c>
      <c r="M179" s="3">
        <v>4.99</v>
      </c>
      <c r="O179" s="3">
        <v>4.99</v>
      </c>
      <c r="Q179" s="3">
        <f>O179-H179</f>
        <v>0.64000000000000057</v>
      </c>
      <c r="R179" s="3">
        <v>4.55</v>
      </c>
      <c r="T179" s="3">
        <f>R179-O179</f>
        <v>-0.44000000000000039</v>
      </c>
      <c r="U179" s="3">
        <v>5.67</v>
      </c>
      <c r="W179" s="3">
        <f>U179-R179</f>
        <v>1.1200000000000001</v>
      </c>
      <c r="X179" s="3">
        <v>4.41</v>
      </c>
      <c r="Z179" s="3">
        <f>X179-U179</f>
        <v>-1.2599999999999998</v>
      </c>
      <c r="AA179" s="3">
        <v>5.51</v>
      </c>
      <c r="AC179" s="3">
        <f>AA179-X179</f>
        <v>1.0999999999999996</v>
      </c>
      <c r="AD179" s="24">
        <v>4.78</v>
      </c>
      <c r="AF179" s="24">
        <f>AD179-AA179</f>
        <v>-0.72999999999999954</v>
      </c>
      <c r="AG179" s="3">
        <v>4.5999999999999996</v>
      </c>
      <c r="AI179" s="3">
        <f>AG179-AD179</f>
        <v>-0.1800000000000006</v>
      </c>
      <c r="AJ179" s="3">
        <v>5.51</v>
      </c>
      <c r="AL179" s="3">
        <f>AJ179-AG179</f>
        <v>0.91000000000000014</v>
      </c>
      <c r="AM179" s="3">
        <v>5.51</v>
      </c>
      <c r="AO179" s="3">
        <f>AM179-AJ179</f>
        <v>0</v>
      </c>
      <c r="AP179" s="3">
        <v>5.7</v>
      </c>
      <c r="AS179" s="3">
        <v>5.88</v>
      </c>
      <c r="AV179" s="3">
        <v>7.17</v>
      </c>
      <c r="AZ179" s="3">
        <v>6.64</v>
      </c>
      <c r="BA179" s="1" t="s">
        <v>893</v>
      </c>
      <c r="BD179" s="3">
        <v>6.07</v>
      </c>
      <c r="BH179" s="3">
        <v>6.25</v>
      </c>
    </row>
    <row r="180" spans="1:60">
      <c r="A180" s="6">
        <v>14</v>
      </c>
      <c r="B180" s="1" t="s">
        <v>538</v>
      </c>
      <c r="C180" s="1" t="s">
        <v>58</v>
      </c>
      <c r="D180" s="2"/>
      <c r="E180" s="2"/>
      <c r="F180" s="8">
        <v>14.37</v>
      </c>
      <c r="G180" s="8"/>
      <c r="H180" s="8">
        <v>14.37</v>
      </c>
      <c r="I180" s="8"/>
      <c r="J180" s="1" t="s">
        <v>83</v>
      </c>
      <c r="L180" s="1" t="s">
        <v>592</v>
      </c>
      <c r="M180" s="3">
        <v>15.08</v>
      </c>
      <c r="O180" s="3">
        <v>15.08</v>
      </c>
      <c r="Q180" s="3">
        <f>O180-H180</f>
        <v>0.71000000000000085</v>
      </c>
      <c r="R180" s="3">
        <v>12.5</v>
      </c>
      <c r="T180" s="3">
        <f>R180-O180</f>
        <v>-2.58</v>
      </c>
      <c r="U180" s="3">
        <v>12.17</v>
      </c>
      <c r="W180" s="3">
        <f>U180-R180</f>
        <v>-0.33000000000000007</v>
      </c>
      <c r="X180" s="3">
        <v>14.16</v>
      </c>
      <c r="Z180" s="3">
        <f>X180-U180</f>
        <v>1.9900000000000002</v>
      </c>
      <c r="AA180" s="3">
        <v>15.81</v>
      </c>
      <c r="AC180" s="3">
        <f>AA180-X180</f>
        <v>1.6500000000000004</v>
      </c>
      <c r="AD180" s="24">
        <v>10.11</v>
      </c>
      <c r="AF180" s="24">
        <f>AD180-AA180</f>
        <v>-5.7000000000000011</v>
      </c>
      <c r="AG180" s="3">
        <v>9</v>
      </c>
      <c r="AI180" s="3">
        <f>AG180-AD180</f>
        <v>-1.1099999999999994</v>
      </c>
      <c r="AJ180" s="3">
        <v>8.64</v>
      </c>
      <c r="AL180" s="3">
        <f>AJ180-AG180</f>
        <v>-0.35999999999999943</v>
      </c>
      <c r="AM180" s="3">
        <v>7.54</v>
      </c>
      <c r="AO180" s="3">
        <f>AM180-AJ180</f>
        <v>-1.1000000000000005</v>
      </c>
      <c r="AP180" s="3">
        <v>7.35</v>
      </c>
      <c r="AS180" s="3">
        <v>9.19</v>
      </c>
      <c r="AV180" s="3">
        <v>10.66</v>
      </c>
      <c r="AZ180" s="3">
        <v>10.5</v>
      </c>
      <c r="BA180" s="1" t="s">
        <v>894</v>
      </c>
      <c r="BD180" s="3" t="s">
        <v>968</v>
      </c>
      <c r="BE180" s="3" t="s">
        <v>969</v>
      </c>
      <c r="BH180" s="3">
        <v>9.6</v>
      </c>
    </row>
    <row r="181" spans="1:60">
      <c r="B181" s="1" t="s">
        <v>538</v>
      </c>
      <c r="C181" s="1" t="s">
        <v>857</v>
      </c>
      <c r="D181" s="2"/>
      <c r="E181" s="2"/>
      <c r="F181" s="8"/>
      <c r="G181" s="8"/>
      <c r="H181" s="8"/>
      <c r="I181" s="8"/>
      <c r="Q181" s="3"/>
      <c r="T181" s="3"/>
      <c r="W181" s="3"/>
      <c r="AC181" s="3"/>
      <c r="AF181" s="24"/>
      <c r="AI181" s="3"/>
      <c r="AO181" s="3"/>
      <c r="BD181" s="3">
        <v>16.920000000000002</v>
      </c>
      <c r="BH181" s="3">
        <v>13.33</v>
      </c>
    </row>
    <row r="182" spans="1:60">
      <c r="B182" s="1" t="s">
        <v>538</v>
      </c>
      <c r="C182" s="1" t="s">
        <v>970</v>
      </c>
      <c r="D182" s="2"/>
      <c r="E182" s="2"/>
      <c r="F182" s="8"/>
      <c r="G182" s="8"/>
      <c r="H182" s="8"/>
      <c r="I182" s="8"/>
      <c r="Q182" s="3"/>
      <c r="T182" s="3"/>
      <c r="W182" s="3"/>
      <c r="AC182" s="3"/>
      <c r="AF182" s="24"/>
      <c r="AI182" s="3"/>
      <c r="AO182" s="3"/>
      <c r="BD182" s="3">
        <v>359.15</v>
      </c>
    </row>
    <row r="183" spans="1:60">
      <c r="B183" s="1" t="s">
        <v>538</v>
      </c>
      <c r="C183" s="1" t="s">
        <v>289</v>
      </c>
      <c r="D183" s="2"/>
      <c r="E183" s="2"/>
      <c r="F183" s="8"/>
      <c r="G183" s="8"/>
      <c r="H183" s="8"/>
      <c r="I183" s="8"/>
      <c r="Q183" s="3"/>
      <c r="T183" s="3"/>
      <c r="W183" s="3"/>
      <c r="AC183" s="3"/>
      <c r="AF183" s="24"/>
      <c r="AI183" s="3"/>
      <c r="AM183" s="3">
        <v>10.77</v>
      </c>
      <c r="AP183" s="3">
        <v>10.77</v>
      </c>
      <c r="AS183" s="3">
        <v>11.92</v>
      </c>
      <c r="AV183" s="3">
        <v>11.92</v>
      </c>
      <c r="AZ183" s="3">
        <v>12.51</v>
      </c>
      <c r="BA183" s="1" t="s">
        <v>893</v>
      </c>
      <c r="BD183" s="3">
        <v>14.89</v>
      </c>
    </row>
    <row r="184" spans="1:60">
      <c r="B184" s="1" t="s">
        <v>538</v>
      </c>
      <c r="C184" s="1" t="s">
        <v>290</v>
      </c>
      <c r="D184" s="2"/>
      <c r="E184" s="2"/>
      <c r="F184" s="8"/>
      <c r="G184" s="8"/>
      <c r="H184" s="8"/>
      <c r="I184" s="8"/>
      <c r="Q184" s="3"/>
      <c r="T184" s="3"/>
      <c r="W184" s="3"/>
      <c r="AC184" s="3"/>
      <c r="AF184" s="24"/>
      <c r="AI184" s="3"/>
      <c r="AV184" s="3">
        <v>19.41</v>
      </c>
      <c r="AZ184" s="3">
        <v>14.72</v>
      </c>
      <c r="BA184" s="1" t="s">
        <v>893</v>
      </c>
      <c r="BD184" s="3">
        <v>14.72</v>
      </c>
    </row>
    <row r="185" spans="1:60">
      <c r="B185" s="1" t="s">
        <v>538</v>
      </c>
      <c r="C185" s="1" t="s">
        <v>64</v>
      </c>
      <c r="D185" s="2"/>
      <c r="E185" s="2"/>
      <c r="F185" s="8"/>
      <c r="G185" s="8"/>
      <c r="H185" s="8"/>
      <c r="I185" s="8"/>
      <c r="Q185" s="3"/>
      <c r="T185" s="3"/>
      <c r="W185" s="3"/>
      <c r="X185" s="3">
        <v>17.89</v>
      </c>
      <c r="AA185" s="3">
        <v>12.84</v>
      </c>
      <c r="AC185" s="3">
        <f>AA185-X185</f>
        <v>-5.0500000000000007</v>
      </c>
      <c r="AD185" s="24">
        <v>11.47</v>
      </c>
      <c r="AF185" s="24">
        <f>AD185-AA185</f>
        <v>-1.3699999999999992</v>
      </c>
      <c r="AG185" s="3">
        <v>11.7</v>
      </c>
      <c r="AI185" s="3">
        <f>AG185-AD185</f>
        <v>0.22999999999999865</v>
      </c>
      <c r="AJ185" s="3">
        <v>10.78</v>
      </c>
      <c r="AL185" s="3">
        <f>AJ185-AG185</f>
        <v>-0.91999999999999993</v>
      </c>
      <c r="AM185" s="3">
        <v>9.4</v>
      </c>
      <c r="AO185" s="3">
        <f>AM185-AJ185</f>
        <v>-1.379999999999999</v>
      </c>
      <c r="AP185" s="3">
        <v>9.41</v>
      </c>
      <c r="AS185" s="3">
        <v>11.69</v>
      </c>
      <c r="AV185" s="3">
        <v>10.78</v>
      </c>
      <c r="AZ185" s="3">
        <v>11.41</v>
      </c>
      <c r="BA185" s="1" t="s">
        <v>893</v>
      </c>
      <c r="BD185" s="3">
        <v>7.27</v>
      </c>
      <c r="BH185" s="3">
        <v>10.78</v>
      </c>
    </row>
    <row r="186" spans="1:60">
      <c r="B186" s="1" t="s">
        <v>538</v>
      </c>
      <c r="C186" s="1" t="s">
        <v>855</v>
      </c>
      <c r="D186" s="2"/>
      <c r="E186" s="2"/>
      <c r="F186" s="8"/>
      <c r="G186" s="8"/>
      <c r="H186" s="8"/>
      <c r="I186" s="8"/>
      <c r="Q186" s="3"/>
      <c r="T186" s="3"/>
      <c r="W186" s="3"/>
      <c r="AC186" s="3"/>
      <c r="AF186" s="24"/>
      <c r="AI186" s="3"/>
      <c r="AL186" s="3"/>
      <c r="AO186" s="3"/>
      <c r="AZ186" s="3">
        <v>12.24</v>
      </c>
      <c r="BA186" s="1" t="s">
        <v>893</v>
      </c>
      <c r="BD186" s="3">
        <v>12.24</v>
      </c>
    </row>
    <row r="187" spans="1:60">
      <c r="B187" s="1" t="s">
        <v>538</v>
      </c>
      <c r="C187" s="1" t="s">
        <v>286</v>
      </c>
      <c r="D187" s="2"/>
      <c r="E187" s="2"/>
      <c r="F187" s="8"/>
      <c r="G187" s="8"/>
      <c r="H187" s="8"/>
      <c r="I187" s="8"/>
      <c r="Q187" s="3"/>
      <c r="T187" s="3"/>
      <c r="W187" s="3"/>
      <c r="X187" s="3">
        <v>12.39</v>
      </c>
      <c r="AA187" s="3">
        <v>13.72</v>
      </c>
      <c r="AC187" s="3">
        <f>AA187-X187</f>
        <v>1.33</v>
      </c>
      <c r="AD187" s="24">
        <v>14.16</v>
      </c>
      <c r="AF187" s="24">
        <f>AD187-AA187</f>
        <v>0.4399999999999995</v>
      </c>
      <c r="AG187" s="3">
        <v>10.4</v>
      </c>
      <c r="AI187" s="3">
        <f>AG187-AD187</f>
        <v>-3.76</v>
      </c>
      <c r="AJ187" s="3">
        <v>10.4</v>
      </c>
      <c r="AL187" s="3">
        <f>AJ187-AG187</f>
        <v>0</v>
      </c>
      <c r="AM187" s="3">
        <v>10.4</v>
      </c>
      <c r="AO187" s="3">
        <f>AM187-AJ187</f>
        <v>0</v>
      </c>
      <c r="AP187" s="3">
        <v>8.6300000000000008</v>
      </c>
      <c r="AS187" s="3">
        <v>8.84</v>
      </c>
      <c r="AV187" s="3">
        <v>11.06</v>
      </c>
      <c r="AZ187" s="3">
        <v>11.35</v>
      </c>
      <c r="BA187" s="1" t="s">
        <v>893</v>
      </c>
      <c r="BD187" s="3">
        <v>10.9</v>
      </c>
      <c r="BH187" s="3">
        <v>11.06</v>
      </c>
    </row>
    <row r="188" spans="1:60">
      <c r="B188" s="1" t="s">
        <v>538</v>
      </c>
      <c r="C188" s="1" t="s">
        <v>288</v>
      </c>
      <c r="D188" s="2"/>
      <c r="E188" s="2"/>
      <c r="F188" s="8"/>
      <c r="G188" s="8"/>
      <c r="H188" s="8"/>
      <c r="I188" s="8"/>
      <c r="Q188" s="3"/>
      <c r="T188" s="3"/>
      <c r="W188" s="3"/>
      <c r="X188" s="3">
        <v>17.7</v>
      </c>
      <c r="AA188" s="3">
        <v>14.82</v>
      </c>
      <c r="AC188" s="3">
        <f>AA188-X188</f>
        <v>-2.879999999999999</v>
      </c>
      <c r="AD188" s="24">
        <v>10.62</v>
      </c>
      <c r="AF188" s="24">
        <f>AD188-AA188</f>
        <v>-4.2000000000000011</v>
      </c>
      <c r="AG188" s="3">
        <v>19.510000000000002</v>
      </c>
      <c r="AI188" s="3">
        <f>AG188-AD188</f>
        <v>8.8900000000000023</v>
      </c>
      <c r="AJ188" s="3">
        <v>9.07</v>
      </c>
      <c r="AL188" s="3">
        <f>AJ188-AG188</f>
        <v>-10.440000000000001</v>
      </c>
      <c r="AM188" s="3">
        <v>8.19</v>
      </c>
      <c r="AO188" s="3">
        <f>AM188-AJ188</f>
        <v>-0.88000000000000078</v>
      </c>
      <c r="AP188" s="3">
        <v>7.96</v>
      </c>
      <c r="AS188" s="3">
        <v>11.06</v>
      </c>
      <c r="AV188" s="3">
        <v>10.62</v>
      </c>
      <c r="AZ188" s="3">
        <v>13.89</v>
      </c>
      <c r="BA188" s="1" t="s">
        <v>893</v>
      </c>
      <c r="BD188" s="3">
        <v>7.82</v>
      </c>
      <c r="BH188" s="3">
        <v>9.74</v>
      </c>
    </row>
    <row r="189" spans="1:60">
      <c r="A189" s="6">
        <v>11</v>
      </c>
      <c r="B189" s="1" t="s">
        <v>538</v>
      </c>
      <c r="C189" s="1" t="s">
        <v>57</v>
      </c>
      <c r="D189" s="2"/>
      <c r="E189" s="2"/>
      <c r="F189" s="8">
        <v>8.33</v>
      </c>
      <c r="G189" s="8"/>
      <c r="H189" s="8">
        <v>8.33</v>
      </c>
      <c r="I189" s="8"/>
      <c r="J189" s="1" t="s">
        <v>178</v>
      </c>
    </row>
    <row r="190" spans="1:60">
      <c r="B190" s="1" t="s">
        <v>538</v>
      </c>
      <c r="C190" s="1" t="s">
        <v>287</v>
      </c>
      <c r="D190" s="2"/>
      <c r="E190" s="2"/>
      <c r="F190" s="8"/>
      <c r="G190" s="8"/>
      <c r="H190" s="8"/>
      <c r="I190" s="8"/>
      <c r="Q190" s="3"/>
      <c r="T190" s="3"/>
      <c r="W190" s="3"/>
      <c r="AC190" s="3"/>
      <c r="AF190" s="24"/>
      <c r="AI190" s="3"/>
      <c r="AJ190" s="3">
        <v>10.84</v>
      </c>
      <c r="AM190" s="3">
        <v>10.84</v>
      </c>
      <c r="AO190" s="3">
        <f>AM190-AJ190</f>
        <v>0</v>
      </c>
      <c r="AP190" s="3">
        <v>10.84</v>
      </c>
      <c r="AS190" s="3">
        <v>11.94</v>
      </c>
      <c r="AZ190" s="3">
        <v>12.01</v>
      </c>
      <c r="BA190" s="1" t="s">
        <v>893</v>
      </c>
      <c r="BD190" s="3">
        <v>10.9</v>
      </c>
      <c r="BH190" s="3">
        <v>11.5</v>
      </c>
    </row>
    <row r="191" spans="1:60">
      <c r="A191" s="6">
        <v>1</v>
      </c>
      <c r="B191" s="1" t="s">
        <v>570</v>
      </c>
      <c r="C191" s="1" t="s">
        <v>52</v>
      </c>
      <c r="D191" s="2"/>
      <c r="E191" s="2"/>
      <c r="F191" s="8">
        <v>0</v>
      </c>
      <c r="G191" s="8"/>
      <c r="H191" s="8">
        <v>0</v>
      </c>
      <c r="I191" s="8"/>
    </row>
    <row r="192" spans="1:60">
      <c r="A192" s="6">
        <v>3</v>
      </c>
      <c r="B192" s="1" t="s">
        <v>570</v>
      </c>
      <c r="C192" s="1" t="s">
        <v>54</v>
      </c>
      <c r="D192" s="2"/>
      <c r="E192" s="2"/>
      <c r="F192" s="8">
        <v>0</v>
      </c>
      <c r="G192" s="8"/>
      <c r="H192" s="8">
        <v>0</v>
      </c>
      <c r="I192" s="8"/>
    </row>
    <row r="193" spans="1:65">
      <c r="A193" s="6">
        <v>4</v>
      </c>
      <c r="B193" s="1" t="s">
        <v>570</v>
      </c>
      <c r="C193" s="1" t="s">
        <v>55</v>
      </c>
      <c r="D193" s="2"/>
      <c r="E193" s="2"/>
      <c r="F193" s="8">
        <v>0</v>
      </c>
      <c r="G193" s="8"/>
      <c r="H193" s="8">
        <v>0</v>
      </c>
      <c r="I193" s="8"/>
    </row>
    <row r="194" spans="1:65">
      <c r="A194" s="6">
        <v>5</v>
      </c>
      <c r="B194" s="1" t="s">
        <v>570</v>
      </c>
      <c r="C194" s="1" t="s">
        <v>56</v>
      </c>
      <c r="D194" s="2"/>
      <c r="E194" s="2"/>
      <c r="F194" s="8">
        <v>0</v>
      </c>
      <c r="G194" s="8"/>
      <c r="H194" s="8">
        <v>0</v>
      </c>
      <c r="I194" s="8"/>
    </row>
    <row r="195" spans="1:65">
      <c r="A195" s="6">
        <v>2</v>
      </c>
      <c r="B195" s="1" t="s">
        <v>570</v>
      </c>
      <c r="C195" s="1" t="s">
        <v>53</v>
      </c>
      <c r="D195" s="2"/>
      <c r="E195" s="2"/>
      <c r="F195" s="8">
        <v>21.08</v>
      </c>
      <c r="G195" s="8"/>
      <c r="H195" s="8">
        <v>21.08</v>
      </c>
      <c r="I195" s="8"/>
      <c r="L195" s="1" t="s">
        <v>784</v>
      </c>
      <c r="M195" s="3">
        <v>24.11</v>
      </c>
      <c r="O195" s="3">
        <v>24.11</v>
      </c>
      <c r="Q195" s="3">
        <f>O195-H195</f>
        <v>3.0300000000000011</v>
      </c>
      <c r="R195" s="3">
        <v>28.19</v>
      </c>
      <c r="T195" s="3">
        <f>R195-O195</f>
        <v>4.0800000000000018</v>
      </c>
      <c r="U195" s="3">
        <v>29.75</v>
      </c>
      <c r="W195" s="3">
        <f>U195-R195</f>
        <v>1.5599999999999987</v>
      </c>
    </row>
    <row r="196" spans="1:65" ht="10.8" customHeight="1">
      <c r="B196" s="1" t="s">
        <v>570</v>
      </c>
      <c r="C196" s="1" t="s">
        <v>595</v>
      </c>
      <c r="D196" s="2"/>
      <c r="E196" s="2"/>
      <c r="F196" s="8"/>
      <c r="G196" s="8"/>
      <c r="H196" s="8"/>
      <c r="I196" s="8"/>
      <c r="Q196" s="3"/>
      <c r="R196" s="3">
        <v>11.14</v>
      </c>
      <c r="T196" s="3"/>
      <c r="U196" s="3">
        <v>11.75</v>
      </c>
      <c r="W196" s="3">
        <f>U196-R196</f>
        <v>0.60999999999999943</v>
      </c>
      <c r="X196" s="3">
        <v>11.25</v>
      </c>
      <c r="Z196" s="3">
        <f>X196-U196</f>
        <v>-0.5</v>
      </c>
      <c r="AA196" s="3">
        <v>11.25</v>
      </c>
      <c r="AC196" s="3">
        <f>AA196-X196</f>
        <v>0</v>
      </c>
      <c r="AD196" s="24">
        <v>12.88</v>
      </c>
      <c r="AF196" s="24">
        <f>AD196-AA196</f>
        <v>1.6300000000000008</v>
      </c>
      <c r="AG196" s="3">
        <v>11.89</v>
      </c>
      <c r="AI196" s="3">
        <f>AG196-AD196</f>
        <v>-0.99000000000000021</v>
      </c>
      <c r="AJ196" s="3">
        <v>16.75</v>
      </c>
      <c r="AL196" s="3">
        <f>AJ196-AG196</f>
        <v>4.8599999999999994</v>
      </c>
      <c r="AM196" s="3">
        <v>32.08</v>
      </c>
      <c r="AO196" s="3">
        <f>AM196-AJ196</f>
        <v>15.329999999999998</v>
      </c>
      <c r="AP196" s="3">
        <v>32.08</v>
      </c>
      <c r="AS196" s="3">
        <v>32.08</v>
      </c>
      <c r="AV196" s="3">
        <v>32.08</v>
      </c>
      <c r="AZ196" s="3">
        <v>32.08</v>
      </c>
      <c r="BA196" s="1" t="s">
        <v>852</v>
      </c>
      <c r="BD196" s="3">
        <v>32.08</v>
      </c>
      <c r="BE196" s="1" t="s">
        <v>852</v>
      </c>
      <c r="BG196" s="3">
        <v>75.45</v>
      </c>
      <c r="BH196" s="3">
        <v>32.08</v>
      </c>
      <c r="BI196" s="1" t="s">
        <v>852</v>
      </c>
      <c r="BK196" s="3">
        <v>75.45</v>
      </c>
      <c r="BL196" s="3">
        <v>32.08</v>
      </c>
      <c r="BM196" s="1" t="s">
        <v>852</v>
      </c>
    </row>
    <row r="197" spans="1:65">
      <c r="A197" s="6">
        <v>12</v>
      </c>
      <c r="B197" s="1" t="s">
        <v>570</v>
      </c>
      <c r="C197" s="1" t="s">
        <v>594</v>
      </c>
      <c r="D197" s="2"/>
      <c r="E197" s="2"/>
      <c r="F197" s="8">
        <v>6.69</v>
      </c>
      <c r="G197" s="8"/>
      <c r="H197" s="8">
        <v>6.69</v>
      </c>
      <c r="I197" s="8"/>
      <c r="M197" s="3">
        <v>8.25</v>
      </c>
      <c r="O197" s="3">
        <v>8.25</v>
      </c>
      <c r="Q197" s="3">
        <f>O197-H197</f>
        <v>1.5599999999999996</v>
      </c>
      <c r="R197" s="3">
        <v>9.4700000000000006</v>
      </c>
      <c r="T197" s="3">
        <f>R197-O197</f>
        <v>1.2200000000000006</v>
      </c>
      <c r="U197" s="3">
        <v>9.5</v>
      </c>
      <c r="W197" s="3">
        <f>U197-R197</f>
        <v>2.9999999999999361E-2</v>
      </c>
      <c r="X197" s="3">
        <v>9.32</v>
      </c>
      <c r="Z197" s="3">
        <f>X197-U197</f>
        <v>-0.17999999999999972</v>
      </c>
      <c r="AA197" s="3">
        <v>9.32</v>
      </c>
      <c r="AC197" s="3">
        <f>AA197-X197</f>
        <v>0</v>
      </c>
      <c r="AD197" s="24">
        <v>9.69</v>
      </c>
      <c r="AF197" s="24">
        <f>AD197-AA197</f>
        <v>0.36999999999999922</v>
      </c>
      <c r="AG197" s="3">
        <v>8.66</v>
      </c>
      <c r="AI197" s="3">
        <f>AG197-AD197</f>
        <v>-1.0299999999999994</v>
      </c>
      <c r="AJ197" s="3">
        <v>14</v>
      </c>
      <c r="AL197" s="3">
        <f>AJ197-AG197</f>
        <v>5.34</v>
      </c>
      <c r="AM197" s="3">
        <v>25.44</v>
      </c>
      <c r="AO197" s="3">
        <f>AM197-AJ197</f>
        <v>11.440000000000001</v>
      </c>
      <c r="AP197" s="3">
        <v>25.44</v>
      </c>
      <c r="AS197" s="3">
        <v>25.44</v>
      </c>
      <c r="AV197" s="3">
        <v>25.44</v>
      </c>
      <c r="AZ197" s="3">
        <v>30.5</v>
      </c>
      <c r="BA197" s="1" t="s">
        <v>852</v>
      </c>
      <c r="BD197" s="3">
        <v>30.5</v>
      </c>
      <c r="BE197" s="1" t="s">
        <v>852</v>
      </c>
      <c r="BG197" s="3">
        <v>9.25</v>
      </c>
      <c r="BH197" s="3">
        <v>10.87</v>
      </c>
      <c r="BI197" s="1" t="s">
        <v>852</v>
      </c>
      <c r="BK197" s="3">
        <v>9.25</v>
      </c>
      <c r="BL197" s="3">
        <v>10.87</v>
      </c>
      <c r="BM197" s="1" t="s">
        <v>852</v>
      </c>
    </row>
    <row r="198" spans="1:65">
      <c r="A198" s="6">
        <v>14</v>
      </c>
      <c r="B198" s="1" t="s">
        <v>570</v>
      </c>
      <c r="C198" s="1" t="s">
        <v>58</v>
      </c>
      <c r="D198" s="2"/>
      <c r="E198" s="2"/>
      <c r="F198" s="8">
        <v>13.87</v>
      </c>
      <c r="G198" s="8"/>
      <c r="H198" s="8">
        <v>13.87</v>
      </c>
      <c r="I198" s="8"/>
      <c r="L198" s="1" t="s">
        <v>589</v>
      </c>
      <c r="M198" s="3">
        <v>14.8</v>
      </c>
      <c r="O198" s="3">
        <v>14.8</v>
      </c>
      <c r="Q198" s="3">
        <f>O198-H198</f>
        <v>0.93000000000000149</v>
      </c>
      <c r="R198" s="3">
        <v>12.69</v>
      </c>
      <c r="T198" s="3">
        <f>R198-O198</f>
        <v>-2.1100000000000012</v>
      </c>
      <c r="U198" s="3">
        <v>13.75</v>
      </c>
      <c r="W198" s="3">
        <f>U198-R198</f>
        <v>1.0600000000000005</v>
      </c>
      <c r="X198" s="3">
        <v>13.5</v>
      </c>
      <c r="Z198" s="3">
        <f>X198-U198</f>
        <v>-0.25</v>
      </c>
      <c r="AA198" s="3">
        <v>13.5</v>
      </c>
      <c r="AC198" s="3">
        <f>AA198-X198</f>
        <v>0</v>
      </c>
      <c r="AD198" s="24">
        <v>18.18</v>
      </c>
      <c r="AF198" s="24">
        <f>AD198-AA198</f>
        <v>4.68</v>
      </c>
      <c r="AG198" s="3">
        <v>12.98</v>
      </c>
      <c r="AI198" s="3">
        <f>AG198-AD198</f>
        <v>-5.1999999999999993</v>
      </c>
      <c r="AJ198" s="3">
        <v>16.21</v>
      </c>
      <c r="AL198" s="3">
        <f>AJ198-AG198</f>
        <v>3.2300000000000004</v>
      </c>
      <c r="AM198" s="3">
        <v>34.619999999999997</v>
      </c>
      <c r="AO198" s="3">
        <f>AM198-AJ198</f>
        <v>18.409999999999997</v>
      </c>
      <c r="AP198" s="3">
        <v>34.619999999999997</v>
      </c>
      <c r="AS198" s="3">
        <v>34.619999999999997</v>
      </c>
      <c r="AV198" s="3">
        <v>34.619999999999997</v>
      </c>
      <c r="AZ198" s="3">
        <v>36.200000000000003</v>
      </c>
      <c r="BA198" s="1" t="s">
        <v>852</v>
      </c>
      <c r="BD198" s="3">
        <v>36.200000000000003</v>
      </c>
      <c r="BE198" s="1" t="s">
        <v>852</v>
      </c>
      <c r="BG198" s="3">
        <v>12</v>
      </c>
      <c r="BH198" s="3">
        <v>15.11</v>
      </c>
      <c r="BI198" s="1" t="s">
        <v>852</v>
      </c>
      <c r="BK198" s="3">
        <v>12</v>
      </c>
      <c r="BL198" s="3">
        <v>15.11</v>
      </c>
      <c r="BM198" s="1" t="s">
        <v>852</v>
      </c>
    </row>
    <row r="199" spans="1:65">
      <c r="B199" s="1" t="s">
        <v>570</v>
      </c>
      <c r="C199" s="1" t="s">
        <v>289</v>
      </c>
      <c r="D199" s="2"/>
      <c r="E199" s="2"/>
      <c r="F199" s="8"/>
      <c r="G199" s="8"/>
      <c r="H199" s="8"/>
      <c r="I199" s="8"/>
      <c r="Q199" s="3"/>
      <c r="T199" s="3"/>
      <c r="AZ199" s="3">
        <v>14.05</v>
      </c>
      <c r="BA199" s="1" t="s">
        <v>852</v>
      </c>
      <c r="BD199" s="3">
        <v>14.05</v>
      </c>
      <c r="BE199" s="1" t="s">
        <v>852</v>
      </c>
      <c r="BG199" s="3">
        <v>14.68</v>
      </c>
      <c r="BH199" s="3">
        <v>23.94</v>
      </c>
      <c r="BI199" s="1" t="s">
        <v>852</v>
      </c>
      <c r="BK199" s="3">
        <v>14.68</v>
      </c>
      <c r="BL199" s="3">
        <v>23.94</v>
      </c>
      <c r="BM199" s="1" t="s">
        <v>852</v>
      </c>
    </row>
    <row r="200" spans="1:65">
      <c r="B200" s="1" t="s">
        <v>570</v>
      </c>
      <c r="C200" s="1" t="s">
        <v>290</v>
      </c>
      <c r="D200" s="2"/>
      <c r="E200" s="2"/>
      <c r="F200" s="8"/>
      <c r="G200" s="8"/>
      <c r="H200" s="8"/>
      <c r="I200" s="8"/>
      <c r="Q200" s="3"/>
      <c r="T200" s="3"/>
      <c r="AZ200" s="3">
        <v>19.91</v>
      </c>
      <c r="BA200" s="1" t="s">
        <v>852</v>
      </c>
      <c r="BD200" s="3">
        <v>19.91</v>
      </c>
      <c r="BE200" s="1" t="s">
        <v>852</v>
      </c>
      <c r="BG200" s="3">
        <v>19.91</v>
      </c>
      <c r="BH200" s="3">
        <v>20.5</v>
      </c>
      <c r="BI200" s="1" t="s">
        <v>852</v>
      </c>
      <c r="BK200" s="3">
        <v>19.91</v>
      </c>
      <c r="BL200" s="3">
        <v>20.5</v>
      </c>
      <c r="BM200" s="1" t="s">
        <v>852</v>
      </c>
    </row>
    <row r="201" spans="1:65">
      <c r="B201" s="1" t="s">
        <v>570</v>
      </c>
      <c r="C201" s="1" t="s">
        <v>64</v>
      </c>
      <c r="D201" s="2"/>
      <c r="E201" s="2"/>
      <c r="F201" s="8"/>
      <c r="G201" s="8"/>
      <c r="H201" s="8"/>
      <c r="I201" s="8"/>
      <c r="Q201" s="3"/>
      <c r="R201" s="3">
        <v>8.6</v>
      </c>
      <c r="T201" s="3"/>
      <c r="U201" s="3">
        <v>22.25</v>
      </c>
      <c r="W201" s="3">
        <f>U201-R201</f>
        <v>13.65</v>
      </c>
      <c r="X201" s="3">
        <v>23.8</v>
      </c>
      <c r="Z201" s="3">
        <f>X201-U201</f>
        <v>1.5500000000000007</v>
      </c>
      <c r="AA201" s="3">
        <v>23.8</v>
      </c>
      <c r="AC201" s="3">
        <f>AA201-X201</f>
        <v>0</v>
      </c>
      <c r="AD201" s="24">
        <v>17.95</v>
      </c>
      <c r="AF201" s="24">
        <f>AD201-AA201</f>
        <v>-5.8500000000000014</v>
      </c>
      <c r="AG201" s="3">
        <v>25.48</v>
      </c>
      <c r="AI201" s="3">
        <f>AG201-AD201</f>
        <v>7.5300000000000011</v>
      </c>
      <c r="AJ201" s="3">
        <v>18.14</v>
      </c>
      <c r="AL201" s="3">
        <f>AJ201-AG201</f>
        <v>-7.34</v>
      </c>
      <c r="AM201" s="3">
        <v>29.65</v>
      </c>
      <c r="AO201" s="3">
        <f>AM201-AJ201</f>
        <v>11.509999999999998</v>
      </c>
      <c r="AP201" s="3">
        <v>29.65</v>
      </c>
      <c r="AS201" s="3">
        <v>27.65</v>
      </c>
      <c r="AV201" s="3">
        <v>27.65</v>
      </c>
      <c r="AZ201" s="3">
        <v>34.4</v>
      </c>
      <c r="BA201" s="1" t="s">
        <v>852</v>
      </c>
      <c r="BD201" s="3">
        <v>34.4</v>
      </c>
      <c r="BE201" s="1" t="s">
        <v>852</v>
      </c>
      <c r="BG201" s="3">
        <v>14.25</v>
      </c>
      <c r="BH201" s="3">
        <v>17.489999999999998</v>
      </c>
      <c r="BI201" s="1" t="s">
        <v>852</v>
      </c>
      <c r="BK201" s="3">
        <v>14.25</v>
      </c>
      <c r="BL201" s="3">
        <v>17.489999999999998</v>
      </c>
      <c r="BM201" s="1" t="s">
        <v>852</v>
      </c>
    </row>
    <row r="202" spans="1:65">
      <c r="B202" s="1" t="s">
        <v>570</v>
      </c>
      <c r="C202" s="1" t="s">
        <v>855</v>
      </c>
      <c r="D202" s="2"/>
      <c r="E202" s="2"/>
      <c r="F202" s="8"/>
      <c r="G202" s="8"/>
      <c r="H202" s="8"/>
      <c r="I202" s="8"/>
      <c r="Q202" s="3"/>
      <c r="T202" s="3"/>
      <c r="W202" s="3"/>
      <c r="AC202" s="3"/>
      <c r="AF202" s="24"/>
      <c r="AI202" s="3"/>
      <c r="AL202" s="3"/>
      <c r="AO202" s="3"/>
      <c r="AZ202" s="3">
        <v>10</v>
      </c>
      <c r="BA202" s="1" t="s">
        <v>852</v>
      </c>
      <c r="BG202" s="3">
        <v>14.37</v>
      </c>
      <c r="BH202" s="3">
        <v>14.37</v>
      </c>
      <c r="BI202" s="1" t="s">
        <v>852</v>
      </c>
    </row>
    <row r="203" spans="1:65">
      <c r="B203" s="1" t="s">
        <v>570</v>
      </c>
      <c r="C203" s="1" t="s">
        <v>286</v>
      </c>
      <c r="D203" s="2"/>
      <c r="E203" s="2"/>
      <c r="F203" s="8"/>
      <c r="G203" s="8"/>
      <c r="H203" s="8"/>
      <c r="I203" s="8"/>
      <c r="Q203" s="3"/>
      <c r="T203" s="3"/>
      <c r="W203" s="3"/>
      <c r="AC203" s="3"/>
      <c r="AF203" s="24"/>
      <c r="AI203" s="3"/>
      <c r="AL203" s="3"/>
      <c r="AO203" s="3"/>
      <c r="BK203" s="3">
        <v>26.14</v>
      </c>
      <c r="BL203" s="3">
        <v>26.14</v>
      </c>
      <c r="BM203" s="1" t="s">
        <v>852</v>
      </c>
    </row>
    <row r="204" spans="1:65">
      <c r="B204" s="1" t="s">
        <v>570</v>
      </c>
      <c r="C204" s="1" t="s">
        <v>288</v>
      </c>
      <c r="D204" s="2"/>
      <c r="E204" s="2"/>
      <c r="F204" s="8"/>
      <c r="G204" s="8"/>
      <c r="H204" s="8"/>
      <c r="I204" s="8"/>
      <c r="Q204" s="3"/>
      <c r="R204" s="3">
        <v>15.16</v>
      </c>
      <c r="T204" s="3"/>
      <c r="U204" s="3">
        <v>24.25</v>
      </c>
      <c r="W204" s="3">
        <f>U204-R204</f>
        <v>9.09</v>
      </c>
      <c r="X204" s="3">
        <v>24.64</v>
      </c>
      <c r="Z204" s="3">
        <f>X204-U204</f>
        <v>0.39000000000000057</v>
      </c>
      <c r="AA204" s="3">
        <v>24.64</v>
      </c>
      <c r="AC204" s="3">
        <f>AA204-X204</f>
        <v>0</v>
      </c>
      <c r="AD204" s="24">
        <v>19.37</v>
      </c>
      <c r="AF204" s="24">
        <f>AD204-AA204</f>
        <v>-5.27</v>
      </c>
      <c r="AG204" s="3">
        <v>13.17</v>
      </c>
      <c r="AI204" s="3">
        <f>AG204-AD204</f>
        <v>-6.2000000000000011</v>
      </c>
      <c r="AJ204" s="3">
        <v>27.5</v>
      </c>
      <c r="AL204" s="3">
        <f>AJ204-AG204</f>
        <v>14.33</v>
      </c>
      <c r="AM204" s="3">
        <v>33.44</v>
      </c>
      <c r="AO204" s="3">
        <f>AM204-AJ204</f>
        <v>5.9399999999999977</v>
      </c>
      <c r="AP204" s="3">
        <v>33.44</v>
      </c>
      <c r="AS204" s="3">
        <v>33.44</v>
      </c>
      <c r="AV204" s="3">
        <v>33.44</v>
      </c>
      <c r="AZ204" s="3">
        <v>14.5</v>
      </c>
      <c r="BA204" s="1" t="s">
        <v>852</v>
      </c>
      <c r="BD204" s="3">
        <v>29.3</v>
      </c>
      <c r="BE204" s="1" t="s">
        <v>852</v>
      </c>
      <c r="BG204" s="3">
        <v>14.37</v>
      </c>
      <c r="BH204" s="3">
        <v>17.940000000000001</v>
      </c>
      <c r="BI204" s="1" t="s">
        <v>852</v>
      </c>
      <c r="BK204" s="3">
        <v>14.37</v>
      </c>
      <c r="BL204" s="3">
        <v>19.25</v>
      </c>
      <c r="BM204" s="1" t="s">
        <v>852</v>
      </c>
    </row>
    <row r="205" spans="1:65">
      <c r="A205" s="6">
        <v>11</v>
      </c>
      <c r="B205" s="1" t="s">
        <v>570</v>
      </c>
      <c r="C205" s="1" t="s">
        <v>57</v>
      </c>
      <c r="D205" s="2"/>
      <c r="E205" s="2"/>
      <c r="F205" s="8">
        <v>19.79</v>
      </c>
      <c r="G205" s="8"/>
      <c r="H205" s="8">
        <v>19.79</v>
      </c>
      <c r="I205" s="8"/>
      <c r="M205" s="3">
        <v>21.15</v>
      </c>
      <c r="O205" s="3">
        <v>21.15</v>
      </c>
      <c r="Q205" s="3">
        <f>O205-H205</f>
        <v>1.3599999999999994</v>
      </c>
      <c r="R205" s="3">
        <v>24.56</v>
      </c>
      <c r="T205" s="3">
        <f>R205-O205</f>
        <v>3.41</v>
      </c>
    </row>
    <row r="206" spans="1:65">
      <c r="B206" s="1" t="s">
        <v>570</v>
      </c>
      <c r="C206" s="1" t="s">
        <v>287</v>
      </c>
      <c r="D206" s="2"/>
      <c r="E206" s="2"/>
      <c r="F206" s="8"/>
      <c r="G206" s="8"/>
      <c r="H206" s="8"/>
      <c r="I206" s="8"/>
      <c r="Q206" s="3"/>
      <c r="T206" s="3"/>
      <c r="W206" s="3"/>
      <c r="AC206" s="3"/>
      <c r="AF206" s="24"/>
      <c r="AI206" s="3"/>
      <c r="AL206" s="3"/>
      <c r="AO206" s="3"/>
      <c r="BD206" s="3">
        <v>10</v>
      </c>
      <c r="BE206" s="1" t="s">
        <v>852</v>
      </c>
    </row>
    <row r="207" spans="1:65">
      <c r="A207" s="6">
        <v>1</v>
      </c>
      <c r="B207" s="103" t="s">
        <v>540</v>
      </c>
      <c r="C207" s="1" t="s">
        <v>52</v>
      </c>
      <c r="D207" s="2"/>
      <c r="E207" s="2"/>
      <c r="F207" s="8">
        <v>10.78</v>
      </c>
      <c r="G207" s="8"/>
      <c r="H207" s="8">
        <v>10.78</v>
      </c>
      <c r="I207" s="8"/>
      <c r="M207" s="3">
        <v>10.78</v>
      </c>
      <c r="O207" s="3">
        <v>10.78</v>
      </c>
      <c r="Q207" s="3">
        <f>O207-H207</f>
        <v>0</v>
      </c>
      <c r="Y207" s="1" t="s">
        <v>285</v>
      </c>
      <c r="AT207" s="1" t="s">
        <v>285</v>
      </c>
      <c r="AW207" s="1" t="s">
        <v>285</v>
      </c>
    </row>
    <row r="208" spans="1:65">
      <c r="A208" s="6">
        <v>3</v>
      </c>
      <c r="B208" s="103" t="s">
        <v>540</v>
      </c>
      <c r="C208" s="1" t="s">
        <v>54</v>
      </c>
      <c r="D208" s="2"/>
      <c r="E208" s="2"/>
      <c r="F208" s="8"/>
      <c r="G208" s="8"/>
      <c r="H208" s="8"/>
      <c r="I208" s="8"/>
      <c r="N208" s="3" t="s">
        <v>211</v>
      </c>
      <c r="O208" s="3" t="s">
        <v>211</v>
      </c>
      <c r="Y208" s="1" t="s">
        <v>285</v>
      </c>
      <c r="AT208" s="1" t="s">
        <v>285</v>
      </c>
      <c r="AW208" s="1" t="s">
        <v>285</v>
      </c>
    </row>
    <row r="209" spans="1:60">
      <c r="A209" s="6">
        <v>4</v>
      </c>
      <c r="B209" s="103" t="s">
        <v>540</v>
      </c>
      <c r="C209" s="1" t="s">
        <v>55</v>
      </c>
      <c r="D209" s="2"/>
      <c r="E209" s="2"/>
      <c r="F209" s="8"/>
      <c r="G209" s="8"/>
      <c r="H209" s="8"/>
      <c r="I209" s="8"/>
      <c r="N209" s="3" t="s">
        <v>211</v>
      </c>
      <c r="O209" s="3" t="s">
        <v>211</v>
      </c>
      <c r="Y209" s="1" t="s">
        <v>285</v>
      </c>
      <c r="AT209" s="1" t="s">
        <v>285</v>
      </c>
      <c r="AW209" s="1" t="s">
        <v>285</v>
      </c>
    </row>
    <row r="210" spans="1:60">
      <c r="A210" s="6">
        <v>5</v>
      </c>
      <c r="B210" s="103" t="s">
        <v>540</v>
      </c>
      <c r="C210" s="1" t="s">
        <v>56</v>
      </c>
      <c r="D210" s="2"/>
      <c r="E210" s="2"/>
      <c r="F210" s="8"/>
      <c r="G210" s="8"/>
      <c r="H210" s="8"/>
      <c r="I210" s="8"/>
      <c r="N210" s="3" t="s">
        <v>211</v>
      </c>
      <c r="O210" s="3" t="s">
        <v>211</v>
      </c>
      <c r="Y210" s="1" t="s">
        <v>285</v>
      </c>
      <c r="AT210" s="1" t="s">
        <v>285</v>
      </c>
      <c r="AW210" s="1" t="s">
        <v>285</v>
      </c>
    </row>
    <row r="211" spans="1:60">
      <c r="A211" s="6">
        <v>2</v>
      </c>
      <c r="B211" s="103" t="s">
        <v>540</v>
      </c>
      <c r="C211" s="1" t="s">
        <v>53</v>
      </c>
      <c r="D211" s="2"/>
      <c r="E211" s="2"/>
      <c r="F211" s="8">
        <v>11.36</v>
      </c>
      <c r="G211" s="8"/>
      <c r="H211" s="8">
        <v>11.36</v>
      </c>
      <c r="I211" s="8"/>
      <c r="M211" s="3">
        <v>11.36</v>
      </c>
      <c r="O211" s="3">
        <v>11.36</v>
      </c>
      <c r="Q211" s="3">
        <f>O211-H211</f>
        <v>0</v>
      </c>
      <c r="R211" s="3">
        <f>162/13.5</f>
        <v>12</v>
      </c>
      <c r="S211" s="1" t="s">
        <v>227</v>
      </c>
      <c r="T211" s="3">
        <f>R211-O211</f>
        <v>0.64000000000000057</v>
      </c>
      <c r="U211" s="3">
        <v>28</v>
      </c>
      <c r="W211" s="3">
        <f>U211-R211</f>
        <v>16</v>
      </c>
      <c r="Y211" s="1" t="s">
        <v>285</v>
      </c>
      <c r="AT211" s="1" t="s">
        <v>285</v>
      </c>
      <c r="AW211" s="1" t="s">
        <v>285</v>
      </c>
    </row>
    <row r="212" spans="1:60">
      <c r="A212" s="6">
        <v>12</v>
      </c>
      <c r="B212" s="103" t="s">
        <v>540</v>
      </c>
      <c r="C212" s="1" t="s">
        <v>594</v>
      </c>
      <c r="D212" s="2"/>
      <c r="E212" s="2"/>
      <c r="F212" s="8">
        <v>3.7</v>
      </c>
      <c r="G212" s="8"/>
      <c r="H212" s="8">
        <v>3.7</v>
      </c>
      <c r="I212" s="8"/>
      <c r="M212" s="3">
        <v>3.7</v>
      </c>
      <c r="O212" s="3">
        <v>3.7</v>
      </c>
      <c r="Q212" s="3">
        <f>O212-H212</f>
        <v>0</v>
      </c>
      <c r="R212" s="3">
        <f>192/13.5</f>
        <v>14.222222222222221</v>
      </c>
      <c r="S212" s="1" t="s">
        <v>228</v>
      </c>
      <c r="T212" s="3">
        <f>R212-O212</f>
        <v>10.522222222222222</v>
      </c>
      <c r="U212" s="3">
        <v>18</v>
      </c>
      <c r="W212" s="3">
        <f>U212-R212</f>
        <v>3.7777777777777786</v>
      </c>
      <c r="Y212" s="1" t="s">
        <v>285</v>
      </c>
      <c r="AA212" s="3">
        <v>12</v>
      </c>
      <c r="AD212" s="24">
        <v>10.199999999999999</v>
      </c>
      <c r="AG212" s="3">
        <v>10</v>
      </c>
      <c r="AI212" s="3">
        <f>AG212-AD212</f>
        <v>-0.19999999999999929</v>
      </c>
      <c r="AJ212" s="3">
        <v>12</v>
      </c>
      <c r="AL212" s="3">
        <f>AJ212-AG212</f>
        <v>2</v>
      </c>
      <c r="AM212" s="3">
        <v>11</v>
      </c>
      <c r="AO212" s="3">
        <f>AM212-AJ212</f>
        <v>-1</v>
      </c>
      <c r="AP212" s="3">
        <v>11</v>
      </c>
      <c r="AT212" s="1" t="s">
        <v>285</v>
      </c>
      <c r="AW212" s="1" t="s">
        <v>285</v>
      </c>
      <c r="AY212" s="3">
        <v>7.25</v>
      </c>
      <c r="AZ212" s="3">
        <v>8.5</v>
      </c>
      <c r="BC212" s="3">
        <v>8.5</v>
      </c>
      <c r="BD212" s="3">
        <v>8.5</v>
      </c>
      <c r="BG212" s="3">
        <v>8.5</v>
      </c>
      <c r="BH212" s="3">
        <v>9.5</v>
      </c>
    </row>
    <row r="213" spans="1:60">
      <c r="A213" s="6">
        <v>14</v>
      </c>
      <c r="B213" s="103" t="s">
        <v>540</v>
      </c>
      <c r="C213" s="1" t="s">
        <v>58</v>
      </c>
      <c r="D213" s="2"/>
      <c r="E213" s="2"/>
      <c r="F213" s="8">
        <v>19.5</v>
      </c>
      <c r="G213" s="8"/>
      <c r="H213" s="8">
        <v>19.5</v>
      </c>
      <c r="I213" s="8"/>
      <c r="M213" s="3">
        <v>19.5</v>
      </c>
      <c r="O213" s="3">
        <v>19.5</v>
      </c>
      <c r="Q213" s="3">
        <f>O213-H213</f>
        <v>0</v>
      </c>
      <c r="U213" s="3">
        <v>23</v>
      </c>
      <c r="Y213" s="1" t="s">
        <v>285</v>
      </c>
      <c r="AA213" s="3">
        <v>27</v>
      </c>
      <c r="AD213" s="24">
        <v>27.55</v>
      </c>
      <c r="AG213" s="3">
        <v>25</v>
      </c>
      <c r="AI213" s="3">
        <f>AG213-AD213</f>
        <v>-2.5500000000000007</v>
      </c>
      <c r="AJ213" s="3">
        <v>20</v>
      </c>
      <c r="AL213" s="3">
        <f>AJ213-AG213</f>
        <v>-5</v>
      </c>
      <c r="AM213" s="3">
        <v>26</v>
      </c>
      <c r="AO213" s="3">
        <f>AM213-AJ213</f>
        <v>6</v>
      </c>
      <c r="AP213" s="3">
        <v>26</v>
      </c>
      <c r="AT213" s="1" t="s">
        <v>285</v>
      </c>
      <c r="AW213" s="1" t="s">
        <v>285</v>
      </c>
      <c r="AY213" s="3">
        <v>12.95</v>
      </c>
      <c r="AZ213" s="3">
        <v>13.5</v>
      </c>
      <c r="BC213" s="3">
        <v>13.5</v>
      </c>
      <c r="BD213" s="3">
        <v>13.5</v>
      </c>
      <c r="BG213" s="3">
        <v>13.5</v>
      </c>
      <c r="BH213" s="3">
        <v>17</v>
      </c>
    </row>
    <row r="214" spans="1:60">
      <c r="B214" s="103" t="s">
        <v>540</v>
      </c>
      <c r="C214" s="1" t="s">
        <v>291</v>
      </c>
      <c r="D214" s="2"/>
      <c r="E214" s="2"/>
      <c r="F214" s="8"/>
      <c r="G214" s="8"/>
      <c r="H214" s="8"/>
      <c r="I214" s="8"/>
      <c r="Q214" s="3"/>
      <c r="AL214" s="3"/>
      <c r="AY214" s="107"/>
      <c r="AZ214" s="107"/>
      <c r="BC214" s="3">
        <v>13</v>
      </c>
      <c r="BD214" s="3">
        <v>13</v>
      </c>
    </row>
    <row r="215" spans="1:60">
      <c r="B215" s="103" t="s">
        <v>540</v>
      </c>
      <c r="C215" s="1" t="s">
        <v>857</v>
      </c>
      <c r="D215" s="2"/>
      <c r="E215" s="2"/>
      <c r="F215" s="8"/>
      <c r="G215" s="8"/>
      <c r="H215" s="8"/>
      <c r="I215" s="8"/>
      <c r="Q215" s="3"/>
      <c r="AL215" s="3"/>
      <c r="AY215" s="107"/>
      <c r="AZ215" s="107">
        <v>10</v>
      </c>
      <c r="BC215" s="3">
        <v>10</v>
      </c>
      <c r="BD215" s="3">
        <v>10</v>
      </c>
      <c r="BG215" s="3">
        <v>10</v>
      </c>
      <c r="BH215" s="3">
        <v>16</v>
      </c>
    </row>
    <row r="216" spans="1:60">
      <c r="B216" s="103" t="s">
        <v>540</v>
      </c>
      <c r="C216" s="1" t="s">
        <v>289</v>
      </c>
      <c r="D216" s="2"/>
      <c r="E216" s="2"/>
      <c r="F216" s="8"/>
      <c r="G216" s="8"/>
      <c r="H216" s="8"/>
      <c r="I216" s="8"/>
      <c r="Q216" s="3"/>
      <c r="U216" s="3">
        <v>40</v>
      </c>
      <c r="Y216" s="1" t="s">
        <v>285</v>
      </c>
      <c r="AA216" s="3">
        <v>20</v>
      </c>
      <c r="AG216" s="3">
        <v>8</v>
      </c>
      <c r="AJ216" s="3">
        <v>8</v>
      </c>
      <c r="AL216" s="3">
        <f>AJ216-AG216</f>
        <v>0</v>
      </c>
      <c r="AM216" s="3">
        <v>10</v>
      </c>
      <c r="AO216" s="3">
        <f>AM216-AJ216</f>
        <v>2</v>
      </c>
      <c r="AP216" s="3">
        <v>10</v>
      </c>
      <c r="AT216" s="1" t="s">
        <v>285</v>
      </c>
      <c r="AW216" s="1" t="s">
        <v>285</v>
      </c>
      <c r="AY216" s="3">
        <v>8.5</v>
      </c>
      <c r="AZ216" s="3">
        <v>8.5</v>
      </c>
      <c r="BC216" s="3">
        <v>8.5</v>
      </c>
      <c r="BD216" s="3">
        <v>8.5</v>
      </c>
      <c r="BG216" s="3">
        <v>8.5</v>
      </c>
      <c r="BH216" s="3">
        <v>9.5</v>
      </c>
    </row>
    <row r="217" spans="1:60">
      <c r="B217" s="103" t="s">
        <v>540</v>
      </c>
      <c r="C217" s="1" t="s">
        <v>290</v>
      </c>
      <c r="D217" s="2"/>
      <c r="E217" s="2"/>
      <c r="F217" s="8"/>
      <c r="G217" s="8"/>
      <c r="H217" s="8"/>
      <c r="I217" s="8"/>
      <c r="Q217" s="3"/>
      <c r="AL217" s="3"/>
      <c r="AO217" s="3"/>
      <c r="AY217" s="3">
        <v>14.2</v>
      </c>
      <c r="AZ217" s="3">
        <v>14.2</v>
      </c>
      <c r="BC217" s="3">
        <v>14.2</v>
      </c>
      <c r="BD217" s="3">
        <v>14.2</v>
      </c>
      <c r="BG217" s="3">
        <v>14.2</v>
      </c>
      <c r="BH217" s="3">
        <v>15.5</v>
      </c>
    </row>
    <row r="218" spans="1:60">
      <c r="B218" s="103" t="s">
        <v>540</v>
      </c>
      <c r="C218" s="1" t="s">
        <v>64</v>
      </c>
      <c r="D218" s="2"/>
      <c r="E218" s="2"/>
      <c r="F218" s="8"/>
      <c r="G218" s="8"/>
      <c r="H218" s="8"/>
      <c r="I218" s="8"/>
      <c r="Q218" s="3"/>
      <c r="U218" s="3">
        <v>34</v>
      </c>
      <c r="Y218" s="1" t="s">
        <v>285</v>
      </c>
      <c r="AA218" s="3">
        <v>21</v>
      </c>
      <c r="AD218" s="24">
        <v>33.67</v>
      </c>
      <c r="AG218" s="3">
        <v>25</v>
      </c>
      <c r="AI218" s="3">
        <f>AG218-AD218</f>
        <v>-8.6700000000000017</v>
      </c>
      <c r="AJ218" s="3">
        <v>20</v>
      </c>
      <c r="AL218" s="3">
        <f>AJ218-AG218</f>
        <v>-5</v>
      </c>
      <c r="AM218" s="3">
        <v>24.5</v>
      </c>
      <c r="AO218" s="3">
        <f>AM218-AJ218</f>
        <v>4.5</v>
      </c>
      <c r="AP218" s="3">
        <v>24.5</v>
      </c>
      <c r="AT218" s="1" t="s">
        <v>285</v>
      </c>
      <c r="AW218" s="1" t="s">
        <v>285</v>
      </c>
      <c r="AY218" s="3">
        <v>12.35</v>
      </c>
      <c r="AZ218" s="3">
        <v>12.5</v>
      </c>
      <c r="BC218" s="3">
        <v>12.5</v>
      </c>
      <c r="BD218" s="3">
        <v>12.5</v>
      </c>
      <c r="BG218" s="3">
        <v>12.5</v>
      </c>
      <c r="BH218" s="3">
        <v>13.5</v>
      </c>
    </row>
    <row r="219" spans="1:60">
      <c r="B219" s="103" t="s">
        <v>540</v>
      </c>
      <c r="C219" s="1" t="s">
        <v>286</v>
      </c>
      <c r="D219" s="2"/>
      <c r="E219" s="2"/>
      <c r="F219" s="8"/>
      <c r="G219" s="8"/>
      <c r="H219" s="8"/>
      <c r="I219" s="8"/>
      <c r="Q219" s="3"/>
      <c r="U219" s="3">
        <v>34</v>
      </c>
      <c r="Y219" s="1" t="s">
        <v>285</v>
      </c>
      <c r="AA219" s="3">
        <v>30</v>
      </c>
      <c r="AD219" s="24">
        <v>33.67</v>
      </c>
      <c r="AG219" s="3">
        <v>37.5</v>
      </c>
      <c r="AI219" s="3">
        <f>AG219-AD219</f>
        <v>3.8299999999999983</v>
      </c>
      <c r="AM219" s="3">
        <v>26.7</v>
      </c>
      <c r="AP219" s="3">
        <v>26.7</v>
      </c>
      <c r="AT219" s="1" t="s">
        <v>285</v>
      </c>
      <c r="AW219" s="1" t="s">
        <v>285</v>
      </c>
      <c r="AY219" s="3">
        <v>11.25</v>
      </c>
      <c r="AZ219" s="3">
        <v>12.5</v>
      </c>
      <c r="BC219" s="3">
        <v>12.5</v>
      </c>
      <c r="BD219" s="3">
        <v>12.5</v>
      </c>
      <c r="BG219" s="3">
        <v>12.5</v>
      </c>
      <c r="BH219" s="3">
        <v>13.5</v>
      </c>
    </row>
    <row r="220" spans="1:60">
      <c r="B220" s="103" t="s">
        <v>540</v>
      </c>
      <c r="C220" s="1" t="s">
        <v>288</v>
      </c>
      <c r="D220" s="2"/>
      <c r="E220" s="2"/>
      <c r="F220" s="8"/>
      <c r="G220" s="8"/>
      <c r="H220" s="8"/>
      <c r="I220" s="8"/>
      <c r="Q220" s="3"/>
      <c r="U220" s="3">
        <v>34</v>
      </c>
      <c r="Y220" s="1" t="s">
        <v>285</v>
      </c>
      <c r="AA220" s="3">
        <v>31</v>
      </c>
      <c r="AD220" s="24">
        <v>31.22</v>
      </c>
      <c r="AG220" s="3">
        <v>25</v>
      </c>
      <c r="AI220" s="3">
        <f>AG220-AD220</f>
        <v>-6.2199999999999989</v>
      </c>
      <c r="AM220" s="3">
        <v>23</v>
      </c>
      <c r="AP220" s="3">
        <v>23</v>
      </c>
      <c r="AT220" s="1" t="s">
        <v>285</v>
      </c>
      <c r="AW220" s="1" t="s">
        <v>285</v>
      </c>
      <c r="AY220" s="3">
        <v>11.35</v>
      </c>
      <c r="AZ220" s="3">
        <v>12.5</v>
      </c>
      <c r="BC220" s="3">
        <v>12.5</v>
      </c>
      <c r="BD220" s="3">
        <v>12.5</v>
      </c>
      <c r="BG220" s="3">
        <v>12.5</v>
      </c>
      <c r="BH220" s="3">
        <v>13.5</v>
      </c>
    </row>
    <row r="221" spans="1:60">
      <c r="A221" s="6">
        <v>11</v>
      </c>
      <c r="B221" s="103" t="s">
        <v>540</v>
      </c>
      <c r="C221" s="1" t="s">
        <v>57</v>
      </c>
      <c r="D221" s="2"/>
      <c r="E221" s="2"/>
      <c r="F221" s="8"/>
      <c r="G221" s="8"/>
      <c r="H221" s="8"/>
      <c r="I221" s="8"/>
      <c r="N221" s="3" t="s">
        <v>211</v>
      </c>
      <c r="O221" s="3" t="s">
        <v>211</v>
      </c>
      <c r="Y221" s="1" t="s">
        <v>285</v>
      </c>
      <c r="AT221" s="1" t="s">
        <v>285</v>
      </c>
      <c r="AW221" s="1" t="s">
        <v>285</v>
      </c>
    </row>
    <row r="222" spans="1:60">
      <c r="B222" s="103" t="s">
        <v>540</v>
      </c>
      <c r="C222" s="1" t="s">
        <v>287</v>
      </c>
      <c r="D222" s="2"/>
      <c r="E222" s="2"/>
      <c r="F222" s="8"/>
      <c r="G222" s="8"/>
      <c r="H222" s="8"/>
      <c r="I222" s="8"/>
      <c r="Q222" s="3"/>
      <c r="U222" s="3">
        <v>34</v>
      </c>
      <c r="Y222" s="1" t="s">
        <v>285</v>
      </c>
      <c r="AA222" s="3">
        <v>31</v>
      </c>
      <c r="AG222" s="3">
        <v>25</v>
      </c>
      <c r="AJ222" s="3">
        <v>20</v>
      </c>
      <c r="AL222" s="3">
        <f>AJ222-AG222</f>
        <v>-5</v>
      </c>
      <c r="AT222" s="1" t="s">
        <v>285</v>
      </c>
      <c r="AW222" s="1" t="s">
        <v>285</v>
      </c>
    </row>
    <row r="223" spans="1:60">
      <c r="A223" s="6">
        <v>1</v>
      </c>
      <c r="B223" s="103" t="s">
        <v>512</v>
      </c>
      <c r="C223" s="1" t="s">
        <v>52</v>
      </c>
      <c r="D223" s="2" t="s">
        <v>647</v>
      </c>
      <c r="E223" s="2"/>
      <c r="F223" s="9">
        <v>0</v>
      </c>
      <c r="H223" s="9">
        <v>0</v>
      </c>
      <c r="M223" s="3">
        <v>0</v>
      </c>
      <c r="O223" s="3">
        <v>0</v>
      </c>
      <c r="Q223" s="104"/>
      <c r="AK223" s="1" t="s">
        <v>285</v>
      </c>
      <c r="AQ223" s="1" t="s">
        <v>285</v>
      </c>
    </row>
    <row r="224" spans="1:60">
      <c r="A224" s="6">
        <v>3</v>
      </c>
      <c r="B224" s="103" t="s">
        <v>512</v>
      </c>
      <c r="C224" s="1" t="s">
        <v>54</v>
      </c>
      <c r="D224" s="2" t="s">
        <v>647</v>
      </c>
      <c r="E224" s="2"/>
      <c r="F224" s="9">
        <v>0</v>
      </c>
      <c r="H224" s="9">
        <v>0</v>
      </c>
      <c r="AK224" s="1" t="s">
        <v>285</v>
      </c>
      <c r="AQ224" s="1" t="s">
        <v>285</v>
      </c>
    </row>
    <row r="225" spans="1:61">
      <c r="A225" s="6">
        <v>4</v>
      </c>
      <c r="B225" s="103" t="s">
        <v>512</v>
      </c>
      <c r="C225" s="1" t="s">
        <v>55</v>
      </c>
      <c r="D225" s="2" t="s">
        <v>647</v>
      </c>
      <c r="E225" s="2"/>
      <c r="F225" s="9">
        <v>0</v>
      </c>
      <c r="H225" s="9">
        <v>0</v>
      </c>
      <c r="AK225" s="1" t="s">
        <v>285</v>
      </c>
      <c r="AQ225" s="1" t="s">
        <v>285</v>
      </c>
    </row>
    <row r="226" spans="1:61">
      <c r="A226" s="6">
        <v>5</v>
      </c>
      <c r="B226" s="103" t="s">
        <v>512</v>
      </c>
      <c r="C226" s="1" t="s">
        <v>56</v>
      </c>
      <c r="D226" s="2" t="s">
        <v>647</v>
      </c>
      <c r="E226" s="2"/>
      <c r="F226" s="9">
        <v>0</v>
      </c>
      <c r="H226" s="9">
        <v>0</v>
      </c>
      <c r="AK226" s="1" t="s">
        <v>285</v>
      </c>
      <c r="AQ226" s="1" t="s">
        <v>285</v>
      </c>
    </row>
    <row r="227" spans="1:61">
      <c r="A227" s="6">
        <v>2</v>
      </c>
      <c r="B227" s="103" t="s">
        <v>512</v>
      </c>
      <c r="C227" s="1" t="s">
        <v>53</v>
      </c>
      <c r="D227" s="2" t="s">
        <v>647</v>
      </c>
      <c r="E227" s="2"/>
      <c r="F227" s="9">
        <v>14</v>
      </c>
      <c r="H227" s="9">
        <v>14</v>
      </c>
      <c r="L227" s="1" t="s">
        <v>531</v>
      </c>
      <c r="M227" s="3">
        <v>16.25</v>
      </c>
      <c r="O227" s="3">
        <v>16.25</v>
      </c>
      <c r="Q227" s="3">
        <f>O227-H227</f>
        <v>2.25</v>
      </c>
      <c r="R227" s="3">
        <v>16.25</v>
      </c>
      <c r="T227" s="3">
        <f>R227-O227</f>
        <v>0</v>
      </c>
      <c r="U227" s="3">
        <v>16.25</v>
      </c>
      <c r="W227" s="3">
        <f>U227-R227</f>
        <v>0</v>
      </c>
      <c r="AK227" s="1" t="s">
        <v>285</v>
      </c>
      <c r="AQ227" s="1" t="s">
        <v>285</v>
      </c>
    </row>
    <row r="228" spans="1:61">
      <c r="A228" s="6">
        <v>12</v>
      </c>
      <c r="B228" s="103" t="s">
        <v>512</v>
      </c>
      <c r="C228" s="1" t="s">
        <v>594</v>
      </c>
      <c r="D228" s="2" t="s">
        <v>647</v>
      </c>
      <c r="E228" s="2"/>
      <c r="F228" s="9">
        <v>11</v>
      </c>
      <c r="H228" s="9">
        <v>11</v>
      </c>
      <c r="L228" s="1" t="s">
        <v>359</v>
      </c>
      <c r="M228" s="3">
        <v>16.25</v>
      </c>
      <c r="O228" s="3">
        <v>16.25</v>
      </c>
      <c r="Q228" s="3">
        <f>O228-H228</f>
        <v>5.25</v>
      </c>
      <c r="R228" s="3">
        <v>16.25</v>
      </c>
      <c r="T228" s="3">
        <f>R228-O228</f>
        <v>0</v>
      </c>
      <c r="U228" s="3">
        <v>16.25</v>
      </c>
      <c r="W228" s="3">
        <f>U228-R228</f>
        <v>0</v>
      </c>
      <c r="X228" s="3">
        <v>16.5</v>
      </c>
      <c r="AA228" s="3">
        <v>16.25</v>
      </c>
      <c r="AD228" s="24">
        <v>28</v>
      </c>
      <c r="AG228" s="3">
        <v>14</v>
      </c>
      <c r="AI228" s="3">
        <f>AG228-AD228</f>
        <v>-14</v>
      </c>
      <c r="AK228" s="1" t="s">
        <v>285</v>
      </c>
      <c r="AM228" s="3">
        <v>14</v>
      </c>
      <c r="AQ228" s="1" t="s">
        <v>285</v>
      </c>
      <c r="AS228" s="3">
        <v>13</v>
      </c>
      <c r="AV228" s="3">
        <v>13</v>
      </c>
      <c r="AY228" s="3">
        <v>13</v>
      </c>
      <c r="AZ228" s="3">
        <v>15.94</v>
      </c>
      <c r="BC228" s="3">
        <v>15.94</v>
      </c>
      <c r="BD228" s="3">
        <v>20</v>
      </c>
      <c r="BE228" s="1" t="s">
        <v>862</v>
      </c>
      <c r="BG228" s="3">
        <v>20</v>
      </c>
      <c r="BH228" s="3">
        <v>19.260000000000002</v>
      </c>
      <c r="BI228" s="1" t="s">
        <v>862</v>
      </c>
    </row>
    <row r="229" spans="1:61">
      <c r="A229" s="6">
        <v>14</v>
      </c>
      <c r="B229" s="103" t="s">
        <v>512</v>
      </c>
      <c r="C229" s="1" t="s">
        <v>58</v>
      </c>
      <c r="D229" s="2" t="s">
        <v>647</v>
      </c>
      <c r="E229" s="2"/>
      <c r="F229" s="9">
        <v>0</v>
      </c>
      <c r="H229" s="9">
        <v>0</v>
      </c>
      <c r="M229" s="3">
        <v>13.75</v>
      </c>
      <c r="O229" s="3">
        <v>13.75</v>
      </c>
      <c r="Q229" s="3"/>
      <c r="R229" s="3">
        <v>13.75</v>
      </c>
      <c r="T229" s="3">
        <f>R229-O229</f>
        <v>0</v>
      </c>
      <c r="U229" s="3">
        <v>13.75</v>
      </c>
      <c r="W229" s="3">
        <f>U229-R229</f>
        <v>0</v>
      </c>
      <c r="X229" s="3">
        <v>14</v>
      </c>
      <c r="AA229" s="3">
        <v>13.75</v>
      </c>
      <c r="AG229" s="3">
        <v>38</v>
      </c>
      <c r="AK229" s="1" t="s">
        <v>285</v>
      </c>
      <c r="AQ229" s="1" t="s">
        <v>285</v>
      </c>
      <c r="AZ229" s="3">
        <v>9.0299999999999994</v>
      </c>
      <c r="BH229" s="3">
        <v>16</v>
      </c>
      <c r="BI229" s="1" t="s">
        <v>862</v>
      </c>
    </row>
    <row r="230" spans="1:61">
      <c r="B230" s="103" t="s">
        <v>512</v>
      </c>
      <c r="C230" s="1" t="s">
        <v>857</v>
      </c>
      <c r="D230" s="2"/>
      <c r="E230" s="2"/>
      <c r="Q230" s="3"/>
      <c r="T230" s="3"/>
      <c r="W230" s="3"/>
      <c r="AZ230" s="3">
        <v>8</v>
      </c>
      <c r="BC230" s="3">
        <v>8</v>
      </c>
      <c r="BD230" s="3">
        <v>17</v>
      </c>
      <c r="BE230" s="1" t="s">
        <v>862</v>
      </c>
      <c r="BG230" s="3">
        <v>17</v>
      </c>
      <c r="BH230" s="3">
        <v>17.87</v>
      </c>
      <c r="BI230" s="1" t="s">
        <v>862</v>
      </c>
    </row>
    <row r="231" spans="1:61">
      <c r="B231" s="103" t="s">
        <v>512</v>
      </c>
      <c r="C231" s="1" t="s">
        <v>289</v>
      </c>
      <c r="D231" s="2"/>
      <c r="E231" s="2"/>
      <c r="T231" s="3"/>
      <c r="W231" s="3"/>
      <c r="AD231" s="24">
        <v>59</v>
      </c>
      <c r="AG231" s="3">
        <v>43</v>
      </c>
      <c r="AI231" s="3">
        <f>AG231-AD231</f>
        <v>-16</v>
      </c>
      <c r="AK231" s="1" t="s">
        <v>285</v>
      </c>
      <c r="AQ231" s="1" t="s">
        <v>285</v>
      </c>
      <c r="BH231" s="3">
        <v>26.13</v>
      </c>
      <c r="BI231" s="1" t="s">
        <v>862</v>
      </c>
    </row>
    <row r="232" spans="1:61">
      <c r="B232" s="103" t="s">
        <v>512</v>
      </c>
      <c r="C232" s="1" t="s">
        <v>290</v>
      </c>
      <c r="D232" s="2"/>
      <c r="E232" s="2"/>
      <c r="T232" s="3"/>
      <c r="W232" s="3"/>
      <c r="AI232" s="3"/>
      <c r="BH232" s="3">
        <v>36.590000000000003</v>
      </c>
      <c r="BI232" s="1" t="s">
        <v>862</v>
      </c>
    </row>
    <row r="233" spans="1:61">
      <c r="B233" s="103" t="s">
        <v>512</v>
      </c>
      <c r="C233" s="1" t="s">
        <v>64</v>
      </c>
      <c r="D233" s="2"/>
      <c r="E233" s="2"/>
      <c r="M233" s="3">
        <v>2.5</v>
      </c>
      <c r="O233" s="3">
        <v>2.5</v>
      </c>
      <c r="R233" s="3">
        <v>360</v>
      </c>
      <c r="T233" s="3">
        <f>R233-O233</f>
        <v>357.5</v>
      </c>
      <c r="U233" s="3">
        <v>360</v>
      </c>
      <c r="W233" s="3">
        <f>U233-R233</f>
        <v>0</v>
      </c>
      <c r="AD233" s="24">
        <v>33</v>
      </c>
      <c r="AG233" s="3">
        <v>27.3</v>
      </c>
      <c r="AI233" s="3">
        <f>AG233-AD233</f>
        <v>-5.6999999999999993</v>
      </c>
      <c r="AK233" s="1" t="s">
        <v>285</v>
      </c>
      <c r="AM233" s="3">
        <v>20</v>
      </c>
      <c r="AQ233" s="1" t="s">
        <v>285</v>
      </c>
      <c r="AZ233" s="3">
        <v>7.75</v>
      </c>
      <c r="BC233" s="3">
        <v>7.75</v>
      </c>
      <c r="BD233" s="3">
        <v>11.27</v>
      </c>
      <c r="BE233" s="1" t="s">
        <v>862</v>
      </c>
      <c r="BG233" s="3">
        <v>11.27</v>
      </c>
      <c r="BH233" s="3">
        <v>23</v>
      </c>
      <c r="BI233" s="1" t="s">
        <v>862</v>
      </c>
    </row>
    <row r="234" spans="1:61">
      <c r="B234" s="103" t="s">
        <v>512</v>
      </c>
      <c r="C234" s="1" t="s">
        <v>855</v>
      </c>
      <c r="D234" s="2"/>
      <c r="E234" s="2"/>
      <c r="T234" s="3"/>
      <c r="W234" s="3"/>
      <c r="AI234" s="3"/>
      <c r="AZ234" s="3">
        <v>8.43</v>
      </c>
    </row>
    <row r="235" spans="1:61">
      <c r="B235" s="103" t="s">
        <v>512</v>
      </c>
      <c r="C235" s="1" t="s">
        <v>286</v>
      </c>
      <c r="D235" s="2"/>
      <c r="E235" s="2"/>
      <c r="M235" s="3">
        <v>30</v>
      </c>
      <c r="O235" s="3">
        <v>30</v>
      </c>
      <c r="R235" s="3">
        <v>30</v>
      </c>
      <c r="T235" s="3">
        <f>R235-O235</f>
        <v>0</v>
      </c>
      <c r="U235" s="3">
        <v>30</v>
      </c>
      <c r="W235" s="3">
        <f>U235-R235</f>
        <v>0</v>
      </c>
      <c r="X235" s="3">
        <v>30</v>
      </c>
      <c r="AA235" s="3">
        <v>30</v>
      </c>
      <c r="AD235" s="24">
        <v>22</v>
      </c>
      <c r="AK235" s="1" t="s">
        <v>285</v>
      </c>
      <c r="AQ235" s="1" t="s">
        <v>285</v>
      </c>
      <c r="BH235" s="3">
        <v>19.079999999999998</v>
      </c>
      <c r="BI235" s="1" t="s">
        <v>862</v>
      </c>
    </row>
    <row r="236" spans="1:61">
      <c r="B236" s="103" t="s">
        <v>512</v>
      </c>
      <c r="C236" s="1" t="s">
        <v>288</v>
      </c>
      <c r="D236" s="2"/>
      <c r="E236" s="2"/>
      <c r="T236" s="3"/>
      <c r="W236" s="3"/>
      <c r="AD236" s="24">
        <v>40</v>
      </c>
      <c r="AG236" s="3">
        <v>27.3</v>
      </c>
      <c r="AI236" s="3">
        <f>AG236-AD236</f>
        <v>-12.7</v>
      </c>
      <c r="AK236" s="1" t="s">
        <v>285</v>
      </c>
      <c r="AM236" s="3">
        <v>20</v>
      </c>
      <c r="AQ236" s="1" t="s">
        <v>285</v>
      </c>
      <c r="AZ236" s="3">
        <v>8.5</v>
      </c>
      <c r="BC236" s="3">
        <v>8.5</v>
      </c>
      <c r="BD236" s="3">
        <v>11.27</v>
      </c>
      <c r="BE236" s="1" t="s">
        <v>862</v>
      </c>
      <c r="BG236" s="3">
        <v>11.27</v>
      </c>
      <c r="BH236" s="3">
        <v>18.02</v>
      </c>
      <c r="BI236" s="1" t="s">
        <v>862</v>
      </c>
    </row>
    <row r="237" spans="1:61">
      <c r="A237" s="6">
        <v>11</v>
      </c>
      <c r="B237" s="103" t="s">
        <v>512</v>
      </c>
      <c r="C237" s="1" t="s">
        <v>57</v>
      </c>
      <c r="D237" s="2">
        <v>0</v>
      </c>
      <c r="E237" s="2"/>
      <c r="F237" s="9">
        <v>0</v>
      </c>
      <c r="H237" s="9">
        <v>0</v>
      </c>
      <c r="M237" s="3">
        <v>18.75</v>
      </c>
      <c r="O237" s="3">
        <v>18.75</v>
      </c>
      <c r="Q237" s="3"/>
      <c r="R237" s="3">
        <v>18.75</v>
      </c>
      <c r="T237" s="3">
        <f>R237-O237</f>
        <v>0</v>
      </c>
      <c r="U237" s="3">
        <v>18.75</v>
      </c>
      <c r="W237" s="3">
        <f>U237-R237</f>
        <v>0</v>
      </c>
      <c r="X237" s="3">
        <v>19</v>
      </c>
      <c r="AA237" s="3">
        <v>18.75</v>
      </c>
      <c r="AK237" s="1" t="s">
        <v>285</v>
      </c>
      <c r="AQ237" s="1" t="s">
        <v>285</v>
      </c>
    </row>
    <row r="238" spans="1:61">
      <c r="A238" s="6">
        <v>1</v>
      </c>
      <c r="B238" s="103" t="s">
        <v>746</v>
      </c>
      <c r="C238" s="1" t="s">
        <v>52</v>
      </c>
      <c r="D238" s="2" t="s">
        <v>511</v>
      </c>
      <c r="E238" s="2"/>
      <c r="F238" s="8"/>
      <c r="G238" s="8"/>
      <c r="H238" s="8"/>
      <c r="I238" s="8"/>
      <c r="AT238" s="1" t="s">
        <v>285</v>
      </c>
      <c r="AW238" s="1" t="s">
        <v>285</v>
      </c>
    </row>
    <row r="239" spans="1:61">
      <c r="A239" s="6">
        <v>3</v>
      </c>
      <c r="B239" s="103" t="s">
        <v>746</v>
      </c>
      <c r="C239" s="1" t="s">
        <v>54</v>
      </c>
      <c r="D239" s="2">
        <v>15.9</v>
      </c>
      <c r="E239" s="2"/>
      <c r="F239" s="8"/>
      <c r="G239" s="8"/>
      <c r="H239" s="8"/>
      <c r="I239" s="8"/>
      <c r="AT239" s="1" t="s">
        <v>285</v>
      </c>
      <c r="AW239" s="1" t="s">
        <v>285</v>
      </c>
    </row>
    <row r="240" spans="1:61">
      <c r="A240" s="6">
        <v>4</v>
      </c>
      <c r="B240" s="103" t="s">
        <v>746</v>
      </c>
      <c r="C240" s="1" t="s">
        <v>55</v>
      </c>
      <c r="D240" s="2" t="s">
        <v>511</v>
      </c>
      <c r="E240" s="2"/>
      <c r="F240" s="8"/>
      <c r="G240" s="8"/>
      <c r="H240" s="8"/>
      <c r="I240" s="8"/>
      <c r="AT240" s="1" t="s">
        <v>285</v>
      </c>
      <c r="AW240" s="1" t="s">
        <v>285</v>
      </c>
    </row>
    <row r="241" spans="1:61">
      <c r="A241" s="6">
        <v>5</v>
      </c>
      <c r="B241" s="103" t="s">
        <v>746</v>
      </c>
      <c r="C241" s="1" t="s">
        <v>56</v>
      </c>
      <c r="D241" s="2" t="s">
        <v>511</v>
      </c>
      <c r="E241" s="2"/>
      <c r="F241" s="8"/>
      <c r="G241" s="8"/>
      <c r="H241" s="8"/>
      <c r="I241" s="8"/>
      <c r="AT241" s="1" t="s">
        <v>285</v>
      </c>
      <c r="AW241" s="1" t="s">
        <v>285</v>
      </c>
    </row>
    <row r="242" spans="1:61">
      <c r="A242" s="6">
        <v>2</v>
      </c>
      <c r="B242" s="103" t="s">
        <v>746</v>
      </c>
      <c r="C242" s="1" t="s">
        <v>53</v>
      </c>
      <c r="D242" s="2">
        <v>9.4</v>
      </c>
      <c r="E242" s="2"/>
      <c r="F242" s="8">
        <v>9.4</v>
      </c>
      <c r="G242" s="8"/>
      <c r="H242" s="8">
        <v>9.4</v>
      </c>
      <c r="I242" s="10">
        <f>H242-D242</f>
        <v>0</v>
      </c>
      <c r="M242" s="3">
        <v>13</v>
      </c>
      <c r="O242" s="3">
        <v>13</v>
      </c>
      <c r="Q242" s="3">
        <f>O242-H242</f>
        <v>3.5999999999999996</v>
      </c>
      <c r="R242" s="3">
        <v>16.3</v>
      </c>
      <c r="T242" s="3">
        <f>R242-O242</f>
        <v>3.3000000000000007</v>
      </c>
      <c r="U242" s="3">
        <v>19.100000000000001</v>
      </c>
      <c r="W242" s="3">
        <f>U242-R242</f>
        <v>2.8000000000000007</v>
      </c>
      <c r="AT242" s="1" t="s">
        <v>285</v>
      </c>
      <c r="AW242" s="1" t="s">
        <v>285</v>
      </c>
    </row>
    <row r="243" spans="1:61">
      <c r="B243" s="103" t="s">
        <v>746</v>
      </c>
      <c r="C243" s="1" t="s">
        <v>597</v>
      </c>
      <c r="D243" s="2"/>
      <c r="E243" s="2"/>
      <c r="F243" s="8"/>
      <c r="G243" s="8"/>
      <c r="H243" s="8"/>
      <c r="I243" s="8"/>
      <c r="Q243" s="3"/>
      <c r="T243" s="3"/>
      <c r="U243" s="3">
        <v>1.5</v>
      </c>
      <c r="X243" s="3">
        <v>1.5</v>
      </c>
      <c r="AA243" s="3">
        <v>1.5</v>
      </c>
      <c r="AC243" s="3">
        <f>AA243-X243</f>
        <v>0</v>
      </c>
      <c r="AT243" s="1" t="s">
        <v>285</v>
      </c>
      <c r="AW243" s="1" t="s">
        <v>285</v>
      </c>
    </row>
    <row r="244" spans="1:61">
      <c r="B244" s="103" t="s">
        <v>746</v>
      </c>
      <c r="C244" s="1" t="s">
        <v>595</v>
      </c>
      <c r="D244" s="2"/>
      <c r="E244" s="2"/>
      <c r="F244" s="8"/>
      <c r="G244" s="8"/>
      <c r="H244" s="8"/>
      <c r="I244" s="8"/>
      <c r="Q244" s="3"/>
      <c r="T244" s="3"/>
      <c r="AC244" s="3"/>
      <c r="AZ244" s="3">
        <v>22</v>
      </c>
      <c r="BA244" s="1" t="s">
        <v>852</v>
      </c>
      <c r="BD244" s="3">
        <v>22</v>
      </c>
      <c r="BE244" s="1" t="s">
        <v>852</v>
      </c>
      <c r="BH244" s="3">
        <v>22</v>
      </c>
      <c r="BI244" s="1" t="s">
        <v>852</v>
      </c>
    </row>
    <row r="245" spans="1:61">
      <c r="B245" s="103" t="s">
        <v>746</v>
      </c>
      <c r="C245" s="1" t="s">
        <v>700</v>
      </c>
      <c r="D245" s="2"/>
      <c r="E245" s="2"/>
      <c r="F245" s="8"/>
      <c r="G245" s="8"/>
      <c r="H245" s="8"/>
      <c r="I245" s="8"/>
      <c r="Q245" s="3"/>
      <c r="T245" s="3"/>
      <c r="U245" s="3">
        <v>4.2</v>
      </c>
      <c r="X245" s="3">
        <v>8</v>
      </c>
      <c r="AA245" s="3">
        <v>2.9</v>
      </c>
      <c r="AC245" s="3">
        <f>AA245-X245</f>
        <v>-5.0999999999999996</v>
      </c>
      <c r="AT245" s="1" t="s">
        <v>285</v>
      </c>
      <c r="AW245" s="1" t="s">
        <v>285</v>
      </c>
    </row>
    <row r="246" spans="1:61">
      <c r="A246" s="6">
        <v>12</v>
      </c>
      <c r="B246" s="103" t="s">
        <v>746</v>
      </c>
      <c r="C246" s="1" t="s">
        <v>594</v>
      </c>
      <c r="D246" s="2">
        <v>6.25</v>
      </c>
      <c r="E246" s="2"/>
      <c r="F246" s="8">
        <v>6.25</v>
      </c>
      <c r="G246" s="8"/>
      <c r="H246" s="8">
        <v>6.25</v>
      </c>
      <c r="I246" s="8">
        <f>H246-D246</f>
        <v>0</v>
      </c>
      <c r="M246" s="3">
        <v>6.8</v>
      </c>
      <c r="O246" s="3">
        <v>6.8</v>
      </c>
      <c r="Q246" s="3">
        <f>O246-H246</f>
        <v>0.54999999999999982</v>
      </c>
      <c r="R246" s="3">
        <v>7</v>
      </c>
      <c r="T246" s="3">
        <f>R246-O246</f>
        <v>0.20000000000000018</v>
      </c>
      <c r="U246" s="3">
        <v>5.6</v>
      </c>
      <c r="W246" s="3">
        <f>U246-R246</f>
        <v>-1.4000000000000004</v>
      </c>
      <c r="X246" s="3">
        <v>8.6999999999999993</v>
      </c>
      <c r="AA246" s="3">
        <v>9.3000000000000007</v>
      </c>
      <c r="AC246" s="3">
        <f>AA246-X246</f>
        <v>0.60000000000000142</v>
      </c>
      <c r="AG246" s="3">
        <v>6</v>
      </c>
      <c r="AJ246" s="3">
        <v>6</v>
      </c>
      <c r="AM246" s="3">
        <v>6</v>
      </c>
      <c r="AO246" s="3">
        <f>AM246-AJ246</f>
        <v>0</v>
      </c>
      <c r="AP246" s="3">
        <v>12.68</v>
      </c>
      <c r="AT246" s="1" t="s">
        <v>285</v>
      </c>
      <c r="AW246" s="1" t="s">
        <v>285</v>
      </c>
      <c r="AZ246" s="3">
        <v>13</v>
      </c>
      <c r="BA246" s="1" t="s">
        <v>852</v>
      </c>
      <c r="BD246" s="3">
        <v>13</v>
      </c>
      <c r="BE246" s="1" t="s">
        <v>852</v>
      </c>
      <c r="BH246" s="3">
        <v>13</v>
      </c>
      <c r="BI246" s="1" t="s">
        <v>852</v>
      </c>
    </row>
    <row r="247" spans="1:61">
      <c r="A247" s="6">
        <v>14</v>
      </c>
      <c r="B247" s="103" t="s">
        <v>746</v>
      </c>
      <c r="C247" s="1" t="s">
        <v>58</v>
      </c>
      <c r="D247" s="2">
        <v>15.9</v>
      </c>
      <c r="E247" s="2"/>
      <c r="F247" s="8">
        <v>15.9</v>
      </c>
      <c r="G247" s="8"/>
      <c r="H247" s="8">
        <v>15.9</v>
      </c>
      <c r="I247" s="8">
        <f>H247-D247</f>
        <v>0</v>
      </c>
      <c r="L247" s="1" t="s">
        <v>249</v>
      </c>
      <c r="M247" s="3">
        <v>20.100000000000001</v>
      </c>
      <c r="O247" s="3">
        <v>20.100000000000001</v>
      </c>
      <c r="Q247" s="3">
        <f>O247-H247</f>
        <v>4.2000000000000011</v>
      </c>
      <c r="R247" s="3">
        <v>18.8</v>
      </c>
      <c r="T247" s="3">
        <f>R247-O247</f>
        <v>-1.3000000000000007</v>
      </c>
      <c r="U247" s="3">
        <v>14.5</v>
      </c>
      <c r="W247" s="3">
        <f>U247-R247</f>
        <v>-4.3000000000000007</v>
      </c>
      <c r="X247" s="3">
        <v>16.899999999999999</v>
      </c>
      <c r="AA247" s="3">
        <v>20.399999999999999</v>
      </c>
      <c r="AC247" s="3">
        <f>AA247-X247</f>
        <v>3.5</v>
      </c>
      <c r="AG247" s="3">
        <v>13</v>
      </c>
      <c r="AJ247" s="3">
        <v>97.05</v>
      </c>
      <c r="AM247" s="3">
        <v>97.05</v>
      </c>
      <c r="AO247" s="3">
        <f>AM247-AJ247</f>
        <v>0</v>
      </c>
      <c r="AP247" s="3">
        <v>8.6199999999999992</v>
      </c>
      <c r="AT247" s="1" t="s">
        <v>285</v>
      </c>
      <c r="AW247" s="1" t="s">
        <v>285</v>
      </c>
      <c r="AZ247" s="3">
        <v>12.2</v>
      </c>
      <c r="BA247" s="1" t="s">
        <v>852</v>
      </c>
      <c r="BD247" s="3">
        <v>12.2</v>
      </c>
      <c r="BE247" s="1" t="s">
        <v>852</v>
      </c>
      <c r="BH247" s="3">
        <v>12.2</v>
      </c>
      <c r="BI247" s="1" t="s">
        <v>852</v>
      </c>
    </row>
    <row r="248" spans="1:61">
      <c r="B248" s="103" t="s">
        <v>746</v>
      </c>
      <c r="C248" s="1" t="s">
        <v>289</v>
      </c>
      <c r="D248" s="2"/>
      <c r="E248" s="2"/>
      <c r="F248" s="8"/>
      <c r="G248" s="8"/>
      <c r="H248" s="8"/>
      <c r="I248" s="8"/>
      <c r="Q248" s="3"/>
      <c r="T248" s="3"/>
      <c r="U248" s="3">
        <v>51.1</v>
      </c>
      <c r="X248" s="3">
        <v>51.1</v>
      </c>
      <c r="AT248" s="1" t="s">
        <v>285</v>
      </c>
      <c r="AW248" s="1" t="s">
        <v>285</v>
      </c>
    </row>
    <row r="249" spans="1:61" ht="9.6" customHeight="1">
      <c r="B249" s="103" t="s">
        <v>746</v>
      </c>
      <c r="C249" s="1" t="s">
        <v>160</v>
      </c>
      <c r="D249" s="2"/>
      <c r="E249" s="2"/>
      <c r="F249" s="8"/>
      <c r="G249" s="8"/>
      <c r="H249" s="8"/>
      <c r="I249" s="8"/>
      <c r="Q249" s="3"/>
      <c r="T249" s="3"/>
      <c r="U249" s="3">
        <v>4.2</v>
      </c>
      <c r="AA249" s="3">
        <v>2.9</v>
      </c>
      <c r="AT249" s="1" t="s">
        <v>285</v>
      </c>
      <c r="AW249" s="1" t="s">
        <v>285</v>
      </c>
    </row>
    <row r="250" spans="1:61" ht="9.6" customHeight="1">
      <c r="B250" s="103" t="s">
        <v>746</v>
      </c>
      <c r="C250" s="1" t="s">
        <v>64</v>
      </c>
      <c r="D250" s="2"/>
      <c r="E250" s="2"/>
      <c r="F250" s="8"/>
      <c r="G250" s="8"/>
      <c r="H250" s="8"/>
      <c r="I250" s="8"/>
      <c r="Q250" s="3"/>
      <c r="T250" s="3"/>
      <c r="U250" s="3">
        <v>15.1</v>
      </c>
      <c r="X250" s="3">
        <v>17.899999999999999</v>
      </c>
      <c r="AA250" s="3">
        <v>23</v>
      </c>
      <c r="AC250" s="3">
        <f>AA250-X250</f>
        <v>5.1000000000000014</v>
      </c>
      <c r="AD250" s="24">
        <v>44.9</v>
      </c>
      <c r="AG250" s="3">
        <v>11</v>
      </c>
      <c r="AI250" s="3">
        <f>AG250-AD250</f>
        <v>-33.9</v>
      </c>
      <c r="AJ250" s="3">
        <v>61.1</v>
      </c>
      <c r="AM250" s="3">
        <v>61.1</v>
      </c>
      <c r="AO250" s="3">
        <f>AM250-AJ250</f>
        <v>0</v>
      </c>
      <c r="AT250" s="1" t="s">
        <v>285</v>
      </c>
      <c r="AW250" s="1" t="s">
        <v>285</v>
      </c>
      <c r="AZ250" s="3">
        <v>14</v>
      </c>
      <c r="BA250" s="1" t="s">
        <v>852</v>
      </c>
      <c r="BD250" s="3">
        <v>14</v>
      </c>
      <c r="BE250" s="1" t="s">
        <v>852</v>
      </c>
      <c r="BH250" s="3">
        <v>14</v>
      </c>
      <c r="BI250" s="1" t="s">
        <v>852</v>
      </c>
    </row>
    <row r="251" spans="1:61">
      <c r="B251" s="103" t="s">
        <v>746</v>
      </c>
      <c r="C251" s="1" t="s">
        <v>286</v>
      </c>
      <c r="D251" s="2"/>
      <c r="E251" s="2"/>
      <c r="F251" s="8"/>
      <c r="G251" s="8"/>
      <c r="H251" s="8"/>
      <c r="I251" s="8"/>
      <c r="Q251" s="3"/>
      <c r="T251" s="3"/>
      <c r="U251" s="3">
        <v>16.600000000000001</v>
      </c>
      <c r="X251" s="3">
        <v>13.5</v>
      </c>
      <c r="AA251" s="3">
        <v>15.1</v>
      </c>
      <c r="AC251" s="3">
        <f>AA251-X251</f>
        <v>1.5999999999999996</v>
      </c>
      <c r="AD251" s="24">
        <v>45.25</v>
      </c>
      <c r="AJ251" s="3">
        <v>45</v>
      </c>
      <c r="AM251" s="3">
        <v>45</v>
      </c>
      <c r="AO251" s="3">
        <f>AM251-AJ251</f>
        <v>0</v>
      </c>
      <c r="AP251" s="3">
        <v>8.1199999999999992</v>
      </c>
      <c r="AT251" s="1" t="s">
        <v>285</v>
      </c>
      <c r="AW251" s="1" t="s">
        <v>285</v>
      </c>
      <c r="AZ251" s="3">
        <v>13</v>
      </c>
      <c r="BA251" s="1" t="s">
        <v>852</v>
      </c>
      <c r="BD251" s="3">
        <v>13</v>
      </c>
      <c r="BE251" s="1" t="s">
        <v>852</v>
      </c>
      <c r="BH251" s="3">
        <v>13</v>
      </c>
      <c r="BI251" s="1" t="s">
        <v>852</v>
      </c>
    </row>
    <row r="252" spans="1:61">
      <c r="B252" s="103" t="s">
        <v>746</v>
      </c>
      <c r="C252" s="1" t="s">
        <v>288</v>
      </c>
      <c r="D252" s="2"/>
      <c r="E252" s="2"/>
      <c r="F252" s="8"/>
      <c r="G252" s="8"/>
      <c r="H252" s="8"/>
      <c r="I252" s="8"/>
      <c r="Q252" s="3"/>
      <c r="T252" s="3"/>
      <c r="U252" s="3">
        <v>10.9</v>
      </c>
      <c r="X252" s="3">
        <v>12</v>
      </c>
      <c r="AA252" s="3">
        <v>21.1</v>
      </c>
      <c r="AC252" s="3">
        <f>AA252-X252</f>
        <v>9.1000000000000014</v>
      </c>
      <c r="AD252" s="24">
        <v>41.7</v>
      </c>
      <c r="AG252" s="3">
        <v>41</v>
      </c>
      <c r="AI252" s="3">
        <f>AG252-AD252</f>
        <v>-0.70000000000000284</v>
      </c>
      <c r="AJ252" s="3">
        <v>20.49</v>
      </c>
      <c r="AM252" s="3">
        <v>20.49</v>
      </c>
      <c r="AO252" s="3">
        <f>AM252-AJ252</f>
        <v>0</v>
      </c>
      <c r="AP252" s="3">
        <v>8.19</v>
      </c>
      <c r="AT252" s="1" t="s">
        <v>285</v>
      </c>
      <c r="AW252" s="1" t="s">
        <v>285</v>
      </c>
      <c r="AZ252" s="3">
        <v>14</v>
      </c>
      <c r="BA252" s="1" t="s">
        <v>852</v>
      </c>
      <c r="BD252" s="3">
        <v>14</v>
      </c>
      <c r="BE252" s="1" t="s">
        <v>852</v>
      </c>
      <c r="BH252" s="3">
        <v>14</v>
      </c>
      <c r="BI252" s="1" t="s">
        <v>852</v>
      </c>
    </row>
    <row r="253" spans="1:61">
      <c r="A253" s="6">
        <v>11</v>
      </c>
      <c r="B253" s="103" t="s">
        <v>746</v>
      </c>
      <c r="C253" s="1" t="s">
        <v>57</v>
      </c>
      <c r="D253" s="2">
        <v>20</v>
      </c>
      <c r="E253" s="2"/>
      <c r="F253" s="8">
        <v>20</v>
      </c>
      <c r="G253" s="8"/>
      <c r="H253" s="8">
        <v>20</v>
      </c>
      <c r="I253" s="8">
        <f>H253-D253</f>
        <v>0</v>
      </c>
      <c r="M253" s="3">
        <v>26</v>
      </c>
      <c r="O253" s="3">
        <v>26</v>
      </c>
      <c r="Q253" s="3">
        <f>O253-H253</f>
        <v>6</v>
      </c>
      <c r="R253" s="3">
        <v>24</v>
      </c>
      <c r="T253" s="3">
        <f>R253-O253</f>
        <v>-2</v>
      </c>
      <c r="U253" s="3">
        <v>25.4</v>
      </c>
      <c r="W253" s="3">
        <f>U253-R253</f>
        <v>1.3999999999999986</v>
      </c>
      <c r="X253" s="3">
        <v>24.4</v>
      </c>
      <c r="AA253" s="3">
        <v>24.8</v>
      </c>
      <c r="AC253" s="3">
        <f>AA253-X253</f>
        <v>0.40000000000000213</v>
      </c>
      <c r="AT253" s="1" t="s">
        <v>285</v>
      </c>
      <c r="AW253" s="1" t="s">
        <v>285</v>
      </c>
    </row>
    <row r="254" spans="1:61">
      <c r="B254" s="103" t="s">
        <v>746</v>
      </c>
      <c r="C254" s="1" t="s">
        <v>287</v>
      </c>
      <c r="D254" s="2"/>
      <c r="E254" s="2"/>
      <c r="F254" s="8"/>
      <c r="G254" s="8"/>
      <c r="H254" s="8"/>
      <c r="I254" s="8"/>
      <c r="Q254" s="3"/>
      <c r="T254" s="3"/>
      <c r="W254" s="3"/>
      <c r="AC254" s="3"/>
      <c r="AZ254" s="3">
        <v>13</v>
      </c>
      <c r="BA254" s="1" t="s">
        <v>852</v>
      </c>
      <c r="BD254" s="3">
        <v>13</v>
      </c>
      <c r="BE254" s="1" t="s">
        <v>852</v>
      </c>
      <c r="BH254" s="3">
        <v>13</v>
      </c>
      <c r="BI254" s="1" t="s">
        <v>852</v>
      </c>
    </row>
    <row r="255" spans="1:61">
      <c r="A255" s="6">
        <v>1</v>
      </c>
      <c r="B255" s="103" t="s">
        <v>543</v>
      </c>
      <c r="C255" s="1" t="s">
        <v>52</v>
      </c>
      <c r="D255" s="2" t="s">
        <v>685</v>
      </c>
      <c r="E255" s="2"/>
      <c r="F255" s="9">
        <v>0</v>
      </c>
      <c r="H255" s="9">
        <v>0</v>
      </c>
      <c r="L255" s="104"/>
      <c r="M255" s="3">
        <v>13.2</v>
      </c>
      <c r="O255" s="3">
        <v>13.2</v>
      </c>
      <c r="Q255" s="3"/>
      <c r="R255" s="3">
        <v>12.9</v>
      </c>
      <c r="T255" s="2">
        <f>R255-O255</f>
        <v>-0.29999999999999893</v>
      </c>
    </row>
    <row r="256" spans="1:61">
      <c r="A256" s="6">
        <v>3</v>
      </c>
      <c r="B256" s="103" t="s">
        <v>543</v>
      </c>
      <c r="C256" s="1" t="s">
        <v>54</v>
      </c>
      <c r="D256" s="2">
        <v>100</v>
      </c>
      <c r="E256" s="2"/>
      <c r="F256" s="9">
        <v>0</v>
      </c>
      <c r="H256" s="9">
        <v>0</v>
      </c>
      <c r="AA256" s="3">
        <v>347.8</v>
      </c>
    </row>
    <row r="257" spans="1:61">
      <c r="A257" s="6">
        <v>4</v>
      </c>
      <c r="B257" s="103" t="s">
        <v>543</v>
      </c>
      <c r="C257" s="1" t="s">
        <v>55</v>
      </c>
      <c r="D257" s="2"/>
      <c r="E257" s="2"/>
      <c r="F257" s="9">
        <v>0</v>
      </c>
      <c r="H257" s="9">
        <v>0</v>
      </c>
    </row>
    <row r="258" spans="1:61">
      <c r="A258" s="6">
        <v>5</v>
      </c>
      <c r="B258" s="103" t="s">
        <v>543</v>
      </c>
      <c r="C258" s="1" t="s">
        <v>56</v>
      </c>
      <c r="D258" s="2"/>
      <c r="E258" s="2"/>
      <c r="F258" s="9">
        <v>0</v>
      </c>
      <c r="H258" s="9">
        <v>0</v>
      </c>
    </row>
    <row r="259" spans="1:61">
      <c r="A259" s="6">
        <v>2</v>
      </c>
      <c r="B259" s="103" t="s">
        <v>543</v>
      </c>
      <c r="C259" s="1" t="s">
        <v>53</v>
      </c>
      <c r="D259" s="2">
        <v>6</v>
      </c>
      <c r="E259" s="2"/>
      <c r="F259" s="9">
        <v>6</v>
      </c>
      <c r="H259" s="9">
        <v>6</v>
      </c>
      <c r="I259" s="10">
        <f>H259-D259</f>
        <v>0</v>
      </c>
      <c r="K259" s="3"/>
      <c r="M259" s="3">
        <v>5.6</v>
      </c>
      <c r="O259" s="3">
        <v>5.6</v>
      </c>
      <c r="Q259" s="3">
        <f>O259-H259</f>
        <v>-0.40000000000000036</v>
      </c>
      <c r="R259" s="3">
        <v>5.2</v>
      </c>
      <c r="T259" s="3">
        <f>R259-O259</f>
        <v>-0.39999999999999947</v>
      </c>
    </row>
    <row r="260" spans="1:61">
      <c r="B260" s="103" t="s">
        <v>543</v>
      </c>
      <c r="C260" s="1" t="s">
        <v>158</v>
      </c>
      <c r="D260" s="2"/>
      <c r="E260" s="2"/>
      <c r="K260" s="3"/>
      <c r="M260" s="3">
        <v>2.6</v>
      </c>
      <c r="O260" s="3">
        <v>2.6</v>
      </c>
      <c r="AA260" s="3">
        <v>3.4</v>
      </c>
    </row>
    <row r="261" spans="1:61">
      <c r="B261" s="103" t="s">
        <v>543</v>
      </c>
      <c r="C261" s="1" t="s">
        <v>595</v>
      </c>
      <c r="D261" s="2"/>
      <c r="E261" s="2"/>
      <c r="K261" s="3"/>
      <c r="M261" s="3">
        <v>2.9</v>
      </c>
      <c r="O261" s="3">
        <v>2.9</v>
      </c>
      <c r="R261" s="3">
        <v>2.7</v>
      </c>
      <c r="T261" s="3">
        <f>R261-O261</f>
        <v>-0.19999999999999973</v>
      </c>
      <c r="U261" s="3">
        <v>3</v>
      </c>
      <c r="W261" s="3">
        <f>U261-R261</f>
        <v>0.29999999999999982</v>
      </c>
    </row>
    <row r="262" spans="1:61">
      <c r="B262" s="103" t="s">
        <v>543</v>
      </c>
      <c r="C262" s="1" t="s">
        <v>700</v>
      </c>
      <c r="D262" s="2"/>
      <c r="E262" s="2"/>
      <c r="K262" s="3"/>
      <c r="T262" s="3"/>
      <c r="W262" s="3"/>
      <c r="X262" s="3">
        <v>2.6</v>
      </c>
      <c r="AA262" s="3">
        <v>2.4</v>
      </c>
      <c r="AC262" s="3">
        <f>AA262-X262</f>
        <v>-0.20000000000000018</v>
      </c>
      <c r="AG262" s="3">
        <v>2.8</v>
      </c>
      <c r="AJ262" s="3">
        <v>2</v>
      </c>
    </row>
    <row r="263" spans="1:61">
      <c r="A263" s="6">
        <v>12</v>
      </c>
      <c r="B263" s="103" t="s">
        <v>543</v>
      </c>
      <c r="C263" s="1" t="s">
        <v>594</v>
      </c>
      <c r="D263" s="2">
        <v>4</v>
      </c>
      <c r="E263" s="2"/>
      <c r="F263" s="9">
        <v>0</v>
      </c>
      <c r="H263" s="9">
        <v>0</v>
      </c>
      <c r="M263" s="3">
        <v>2.2999999999999998</v>
      </c>
      <c r="O263" s="3">
        <v>2.2999999999999998</v>
      </c>
      <c r="Q263" s="3"/>
      <c r="R263" s="3">
        <v>2.6</v>
      </c>
      <c r="T263" s="3">
        <f>R263-O263</f>
        <v>0.30000000000000027</v>
      </c>
      <c r="U263" s="3">
        <v>3.76</v>
      </c>
      <c r="W263" s="3">
        <f>U263-R263</f>
        <v>1.1599999999999997</v>
      </c>
      <c r="X263" s="3">
        <v>3.9</v>
      </c>
      <c r="Z263" s="3">
        <f>X263-U263</f>
        <v>0.14000000000000012</v>
      </c>
      <c r="AA263" s="3">
        <v>7.95</v>
      </c>
      <c r="AC263" s="3">
        <f>AA263-X263</f>
        <v>4.0500000000000007</v>
      </c>
      <c r="AD263" s="24">
        <v>10.199999999999999</v>
      </c>
      <c r="AG263" s="3">
        <v>1.94</v>
      </c>
      <c r="AI263" s="3">
        <f>AG263-AD263</f>
        <v>-8.26</v>
      </c>
      <c r="AJ263" s="3">
        <v>1.96</v>
      </c>
      <c r="AL263" s="3">
        <f>AJ263-AG263</f>
        <v>2.0000000000000018E-2</v>
      </c>
      <c r="AM263" s="3">
        <v>4.45</v>
      </c>
      <c r="AO263" s="3">
        <f>AM263-AJ263</f>
        <v>2.4900000000000002</v>
      </c>
      <c r="AP263" s="3">
        <v>4.58</v>
      </c>
      <c r="AS263" s="3">
        <v>7.4</v>
      </c>
      <c r="AV263" s="3">
        <v>10.199999999999999</v>
      </c>
      <c r="AY263" s="3">
        <v>10.199999999999999</v>
      </c>
      <c r="AZ263" s="3">
        <v>11.42</v>
      </c>
      <c r="BA263" s="1" t="s">
        <v>892</v>
      </c>
      <c r="BC263" s="3">
        <v>11.42</v>
      </c>
      <c r="BD263" s="3">
        <v>11.73</v>
      </c>
      <c r="BE263" s="1" t="s">
        <v>892</v>
      </c>
      <c r="BH263" s="3">
        <v>10.07</v>
      </c>
      <c r="BI263" s="1" t="s">
        <v>892</v>
      </c>
    </row>
    <row r="264" spans="1:61" ht="9.6" customHeight="1">
      <c r="A264" s="6">
        <v>14</v>
      </c>
      <c r="B264" s="103" t="s">
        <v>543</v>
      </c>
      <c r="C264" s="1" t="s">
        <v>58</v>
      </c>
      <c r="D264" s="2">
        <v>11</v>
      </c>
      <c r="E264" s="2"/>
      <c r="F264" s="9">
        <v>8</v>
      </c>
      <c r="H264" s="9">
        <v>8</v>
      </c>
      <c r="I264" s="9">
        <f>H264-D264</f>
        <v>-3</v>
      </c>
      <c r="K264" s="3"/>
      <c r="M264" s="3">
        <v>6.3</v>
      </c>
      <c r="O264" s="3">
        <v>6.3</v>
      </c>
      <c r="Q264" s="3">
        <f>O264-H264</f>
        <v>-1.7000000000000002</v>
      </c>
      <c r="R264" s="3">
        <v>9.8000000000000007</v>
      </c>
      <c r="T264" s="3">
        <f>R264-O264</f>
        <v>3.5000000000000009</v>
      </c>
      <c r="U264" s="3">
        <v>7.2</v>
      </c>
      <c r="W264" s="3">
        <f>U264-R264</f>
        <v>-2.6000000000000005</v>
      </c>
      <c r="X264" s="3">
        <v>7.9</v>
      </c>
      <c r="Z264" s="3">
        <f>X264-U264</f>
        <v>0.70000000000000018</v>
      </c>
      <c r="AA264" s="3">
        <v>17.96</v>
      </c>
      <c r="AC264" s="3">
        <f>AA264-X264</f>
        <v>10.06</v>
      </c>
      <c r="AD264" s="24">
        <v>9.5</v>
      </c>
      <c r="AG264" s="3">
        <v>4.1500000000000004</v>
      </c>
      <c r="AI264" s="3">
        <f>AG264-AD264</f>
        <v>-5.35</v>
      </c>
      <c r="AJ264" s="3">
        <v>3.9</v>
      </c>
      <c r="AL264" s="3">
        <f>AJ264-AG264</f>
        <v>-0.25000000000000044</v>
      </c>
      <c r="AM264" s="3">
        <v>5.62</v>
      </c>
      <c r="AO264" s="3">
        <f>AM264-AJ264</f>
        <v>1.7200000000000002</v>
      </c>
      <c r="AP264" s="3">
        <v>5.23</v>
      </c>
      <c r="AS264" s="3">
        <v>6.83</v>
      </c>
      <c r="AV264" s="3">
        <v>9.5</v>
      </c>
      <c r="AY264" s="3">
        <v>9.5</v>
      </c>
      <c r="AZ264" s="3">
        <v>8.64</v>
      </c>
      <c r="BA264" s="1" t="s">
        <v>892</v>
      </c>
      <c r="BC264" s="3">
        <v>8.64</v>
      </c>
      <c r="BD264" s="3">
        <v>6.45</v>
      </c>
      <c r="BE264" s="1" t="s">
        <v>892</v>
      </c>
      <c r="BH264" s="3">
        <v>7.52</v>
      </c>
      <c r="BI264" s="1" t="s">
        <v>892</v>
      </c>
    </row>
    <row r="265" spans="1:61">
      <c r="B265" s="103" t="s">
        <v>543</v>
      </c>
      <c r="C265" s="1" t="s">
        <v>857</v>
      </c>
      <c r="D265" s="2"/>
      <c r="E265" s="2"/>
      <c r="AL265" s="3"/>
      <c r="AO265" s="3"/>
      <c r="AY265" s="3">
        <v>20.2</v>
      </c>
      <c r="AZ265" s="3">
        <v>15.5</v>
      </c>
      <c r="BA265" s="1" t="s">
        <v>892</v>
      </c>
      <c r="BC265" s="3">
        <v>15.5</v>
      </c>
      <c r="BD265" s="3">
        <v>12.67</v>
      </c>
      <c r="BE265" s="1" t="s">
        <v>892</v>
      </c>
      <c r="BH265" s="3">
        <v>7.79</v>
      </c>
      <c r="BI265" s="1" t="s">
        <v>892</v>
      </c>
    </row>
    <row r="266" spans="1:61" ht="9.6" customHeight="1">
      <c r="B266" s="103" t="s">
        <v>543</v>
      </c>
      <c r="C266" s="1" t="s">
        <v>289</v>
      </c>
      <c r="D266" s="2"/>
      <c r="E266" s="2"/>
      <c r="AG266" s="3">
        <v>12.78</v>
      </c>
      <c r="AJ266" s="3">
        <v>12</v>
      </c>
      <c r="AL266" s="3">
        <f>AJ266-AG266</f>
        <v>-0.77999999999999936</v>
      </c>
      <c r="AP266" s="3">
        <v>21.23</v>
      </c>
      <c r="AS266" s="3">
        <v>23.31</v>
      </c>
      <c r="AY266" s="3">
        <v>16.59</v>
      </c>
      <c r="AZ266" s="3">
        <v>16.59</v>
      </c>
      <c r="BA266" s="1" t="s">
        <v>892</v>
      </c>
      <c r="BC266" s="3">
        <v>16.59</v>
      </c>
      <c r="BD266" s="3">
        <v>17.11</v>
      </c>
      <c r="BE266" s="1" t="s">
        <v>892</v>
      </c>
      <c r="BH266" s="3">
        <v>13.55</v>
      </c>
      <c r="BI266" s="1" t="s">
        <v>892</v>
      </c>
    </row>
    <row r="267" spans="1:61">
      <c r="B267" s="103" t="s">
        <v>543</v>
      </c>
      <c r="C267" s="1" t="s">
        <v>160</v>
      </c>
      <c r="D267" s="2"/>
      <c r="E267" s="2"/>
      <c r="K267" s="3"/>
      <c r="AA267" s="3">
        <v>2.9</v>
      </c>
      <c r="AG267" s="3">
        <v>3.2</v>
      </c>
      <c r="AJ267" s="3">
        <v>3.2</v>
      </c>
    </row>
    <row r="268" spans="1:61">
      <c r="B268" s="103" t="s">
        <v>543</v>
      </c>
      <c r="C268" s="1" t="s">
        <v>74</v>
      </c>
      <c r="D268" s="2"/>
      <c r="E268" s="2"/>
      <c r="K268" s="3"/>
      <c r="M268" s="3">
        <v>1.4</v>
      </c>
      <c r="O268" s="3">
        <v>1.4</v>
      </c>
    </row>
    <row r="269" spans="1:61">
      <c r="B269" s="103" t="s">
        <v>543</v>
      </c>
      <c r="C269" s="1" t="s">
        <v>860</v>
      </c>
      <c r="D269" s="2"/>
      <c r="E269" s="2"/>
      <c r="AL269" s="3"/>
      <c r="AO269" s="3"/>
      <c r="AY269" s="3">
        <v>133.33000000000001</v>
      </c>
      <c r="AZ269" s="3">
        <v>133.33000000000001</v>
      </c>
      <c r="BA269" s="1" t="s">
        <v>892</v>
      </c>
      <c r="BC269" s="3">
        <v>133.33000000000001</v>
      </c>
      <c r="BD269" s="3">
        <v>125</v>
      </c>
      <c r="BE269" s="1" t="s">
        <v>892</v>
      </c>
      <c r="BH269" s="3">
        <v>98.53</v>
      </c>
      <c r="BI269" s="1" t="s">
        <v>892</v>
      </c>
    </row>
    <row r="270" spans="1:61">
      <c r="B270" s="103" t="s">
        <v>543</v>
      </c>
      <c r="C270" s="1" t="s">
        <v>64</v>
      </c>
      <c r="D270" s="2"/>
      <c r="E270" s="2"/>
      <c r="K270" s="3"/>
      <c r="M270" s="3">
        <v>21</v>
      </c>
      <c r="O270" s="3">
        <v>21</v>
      </c>
      <c r="AA270" s="3">
        <v>20.399999999999999</v>
      </c>
      <c r="AD270" s="24">
        <v>12.34</v>
      </c>
      <c r="AG270" s="3">
        <v>4.51</v>
      </c>
      <c r="AJ270" s="3">
        <v>4.51</v>
      </c>
      <c r="AL270" s="3">
        <f>AJ270-AG270</f>
        <v>0</v>
      </c>
      <c r="AM270" s="3">
        <v>6.04</v>
      </c>
      <c r="AO270" s="3">
        <f>AM270-AJ270</f>
        <v>1.5300000000000002</v>
      </c>
      <c r="AP270" s="3">
        <v>6.38</v>
      </c>
      <c r="AS270" s="3">
        <v>8.66</v>
      </c>
      <c r="AV270" s="3">
        <v>12.39</v>
      </c>
      <c r="AY270" s="3">
        <v>12.39</v>
      </c>
      <c r="AZ270" s="3">
        <v>9.0299999999999994</v>
      </c>
      <c r="BA270" s="1" t="s">
        <v>892</v>
      </c>
      <c r="BC270" s="3">
        <v>9.0299999999999994</v>
      </c>
      <c r="BD270" s="3">
        <v>6.8</v>
      </c>
      <c r="BE270" s="1" t="s">
        <v>892</v>
      </c>
      <c r="BH270" s="3">
        <v>12.26</v>
      </c>
      <c r="BI270" s="1" t="s">
        <v>892</v>
      </c>
    </row>
    <row r="271" spans="1:61">
      <c r="B271" s="103" t="s">
        <v>543</v>
      </c>
      <c r="C271" s="1" t="s">
        <v>891</v>
      </c>
      <c r="D271" s="2"/>
      <c r="E271" s="2"/>
      <c r="AL271" s="3"/>
      <c r="AO271" s="3"/>
      <c r="AY271" s="3">
        <v>9.17</v>
      </c>
      <c r="AZ271" s="3">
        <v>9.17</v>
      </c>
      <c r="BA271" s="1" t="s">
        <v>892</v>
      </c>
      <c r="BC271" s="3">
        <v>9.17</v>
      </c>
      <c r="BD271" s="3">
        <v>8.27</v>
      </c>
      <c r="BE271" s="1" t="s">
        <v>892</v>
      </c>
    </row>
    <row r="272" spans="1:61">
      <c r="B272" s="103" t="s">
        <v>543</v>
      </c>
      <c r="C272" s="1" t="s">
        <v>286</v>
      </c>
      <c r="D272" s="2"/>
      <c r="E272" s="2"/>
      <c r="K272" s="3"/>
      <c r="AA272" s="3">
        <v>11.9</v>
      </c>
      <c r="AD272" s="24">
        <v>9.3800000000000008</v>
      </c>
      <c r="AG272" s="3">
        <v>4.0999999999999996</v>
      </c>
      <c r="AJ272" s="3">
        <v>4.0999999999999996</v>
      </c>
      <c r="AL272" s="3">
        <f>AJ272-AG272</f>
        <v>0</v>
      </c>
      <c r="AM272" s="3">
        <v>5.57</v>
      </c>
      <c r="AO272" s="3">
        <f>AM272-AJ272</f>
        <v>1.4700000000000006</v>
      </c>
      <c r="AP272" s="3">
        <v>6</v>
      </c>
      <c r="AS272" s="3">
        <v>9.15</v>
      </c>
      <c r="AV272" s="3">
        <v>9.3800000000000008</v>
      </c>
      <c r="AY272" s="3">
        <v>9.3800000000000008</v>
      </c>
      <c r="AZ272" s="3">
        <v>8.1999999999999993</v>
      </c>
      <c r="BA272" s="1" t="s">
        <v>892</v>
      </c>
      <c r="BC272" s="3">
        <v>8.1999999999999993</v>
      </c>
      <c r="BD272" s="3">
        <v>6.77</v>
      </c>
      <c r="BE272" s="1" t="s">
        <v>892</v>
      </c>
      <c r="BH272" s="3">
        <v>7.4</v>
      </c>
      <c r="BI272" s="1" t="s">
        <v>892</v>
      </c>
    </row>
    <row r="273" spans="1:61">
      <c r="B273" s="103" t="s">
        <v>543</v>
      </c>
      <c r="C273" s="1" t="s">
        <v>288</v>
      </c>
      <c r="D273" s="2"/>
      <c r="E273" s="2"/>
      <c r="K273" s="3"/>
      <c r="AA273" s="3">
        <v>12.2</v>
      </c>
      <c r="AD273" s="24">
        <v>11.9</v>
      </c>
      <c r="AG273" s="3">
        <v>3.9</v>
      </c>
      <c r="AJ273" s="3">
        <v>3.9</v>
      </c>
      <c r="AL273" s="3">
        <f>AJ273-AG273</f>
        <v>0</v>
      </c>
      <c r="AM273" s="3">
        <v>5.57</v>
      </c>
      <c r="AO273" s="3">
        <f>AM273-AJ273</f>
        <v>1.6700000000000004</v>
      </c>
      <c r="AP273" s="3">
        <v>5.7</v>
      </c>
      <c r="AS273" s="3">
        <v>12.08</v>
      </c>
      <c r="AV273" s="3">
        <v>11.9</v>
      </c>
      <c r="AY273" s="3">
        <v>11.9</v>
      </c>
      <c r="AZ273" s="3">
        <v>9.17</v>
      </c>
      <c r="BA273" s="1" t="s">
        <v>892</v>
      </c>
      <c r="BC273" s="3">
        <v>9.17</v>
      </c>
      <c r="BD273" s="3">
        <v>6.35</v>
      </c>
      <c r="BE273" s="1" t="s">
        <v>892</v>
      </c>
      <c r="BH273" s="3">
        <v>7.36</v>
      </c>
      <c r="BI273" s="1" t="s">
        <v>892</v>
      </c>
    </row>
    <row r="274" spans="1:61">
      <c r="A274" s="6">
        <v>11</v>
      </c>
      <c r="B274" s="103" t="s">
        <v>543</v>
      </c>
      <c r="C274" s="1" t="s">
        <v>57</v>
      </c>
      <c r="D274" s="2">
        <v>15</v>
      </c>
      <c r="E274" s="2"/>
      <c r="F274" s="9">
        <v>0</v>
      </c>
      <c r="H274" s="9">
        <v>0</v>
      </c>
    </row>
    <row r="275" spans="1:61">
      <c r="B275" s="103" t="s">
        <v>543</v>
      </c>
      <c r="C275" s="1" t="s">
        <v>287</v>
      </c>
      <c r="D275" s="2"/>
      <c r="E275" s="2"/>
      <c r="AD275" s="24">
        <v>11.9</v>
      </c>
      <c r="AG275" s="3">
        <v>7</v>
      </c>
      <c r="AJ275" s="3">
        <v>7</v>
      </c>
      <c r="AL275" s="3">
        <f>AJ275-AG275</f>
        <v>0</v>
      </c>
      <c r="AM275" s="3">
        <v>7.28</v>
      </c>
      <c r="AO275" s="3">
        <f>AM275-AJ275</f>
        <v>0.28000000000000025</v>
      </c>
      <c r="AP275" s="3">
        <v>16.64</v>
      </c>
      <c r="AS275" s="3">
        <v>18.27</v>
      </c>
      <c r="AV275" s="3">
        <v>11.9</v>
      </c>
      <c r="AY275" s="3">
        <v>11.9</v>
      </c>
      <c r="AZ275" s="3">
        <v>9.39</v>
      </c>
      <c r="BA275" s="1" t="s">
        <v>892</v>
      </c>
      <c r="BC275" s="3">
        <v>9.39</v>
      </c>
      <c r="BD275" s="3">
        <v>8.57</v>
      </c>
      <c r="BE275" s="1" t="s">
        <v>892</v>
      </c>
      <c r="BH275" s="3">
        <v>10</v>
      </c>
      <c r="BI275" s="1" t="s">
        <v>892</v>
      </c>
    </row>
    <row r="276" spans="1:61">
      <c r="A276" s="6">
        <v>1</v>
      </c>
      <c r="B276" s="103" t="s">
        <v>747</v>
      </c>
      <c r="C276" s="1" t="s">
        <v>52</v>
      </c>
      <c r="D276" s="2"/>
      <c r="E276" s="2"/>
      <c r="K276" s="1" t="s">
        <v>284</v>
      </c>
      <c r="P276" s="1" t="s">
        <v>285</v>
      </c>
      <c r="S276" s="1" t="s">
        <v>285</v>
      </c>
      <c r="AN276" s="1" t="s">
        <v>285</v>
      </c>
      <c r="AQ276" s="1" t="s">
        <v>285</v>
      </c>
      <c r="AT276" s="1" t="s">
        <v>285</v>
      </c>
      <c r="AW276" s="1" t="s">
        <v>285</v>
      </c>
      <c r="BA276" s="1" t="s">
        <v>285</v>
      </c>
    </row>
    <row r="277" spans="1:61">
      <c r="A277" s="6">
        <v>3</v>
      </c>
      <c r="B277" s="103" t="s">
        <v>747</v>
      </c>
      <c r="C277" s="1" t="s">
        <v>54</v>
      </c>
      <c r="D277" s="2"/>
      <c r="E277" s="2"/>
      <c r="K277" s="1" t="s">
        <v>284</v>
      </c>
      <c r="P277" s="1" t="s">
        <v>285</v>
      </c>
      <c r="S277" s="1" t="s">
        <v>285</v>
      </c>
      <c r="AN277" s="1" t="s">
        <v>285</v>
      </c>
      <c r="AQ277" s="1" t="s">
        <v>285</v>
      </c>
      <c r="AT277" s="1" t="s">
        <v>285</v>
      </c>
      <c r="AW277" s="1" t="s">
        <v>285</v>
      </c>
      <c r="BA277" s="1" t="s">
        <v>285</v>
      </c>
    </row>
    <row r="278" spans="1:61">
      <c r="A278" s="6">
        <v>4</v>
      </c>
      <c r="B278" s="103" t="s">
        <v>747</v>
      </c>
      <c r="C278" s="1" t="s">
        <v>55</v>
      </c>
      <c r="D278" s="2"/>
      <c r="E278" s="2"/>
      <c r="K278" s="1" t="s">
        <v>284</v>
      </c>
      <c r="P278" s="1" t="s">
        <v>285</v>
      </c>
      <c r="S278" s="1" t="s">
        <v>285</v>
      </c>
      <c r="AN278" s="1" t="s">
        <v>285</v>
      </c>
      <c r="AQ278" s="1" t="s">
        <v>285</v>
      </c>
      <c r="AT278" s="1" t="s">
        <v>285</v>
      </c>
      <c r="AW278" s="1" t="s">
        <v>285</v>
      </c>
      <c r="BA278" s="1" t="s">
        <v>285</v>
      </c>
    </row>
    <row r="279" spans="1:61">
      <c r="A279" s="6">
        <v>5</v>
      </c>
      <c r="B279" s="103" t="s">
        <v>747</v>
      </c>
      <c r="C279" s="1" t="s">
        <v>56</v>
      </c>
      <c r="D279" s="2"/>
      <c r="E279" s="2"/>
      <c r="K279" s="1" t="s">
        <v>284</v>
      </c>
      <c r="P279" s="1" t="s">
        <v>285</v>
      </c>
      <c r="S279" s="1" t="s">
        <v>285</v>
      </c>
      <c r="AN279" s="1" t="s">
        <v>285</v>
      </c>
      <c r="AQ279" s="1" t="s">
        <v>285</v>
      </c>
      <c r="AT279" s="1" t="s">
        <v>285</v>
      </c>
      <c r="AW279" s="1" t="s">
        <v>285</v>
      </c>
      <c r="BA279" s="1" t="s">
        <v>285</v>
      </c>
    </row>
    <row r="280" spans="1:61">
      <c r="A280" s="6">
        <v>2</v>
      </c>
      <c r="B280" s="103" t="s">
        <v>747</v>
      </c>
      <c r="C280" s="1" t="s">
        <v>53</v>
      </c>
      <c r="D280" s="2"/>
      <c r="E280" s="2"/>
      <c r="K280" s="1" t="s">
        <v>284</v>
      </c>
      <c r="P280" s="1" t="s">
        <v>285</v>
      </c>
      <c r="S280" s="1" t="s">
        <v>285</v>
      </c>
      <c r="AN280" s="1" t="s">
        <v>285</v>
      </c>
      <c r="AQ280" s="1" t="s">
        <v>285</v>
      </c>
      <c r="AT280" s="1" t="s">
        <v>285</v>
      </c>
      <c r="AW280" s="1" t="s">
        <v>285</v>
      </c>
      <c r="BA280" s="1" t="s">
        <v>285</v>
      </c>
    </row>
    <row r="281" spans="1:61">
      <c r="B281" s="103" t="s">
        <v>747</v>
      </c>
      <c r="C281" s="1" t="s">
        <v>595</v>
      </c>
      <c r="D281" s="2"/>
      <c r="E281" s="2"/>
      <c r="AC281" s="3"/>
      <c r="AI281" s="3"/>
      <c r="AJ281" s="3">
        <v>5.4</v>
      </c>
      <c r="AL281" s="3"/>
      <c r="AN281" s="1" t="s">
        <v>285</v>
      </c>
      <c r="AQ281" s="1" t="s">
        <v>285</v>
      </c>
      <c r="AT281" s="1" t="s">
        <v>285</v>
      </c>
      <c r="AW281" s="1" t="s">
        <v>285</v>
      </c>
      <c r="BA281" s="1" t="s">
        <v>285</v>
      </c>
    </row>
    <row r="282" spans="1:61">
      <c r="A282" s="6">
        <v>12</v>
      </c>
      <c r="B282" s="103" t="s">
        <v>747</v>
      </c>
      <c r="C282" s="1" t="s">
        <v>594</v>
      </c>
      <c r="D282" s="2"/>
      <c r="E282" s="2"/>
      <c r="K282" s="1" t="s">
        <v>284</v>
      </c>
      <c r="P282" s="1" t="s">
        <v>285</v>
      </c>
      <c r="S282" s="1" t="s">
        <v>285</v>
      </c>
      <c r="U282" s="3">
        <v>39.200000000000003</v>
      </c>
      <c r="X282" s="3">
        <v>39.799999999999997</v>
      </c>
      <c r="AA282" s="3">
        <v>41.3</v>
      </c>
      <c r="AC282" s="3">
        <f>AA282-X282</f>
        <v>1.5</v>
      </c>
      <c r="AG282" s="3">
        <v>4</v>
      </c>
      <c r="AJ282" s="3">
        <v>4.51</v>
      </c>
      <c r="AL282" s="3">
        <f>AJ282-AG282</f>
        <v>0.50999999999999979</v>
      </c>
      <c r="AN282" s="1" t="s">
        <v>285</v>
      </c>
      <c r="AQ282" s="1" t="s">
        <v>285</v>
      </c>
      <c r="AT282" s="1" t="s">
        <v>285</v>
      </c>
      <c r="AW282" s="1" t="s">
        <v>285</v>
      </c>
      <c r="BA282" s="1" t="s">
        <v>285</v>
      </c>
      <c r="BD282" s="3">
        <v>8.73</v>
      </c>
      <c r="BG282" s="3">
        <v>5.19</v>
      </c>
      <c r="BH282" s="3">
        <v>7.32</v>
      </c>
      <c r="BI282" s="1" t="s">
        <v>1036</v>
      </c>
    </row>
    <row r="283" spans="1:61">
      <c r="A283" s="6">
        <v>14</v>
      </c>
      <c r="B283" s="103" t="s">
        <v>747</v>
      </c>
      <c r="C283" s="1" t="s">
        <v>58</v>
      </c>
      <c r="D283" s="2"/>
      <c r="E283" s="2"/>
      <c r="K283" s="1" t="s">
        <v>284</v>
      </c>
      <c r="P283" s="1" t="s">
        <v>285</v>
      </c>
      <c r="S283" s="1" t="s">
        <v>285</v>
      </c>
      <c r="U283" s="3">
        <v>10.8</v>
      </c>
      <c r="X283" s="3">
        <v>12.6</v>
      </c>
      <c r="AA283" s="3">
        <v>16.3</v>
      </c>
      <c r="AC283" s="3">
        <f>AA283-X283</f>
        <v>3.7000000000000011</v>
      </c>
      <c r="AD283" s="24">
        <v>10.1</v>
      </c>
      <c r="AG283" s="3">
        <v>7</v>
      </c>
      <c r="AI283" s="3">
        <f>AG283-AD283</f>
        <v>-3.0999999999999996</v>
      </c>
      <c r="AJ283" s="3">
        <v>5.78</v>
      </c>
      <c r="AL283" s="3">
        <f>AJ283-AG283</f>
        <v>-1.2199999999999998</v>
      </c>
      <c r="AN283" s="1" t="s">
        <v>285</v>
      </c>
      <c r="AQ283" s="1" t="s">
        <v>285</v>
      </c>
      <c r="AT283" s="1" t="s">
        <v>285</v>
      </c>
      <c r="AW283" s="1" t="s">
        <v>285</v>
      </c>
      <c r="BA283" s="1" t="s">
        <v>285</v>
      </c>
      <c r="BD283" s="3">
        <v>8.27</v>
      </c>
      <c r="BG283" s="3">
        <v>8</v>
      </c>
      <c r="BH283" s="3">
        <v>11.76</v>
      </c>
      <c r="BI283" s="1" t="s">
        <v>1036</v>
      </c>
    </row>
    <row r="284" spans="1:61">
      <c r="B284" s="103" t="s">
        <v>747</v>
      </c>
      <c r="C284" s="1" t="s">
        <v>289</v>
      </c>
      <c r="D284" s="2"/>
      <c r="E284" s="2"/>
      <c r="AC284" s="3"/>
      <c r="AI284" s="3"/>
      <c r="AJ284" s="3">
        <v>22.92</v>
      </c>
      <c r="AN284" s="1" t="s">
        <v>285</v>
      </c>
      <c r="AQ284" s="1" t="s">
        <v>285</v>
      </c>
      <c r="AT284" s="1" t="s">
        <v>285</v>
      </c>
      <c r="AW284" s="1" t="s">
        <v>285</v>
      </c>
      <c r="BA284" s="1" t="s">
        <v>285</v>
      </c>
      <c r="BD284" s="3">
        <v>18</v>
      </c>
      <c r="BG284" s="3">
        <v>8.14</v>
      </c>
      <c r="BH284" s="3">
        <v>9</v>
      </c>
      <c r="BI284" s="1" t="s">
        <v>1039</v>
      </c>
    </row>
    <row r="285" spans="1:61" ht="9" customHeight="1">
      <c r="B285" s="103" t="s">
        <v>747</v>
      </c>
      <c r="C285" s="1" t="s">
        <v>290</v>
      </c>
      <c r="D285" s="2"/>
      <c r="E285" s="2"/>
      <c r="AC285" s="3"/>
      <c r="AI285" s="3"/>
      <c r="BD285" s="3">
        <v>45.04</v>
      </c>
    </row>
    <row r="286" spans="1:61" ht="9.6" customHeight="1">
      <c r="B286" s="103" t="s">
        <v>747</v>
      </c>
      <c r="C286" s="1" t="s">
        <v>64</v>
      </c>
      <c r="D286" s="2"/>
      <c r="E286" s="2"/>
      <c r="AC286" s="3"/>
      <c r="AD286" s="24">
        <v>9.19</v>
      </c>
      <c r="AG286" s="3">
        <v>11</v>
      </c>
      <c r="AI286" s="3">
        <f>AG286-AD286</f>
        <v>1.8100000000000005</v>
      </c>
      <c r="AN286" s="1" t="s">
        <v>285</v>
      </c>
      <c r="AQ286" s="1" t="s">
        <v>285</v>
      </c>
      <c r="AT286" s="1" t="s">
        <v>285</v>
      </c>
      <c r="AW286" s="1" t="s">
        <v>285</v>
      </c>
      <c r="BA286" s="1" t="s">
        <v>285</v>
      </c>
      <c r="BD286" s="3">
        <v>8.31</v>
      </c>
      <c r="BG286" s="3">
        <v>8.36</v>
      </c>
      <c r="BH286" s="3">
        <v>18.600000000000001</v>
      </c>
      <c r="BI286" s="1" t="s">
        <v>1037</v>
      </c>
    </row>
    <row r="287" spans="1:61">
      <c r="B287" s="103" t="s">
        <v>747</v>
      </c>
      <c r="C287" s="1" t="s">
        <v>286</v>
      </c>
      <c r="D287" s="2"/>
      <c r="E287" s="2"/>
      <c r="AC287" s="3"/>
      <c r="AG287" s="3">
        <v>10</v>
      </c>
      <c r="AJ287" s="3">
        <v>6.69</v>
      </c>
      <c r="AL287" s="3">
        <f>AJ287-AG287</f>
        <v>-3.3099999999999996</v>
      </c>
      <c r="AN287" s="1" t="s">
        <v>285</v>
      </c>
      <c r="AQ287" s="1" t="s">
        <v>285</v>
      </c>
      <c r="AT287" s="1" t="s">
        <v>285</v>
      </c>
      <c r="AW287" s="1" t="s">
        <v>285</v>
      </c>
      <c r="BA287" s="1" t="s">
        <v>285</v>
      </c>
      <c r="BD287" s="3">
        <v>7.7</v>
      </c>
      <c r="BG287" s="3">
        <v>7.81</v>
      </c>
      <c r="BH287" s="3">
        <v>0</v>
      </c>
      <c r="BI287" s="1" t="s">
        <v>1038</v>
      </c>
    </row>
    <row r="288" spans="1:61">
      <c r="B288" s="103" t="s">
        <v>747</v>
      </c>
      <c r="C288" s="1" t="s">
        <v>288</v>
      </c>
      <c r="D288" s="2"/>
      <c r="E288" s="2"/>
      <c r="AC288" s="3"/>
      <c r="AD288" s="24">
        <v>9.1</v>
      </c>
      <c r="AG288" s="3">
        <v>8</v>
      </c>
      <c r="AI288" s="3">
        <f>AG288-AD288</f>
        <v>-1.0999999999999996</v>
      </c>
      <c r="AN288" s="1" t="s">
        <v>285</v>
      </c>
      <c r="AQ288" s="1" t="s">
        <v>285</v>
      </c>
      <c r="AT288" s="1" t="s">
        <v>285</v>
      </c>
      <c r="AW288" s="1" t="s">
        <v>285</v>
      </c>
      <c r="BA288" s="1" t="s">
        <v>285</v>
      </c>
      <c r="BD288" s="3">
        <v>7.07</v>
      </c>
      <c r="BG288" s="3">
        <v>7.3</v>
      </c>
      <c r="BH288" s="3">
        <v>13.1</v>
      </c>
      <c r="BI288" s="1" t="s">
        <v>1038</v>
      </c>
    </row>
    <row r="289" spans="1:61">
      <c r="A289" s="6">
        <v>11</v>
      </c>
      <c r="B289" s="103" t="s">
        <v>747</v>
      </c>
      <c r="C289" s="1" t="s">
        <v>57</v>
      </c>
      <c r="D289" s="2"/>
      <c r="E289" s="2"/>
      <c r="K289" s="1" t="s">
        <v>284</v>
      </c>
      <c r="P289" s="1" t="s">
        <v>285</v>
      </c>
      <c r="S289" s="1" t="s">
        <v>285</v>
      </c>
      <c r="AN289" s="1" t="s">
        <v>285</v>
      </c>
      <c r="AQ289" s="1" t="s">
        <v>285</v>
      </c>
      <c r="AT289" s="1" t="s">
        <v>285</v>
      </c>
      <c r="AW289" s="1" t="s">
        <v>285</v>
      </c>
      <c r="BA289" s="1" t="s">
        <v>285</v>
      </c>
    </row>
    <row r="290" spans="1:61">
      <c r="B290" s="103" t="s">
        <v>747</v>
      </c>
      <c r="C290" s="1" t="s">
        <v>287</v>
      </c>
      <c r="D290" s="2"/>
      <c r="E290" s="2"/>
      <c r="AC290" s="3"/>
      <c r="AD290" s="24">
        <v>9.19</v>
      </c>
      <c r="AG290" s="3">
        <v>9</v>
      </c>
      <c r="AI290" s="3">
        <f>AG290-AD290</f>
        <v>-0.1899999999999995</v>
      </c>
      <c r="AN290" s="1" t="s">
        <v>285</v>
      </c>
      <c r="AQ290" s="1" t="s">
        <v>285</v>
      </c>
      <c r="AT290" s="1" t="s">
        <v>285</v>
      </c>
      <c r="AW290" s="1" t="s">
        <v>285</v>
      </c>
      <c r="BA290" s="1" t="s">
        <v>285</v>
      </c>
      <c r="BD290" s="3">
        <v>8.6999999999999993</v>
      </c>
      <c r="BG290" s="3">
        <v>8.33</v>
      </c>
      <c r="BH290" s="3">
        <v>18.600000000000001</v>
      </c>
      <c r="BI290" s="1" t="s">
        <v>1038</v>
      </c>
    </row>
    <row r="291" spans="1:61">
      <c r="A291" s="6">
        <v>1</v>
      </c>
      <c r="B291" s="103" t="s">
        <v>748</v>
      </c>
      <c r="C291" s="1" t="s">
        <v>52</v>
      </c>
      <c r="D291" s="2">
        <v>7</v>
      </c>
      <c r="E291" s="2"/>
      <c r="F291" s="8">
        <v>36.700000000000003</v>
      </c>
      <c r="G291" s="8"/>
      <c r="H291" s="8">
        <v>36.700000000000003</v>
      </c>
      <c r="I291" s="8">
        <f>H291-D291</f>
        <v>29.700000000000003</v>
      </c>
      <c r="K291" s="3"/>
      <c r="L291" s="1" t="s">
        <v>703</v>
      </c>
      <c r="M291" s="3">
        <v>50</v>
      </c>
      <c r="O291" s="3">
        <v>50</v>
      </c>
      <c r="Q291" s="3">
        <f>O291-H291</f>
        <v>13.299999999999997</v>
      </c>
      <c r="R291" s="3">
        <v>43.39</v>
      </c>
      <c r="S291" s="1" t="s">
        <v>209</v>
      </c>
      <c r="T291" s="2">
        <f>R291-O291</f>
        <v>-6.6099999999999994</v>
      </c>
      <c r="U291" s="3">
        <v>40.700000000000003</v>
      </c>
      <c r="W291" s="3">
        <f>U291-R291</f>
        <v>-2.6899999999999977</v>
      </c>
      <c r="X291" s="3">
        <v>56.75</v>
      </c>
      <c r="Z291" s="3">
        <f>X291-U291</f>
        <v>16.049999999999997</v>
      </c>
      <c r="AA291" s="3">
        <v>40.4</v>
      </c>
      <c r="AC291" s="3">
        <f>AA291-X291</f>
        <v>-16.350000000000001</v>
      </c>
    </row>
    <row r="292" spans="1:61">
      <c r="A292" s="6">
        <v>3</v>
      </c>
      <c r="B292" s="103" t="s">
        <v>748</v>
      </c>
      <c r="C292" s="1" t="s">
        <v>54</v>
      </c>
      <c r="D292" s="2"/>
      <c r="E292" s="2"/>
      <c r="F292" s="8">
        <v>0</v>
      </c>
      <c r="G292" s="8"/>
      <c r="H292" s="8">
        <v>0</v>
      </c>
      <c r="I292" s="8"/>
    </row>
    <row r="293" spans="1:61">
      <c r="A293" s="6">
        <v>4</v>
      </c>
      <c r="B293" s="103" t="s">
        <v>748</v>
      </c>
      <c r="C293" s="1" t="s">
        <v>55</v>
      </c>
      <c r="D293" s="2">
        <v>9.24</v>
      </c>
      <c r="E293" s="2"/>
      <c r="F293" s="8">
        <v>0</v>
      </c>
      <c r="G293" s="8"/>
      <c r="H293" s="8">
        <v>0</v>
      </c>
      <c r="I293" s="8"/>
    </row>
    <row r="294" spans="1:61">
      <c r="A294" s="6">
        <v>5</v>
      </c>
      <c r="B294" s="103" t="s">
        <v>748</v>
      </c>
      <c r="C294" s="1" t="s">
        <v>56</v>
      </c>
      <c r="D294" s="2">
        <v>9.24</v>
      </c>
      <c r="E294" s="2"/>
      <c r="F294" s="8">
        <v>0</v>
      </c>
      <c r="G294" s="8"/>
      <c r="H294" s="8">
        <v>0</v>
      </c>
      <c r="I294" s="8"/>
    </row>
    <row r="295" spans="1:61">
      <c r="A295" s="6">
        <v>2</v>
      </c>
      <c r="B295" s="103" t="s">
        <v>748</v>
      </c>
      <c r="C295" s="1" t="s">
        <v>53</v>
      </c>
      <c r="D295" s="2">
        <v>3.28</v>
      </c>
      <c r="E295" s="2"/>
      <c r="F295" s="8">
        <v>19.3</v>
      </c>
      <c r="G295" s="8"/>
      <c r="H295" s="8">
        <v>19.3</v>
      </c>
      <c r="I295" s="8">
        <f>H295-D295</f>
        <v>16.02</v>
      </c>
      <c r="K295" s="3"/>
      <c r="L295" s="1" t="s">
        <v>395</v>
      </c>
      <c r="M295" s="3">
        <v>35</v>
      </c>
      <c r="O295" s="3">
        <v>35</v>
      </c>
      <c r="Q295" s="3">
        <f>O295-H295</f>
        <v>15.7</v>
      </c>
      <c r="R295" s="3">
        <v>34</v>
      </c>
      <c r="S295" s="1" t="s">
        <v>209</v>
      </c>
      <c r="T295" s="3">
        <f>R295-O295</f>
        <v>-1</v>
      </c>
      <c r="X295" s="3">
        <v>50.44</v>
      </c>
      <c r="AA295" s="3">
        <v>46.7</v>
      </c>
      <c r="AC295" s="3">
        <f>AA295-X295</f>
        <v>-3.7399999999999949</v>
      </c>
    </row>
    <row r="296" spans="1:61">
      <c r="B296" s="103" t="s">
        <v>748</v>
      </c>
      <c r="C296" s="1" t="s">
        <v>158</v>
      </c>
      <c r="D296" s="2"/>
      <c r="E296" s="2"/>
      <c r="F296" s="8"/>
      <c r="G296" s="8"/>
      <c r="H296" s="8"/>
      <c r="K296" s="3"/>
      <c r="AC296" s="3"/>
      <c r="AJ296" s="3">
        <v>2.6</v>
      </c>
      <c r="AP296" s="3">
        <v>1.95</v>
      </c>
      <c r="AS296" s="3">
        <v>2.3199999999999998</v>
      </c>
      <c r="AZ296" s="3">
        <v>2.13</v>
      </c>
      <c r="BH296" s="3">
        <v>2.5499999999999998</v>
      </c>
      <c r="BI296" s="1" t="s">
        <v>910</v>
      </c>
    </row>
    <row r="297" spans="1:61">
      <c r="B297" s="103" t="s">
        <v>748</v>
      </c>
      <c r="C297" s="1" t="s">
        <v>597</v>
      </c>
      <c r="D297" s="2"/>
      <c r="E297" s="2"/>
      <c r="F297" s="8"/>
      <c r="G297" s="8"/>
      <c r="H297" s="8"/>
      <c r="K297" s="3"/>
      <c r="AC297" s="3"/>
      <c r="AD297" s="24">
        <v>4.91</v>
      </c>
      <c r="AG297" s="3">
        <v>7.87</v>
      </c>
      <c r="AP297" s="3">
        <v>11.42</v>
      </c>
    </row>
    <row r="298" spans="1:61">
      <c r="B298" s="103" t="s">
        <v>748</v>
      </c>
      <c r="C298" s="1" t="s">
        <v>600</v>
      </c>
      <c r="D298" s="2"/>
      <c r="E298" s="2"/>
      <c r="F298" s="8"/>
      <c r="G298" s="8"/>
      <c r="H298" s="8"/>
      <c r="K298" s="3"/>
      <c r="AC298" s="3"/>
      <c r="AD298" s="24">
        <v>7.44</v>
      </c>
      <c r="AG298" s="3">
        <v>7.57</v>
      </c>
      <c r="AV298" s="8"/>
    </row>
    <row r="299" spans="1:61">
      <c r="B299" s="103" t="s">
        <v>748</v>
      </c>
      <c r="C299" s="1" t="s">
        <v>595</v>
      </c>
      <c r="D299" s="2"/>
      <c r="E299" s="2"/>
      <c r="F299" s="8"/>
      <c r="G299" s="8"/>
      <c r="H299" s="8"/>
      <c r="K299" s="3"/>
      <c r="M299" s="3">
        <v>5</v>
      </c>
      <c r="O299" s="3">
        <v>5</v>
      </c>
      <c r="R299" s="3">
        <v>3.08</v>
      </c>
      <c r="T299" s="3">
        <f>R299-O299</f>
        <v>-1.92</v>
      </c>
      <c r="U299" s="3">
        <v>8.81</v>
      </c>
      <c r="W299" s="3">
        <f>U299-R299</f>
        <v>5.73</v>
      </c>
      <c r="X299" s="3">
        <v>6.68</v>
      </c>
      <c r="Z299" s="3">
        <f>X299-U299</f>
        <v>-2.1300000000000008</v>
      </c>
      <c r="AA299" s="3">
        <v>4.6399999999999997</v>
      </c>
      <c r="AC299" s="3">
        <f>AA299-X299</f>
        <v>-2.04</v>
      </c>
      <c r="AD299" s="24">
        <v>2.95</v>
      </c>
      <c r="AF299" s="24">
        <f>AD299-AA299</f>
        <v>-1.6899999999999995</v>
      </c>
      <c r="AG299" s="3">
        <v>2.34</v>
      </c>
      <c r="AI299" s="3">
        <f>AG299-AD299</f>
        <v>-0.61000000000000032</v>
      </c>
      <c r="AJ299" s="3">
        <v>2.31</v>
      </c>
      <c r="AL299" s="3">
        <f>AJ299-AG299</f>
        <v>-2.9999999999999805E-2</v>
      </c>
      <c r="AM299" s="3">
        <v>2.35</v>
      </c>
      <c r="AO299" s="3">
        <f>AM299-AJ299</f>
        <v>4.0000000000000036E-2</v>
      </c>
      <c r="AP299" s="3">
        <v>2.84</v>
      </c>
      <c r="AS299" s="3">
        <v>3.53</v>
      </c>
      <c r="AV299" s="8">
        <v>2.36</v>
      </c>
      <c r="AY299" s="3">
        <v>2.99</v>
      </c>
      <c r="AZ299" s="3">
        <v>2.31</v>
      </c>
      <c r="BA299" s="1" t="s">
        <v>910</v>
      </c>
      <c r="BD299" s="3">
        <v>2.78</v>
      </c>
      <c r="BE299" s="1" t="s">
        <v>910</v>
      </c>
      <c r="BG299" s="3">
        <v>2.78</v>
      </c>
      <c r="BH299" s="3">
        <v>3.15</v>
      </c>
      <c r="BI299" s="1" t="s">
        <v>910</v>
      </c>
    </row>
    <row r="300" spans="1:61" ht="9.6" customHeight="1">
      <c r="A300" s="6">
        <v>12</v>
      </c>
      <c r="B300" s="103" t="s">
        <v>748</v>
      </c>
      <c r="C300" s="1" t="s">
        <v>594</v>
      </c>
      <c r="D300" s="2">
        <v>1.83</v>
      </c>
      <c r="E300" s="2"/>
      <c r="F300" s="8">
        <v>4.13</v>
      </c>
      <c r="G300" s="8"/>
      <c r="H300" s="8">
        <v>4.13</v>
      </c>
      <c r="I300" s="9">
        <f>H300-D300</f>
        <v>2.2999999999999998</v>
      </c>
      <c r="K300" s="3"/>
      <c r="M300" s="3">
        <v>4</v>
      </c>
      <c r="O300" s="3">
        <v>4</v>
      </c>
      <c r="Q300" s="3">
        <f>O300-H300</f>
        <v>-0.12999999999999989</v>
      </c>
      <c r="R300" s="3">
        <v>3.72</v>
      </c>
      <c r="T300" s="3">
        <f>R300-O300</f>
        <v>-0.2799999999999998</v>
      </c>
      <c r="U300" s="3">
        <v>6.74</v>
      </c>
      <c r="W300" s="3">
        <f>U300-R300</f>
        <v>3.02</v>
      </c>
      <c r="X300" s="3">
        <v>8.5399999999999991</v>
      </c>
      <c r="Z300" s="3">
        <f>X300-U300</f>
        <v>1.7999999999999989</v>
      </c>
      <c r="AA300" s="3">
        <v>6.23</v>
      </c>
      <c r="AC300" s="3">
        <f>AA300-X300</f>
        <v>-2.3099999999999987</v>
      </c>
      <c r="AD300" s="24">
        <v>2.97</v>
      </c>
      <c r="AF300" s="24">
        <f>AD300-AA300</f>
        <v>-3.2600000000000002</v>
      </c>
      <c r="AG300" s="3">
        <v>2.79</v>
      </c>
      <c r="AI300" s="3">
        <f>AG300-AD300</f>
        <v>-0.18000000000000016</v>
      </c>
      <c r="AJ300" s="3">
        <v>1.85</v>
      </c>
      <c r="AL300" s="3">
        <f>AJ300-AG300</f>
        <v>-0.94</v>
      </c>
      <c r="AM300" s="3">
        <v>2.41</v>
      </c>
      <c r="AO300" s="3">
        <f>AM300-AJ300</f>
        <v>0.56000000000000005</v>
      </c>
      <c r="AP300" s="3">
        <v>1.75</v>
      </c>
      <c r="AS300" s="3">
        <v>2.35</v>
      </c>
      <c r="AV300" s="8">
        <v>2.31</v>
      </c>
      <c r="AY300" s="3">
        <v>2.31</v>
      </c>
      <c r="AZ300" s="3">
        <v>2.1800000000000002</v>
      </c>
      <c r="BA300" s="1" t="s">
        <v>910</v>
      </c>
      <c r="BD300" s="3">
        <v>1.98</v>
      </c>
      <c r="BE300" s="1" t="s">
        <v>910</v>
      </c>
      <c r="BG300" s="3">
        <v>1.98</v>
      </c>
      <c r="BH300" s="3">
        <v>2.2999999999999998</v>
      </c>
      <c r="BI300" s="1" t="s">
        <v>910</v>
      </c>
    </row>
    <row r="301" spans="1:61">
      <c r="B301" s="103" t="s">
        <v>748</v>
      </c>
      <c r="C301" s="1" t="s">
        <v>372</v>
      </c>
      <c r="D301" s="2"/>
      <c r="E301" s="2"/>
      <c r="F301" s="8"/>
      <c r="G301" s="8"/>
      <c r="H301" s="8"/>
      <c r="K301" s="3"/>
      <c r="AC301" s="3"/>
      <c r="AV301" s="8"/>
      <c r="BD301" s="3">
        <v>3.91</v>
      </c>
      <c r="BE301" s="1" t="s">
        <v>910</v>
      </c>
      <c r="BG301" s="3">
        <v>3.91</v>
      </c>
      <c r="BH301" s="3">
        <v>4.0599999999999996</v>
      </c>
      <c r="BI301" s="1" t="s">
        <v>910</v>
      </c>
    </row>
    <row r="302" spans="1:61">
      <c r="A302" s="6">
        <v>14</v>
      </c>
      <c r="B302" s="103" t="s">
        <v>748</v>
      </c>
      <c r="C302" s="1" t="s">
        <v>58</v>
      </c>
      <c r="D302" s="2">
        <v>4.87</v>
      </c>
      <c r="E302" s="2"/>
      <c r="F302" s="8">
        <v>11.01</v>
      </c>
      <c r="G302" s="8"/>
      <c r="H302" s="8">
        <v>11.01</v>
      </c>
      <c r="I302" s="9">
        <f>H302-D302</f>
        <v>6.14</v>
      </c>
      <c r="K302" s="3"/>
      <c r="L302" s="1" t="s">
        <v>305</v>
      </c>
      <c r="M302" s="3">
        <v>15</v>
      </c>
      <c r="O302" s="3">
        <v>15</v>
      </c>
      <c r="Q302" s="3">
        <f>O302-H302</f>
        <v>3.99</v>
      </c>
      <c r="R302" s="3">
        <v>7.26</v>
      </c>
      <c r="T302" s="3">
        <f>R302-O302</f>
        <v>-7.74</v>
      </c>
      <c r="U302" s="3">
        <v>15.55</v>
      </c>
      <c r="W302" s="3">
        <f>U302-R302</f>
        <v>8.2900000000000009</v>
      </c>
      <c r="X302" s="3">
        <v>21.91</v>
      </c>
      <c r="Z302" s="3">
        <f>X302-U302</f>
        <v>6.3599999999999994</v>
      </c>
      <c r="AA302" s="3">
        <v>13.59</v>
      </c>
      <c r="AC302" s="3">
        <f>AA302-X302</f>
        <v>-8.32</v>
      </c>
      <c r="AD302" s="24">
        <v>4.3099999999999996</v>
      </c>
      <c r="AF302" s="24">
        <f>AD302-AA302</f>
        <v>-9.2800000000000011</v>
      </c>
      <c r="AG302" s="3">
        <v>5.14</v>
      </c>
      <c r="AI302" s="3">
        <f>AG302-AD302</f>
        <v>0.83000000000000007</v>
      </c>
      <c r="AJ302" s="3">
        <v>4.2300000000000004</v>
      </c>
      <c r="AL302" s="3">
        <f>AJ302-AG302</f>
        <v>-0.90999999999999925</v>
      </c>
      <c r="AM302" s="3">
        <v>3.23</v>
      </c>
      <c r="AO302" s="3">
        <f>AM302-AJ302</f>
        <v>-1.0000000000000004</v>
      </c>
      <c r="AP302" s="3">
        <v>3.19</v>
      </c>
      <c r="AS302" s="3">
        <v>4.5199999999999996</v>
      </c>
      <c r="AV302" s="8">
        <v>3.97</v>
      </c>
      <c r="AY302" s="3">
        <v>3.97</v>
      </c>
      <c r="AZ302" s="3">
        <v>3.7</v>
      </c>
      <c r="BA302" s="1" t="s">
        <v>910</v>
      </c>
      <c r="BD302" s="3">
        <v>3.08</v>
      </c>
      <c r="BE302" s="1" t="s">
        <v>910</v>
      </c>
      <c r="BG302" s="3">
        <v>3.08</v>
      </c>
      <c r="BH302" s="3">
        <v>3.56</v>
      </c>
      <c r="BI302" s="1" t="s">
        <v>910</v>
      </c>
    </row>
    <row r="303" spans="1:61">
      <c r="B303" s="103" t="s">
        <v>748</v>
      </c>
      <c r="C303" s="1" t="s">
        <v>856</v>
      </c>
      <c r="D303" s="2"/>
      <c r="E303" s="2"/>
      <c r="F303" s="8"/>
      <c r="G303" s="8"/>
      <c r="H303" s="8"/>
      <c r="K303" s="3"/>
      <c r="Q303" s="3"/>
      <c r="T303" s="3"/>
      <c r="W303" s="3"/>
      <c r="AC303" s="3"/>
      <c r="AF303" s="24"/>
      <c r="AI303" s="3"/>
      <c r="AL303" s="3"/>
      <c r="AO303" s="3"/>
      <c r="AV303" s="8"/>
      <c r="BH303" s="3">
        <v>5.66</v>
      </c>
      <c r="BI303" s="1" t="s">
        <v>910</v>
      </c>
    </row>
    <row r="304" spans="1:61">
      <c r="B304" s="103" t="s">
        <v>748</v>
      </c>
      <c r="C304" s="1" t="s">
        <v>607</v>
      </c>
      <c r="D304" s="2"/>
      <c r="E304" s="2"/>
      <c r="F304" s="8"/>
      <c r="G304" s="8"/>
      <c r="H304" s="8"/>
      <c r="K304" s="3"/>
      <c r="AC304" s="3"/>
      <c r="AJ304" s="3">
        <v>14</v>
      </c>
      <c r="AP304" s="3">
        <v>17.899999999999999</v>
      </c>
      <c r="AS304" s="3">
        <v>10.58</v>
      </c>
      <c r="AV304" s="8">
        <v>13.99</v>
      </c>
      <c r="AY304" s="3">
        <v>13.99</v>
      </c>
      <c r="AZ304" s="3">
        <v>12.67</v>
      </c>
      <c r="BA304" s="1" t="s">
        <v>910</v>
      </c>
      <c r="BD304" s="3">
        <v>9.25</v>
      </c>
      <c r="BE304" s="1" t="s">
        <v>910</v>
      </c>
      <c r="BG304" s="3">
        <v>9.25</v>
      </c>
      <c r="BH304" s="3">
        <v>10.039999999999999</v>
      </c>
      <c r="BI304" s="1" t="s">
        <v>910</v>
      </c>
    </row>
    <row r="305" spans="1:61">
      <c r="B305" s="103" t="s">
        <v>748</v>
      </c>
      <c r="C305" s="1" t="s">
        <v>291</v>
      </c>
      <c r="D305" s="2"/>
      <c r="E305" s="2"/>
      <c r="F305" s="8"/>
      <c r="G305" s="8"/>
      <c r="H305" s="8"/>
      <c r="K305" s="3"/>
      <c r="AC305" s="3"/>
      <c r="AJ305" s="3">
        <v>12</v>
      </c>
      <c r="AP305" s="3">
        <v>22.05</v>
      </c>
      <c r="AV305" s="8"/>
      <c r="AZ305" s="3">
        <v>13.94</v>
      </c>
      <c r="BH305" s="3">
        <v>10.81</v>
      </c>
      <c r="BI305" s="1" t="s">
        <v>910</v>
      </c>
    </row>
    <row r="306" spans="1:61">
      <c r="B306" s="103" t="s">
        <v>748</v>
      </c>
      <c r="C306" s="1" t="s">
        <v>857</v>
      </c>
      <c r="D306" s="2"/>
      <c r="E306" s="2"/>
      <c r="F306" s="8"/>
      <c r="G306" s="8"/>
      <c r="H306" s="8"/>
      <c r="K306" s="3"/>
      <c r="AC306" s="3"/>
      <c r="AV306" s="8"/>
      <c r="BD306" s="3">
        <v>3.55</v>
      </c>
      <c r="BE306" s="1" t="s">
        <v>910</v>
      </c>
      <c r="BG306" s="3">
        <v>3.55</v>
      </c>
      <c r="BH306" s="3">
        <v>2.96</v>
      </c>
      <c r="BI306" s="1" t="s">
        <v>910</v>
      </c>
    </row>
    <row r="307" spans="1:61">
      <c r="B307" s="103" t="s">
        <v>748</v>
      </c>
      <c r="C307" s="1" t="s">
        <v>606</v>
      </c>
      <c r="D307" s="2"/>
      <c r="E307" s="2"/>
      <c r="F307" s="8"/>
      <c r="G307" s="8"/>
      <c r="H307" s="8"/>
      <c r="K307" s="3"/>
      <c r="AC307" s="3"/>
      <c r="AV307" s="8">
        <v>6.28</v>
      </c>
      <c r="AY307" s="3">
        <v>6.28</v>
      </c>
      <c r="BA307" s="1" t="s">
        <v>910</v>
      </c>
    </row>
    <row r="308" spans="1:61">
      <c r="B308" s="103" t="s">
        <v>748</v>
      </c>
      <c r="C308" s="1" t="s">
        <v>289</v>
      </c>
      <c r="D308" s="2"/>
      <c r="E308" s="2"/>
      <c r="F308" s="8"/>
      <c r="G308" s="8"/>
      <c r="H308" s="8"/>
      <c r="K308" s="3"/>
      <c r="M308" s="3">
        <v>35</v>
      </c>
      <c r="O308" s="3">
        <v>35</v>
      </c>
      <c r="U308" s="3">
        <v>36.81</v>
      </c>
      <c r="X308" s="3">
        <v>28.75</v>
      </c>
      <c r="Z308" s="3">
        <f>X308-U308</f>
        <v>-8.0600000000000023</v>
      </c>
      <c r="AA308" s="3">
        <v>13.53</v>
      </c>
      <c r="AC308" s="3">
        <f>AA308-X308</f>
        <v>-15.22</v>
      </c>
      <c r="AG308" s="3">
        <v>7.33</v>
      </c>
      <c r="AJ308" s="3">
        <v>0.73</v>
      </c>
      <c r="AL308" s="3">
        <f>AJ308-AG308</f>
        <v>-6.6</v>
      </c>
      <c r="AP308" s="3">
        <v>6.25</v>
      </c>
      <c r="AS308" s="3">
        <v>6.11</v>
      </c>
      <c r="AV308" s="8">
        <v>1.9</v>
      </c>
      <c r="AY308" s="3">
        <v>1.9</v>
      </c>
      <c r="AZ308" s="3">
        <v>4.83</v>
      </c>
      <c r="BA308" s="1" t="s">
        <v>910</v>
      </c>
      <c r="BD308" s="3">
        <v>5.05</v>
      </c>
      <c r="BE308" s="1" t="s">
        <v>910</v>
      </c>
      <c r="BG308" s="3">
        <v>5.05</v>
      </c>
      <c r="BH308" s="3">
        <v>3.17</v>
      </c>
      <c r="BI308" s="1" t="s">
        <v>910</v>
      </c>
    </row>
    <row r="309" spans="1:61">
      <c r="B309" s="103" t="s">
        <v>748</v>
      </c>
      <c r="C309" s="1" t="s">
        <v>160</v>
      </c>
      <c r="D309" s="2"/>
      <c r="E309" s="2"/>
      <c r="F309" s="8"/>
      <c r="G309" s="8"/>
      <c r="H309" s="8"/>
      <c r="K309" s="3"/>
      <c r="AC309" s="3"/>
      <c r="AS309" s="3">
        <v>2.75</v>
      </c>
      <c r="AV309" s="8">
        <v>1.78</v>
      </c>
      <c r="AY309" s="3">
        <v>1.78</v>
      </c>
      <c r="AZ309" s="3">
        <v>1.5</v>
      </c>
      <c r="BA309" s="1" t="s">
        <v>910</v>
      </c>
    </row>
    <row r="310" spans="1:61">
      <c r="B310" s="103" t="s">
        <v>748</v>
      </c>
      <c r="C310" s="1" t="s">
        <v>238</v>
      </c>
      <c r="D310" s="2"/>
      <c r="E310" s="2"/>
      <c r="F310" s="8"/>
      <c r="G310" s="8"/>
      <c r="H310" s="8"/>
      <c r="K310" s="3"/>
      <c r="U310" s="3">
        <v>5.0199999999999996</v>
      </c>
      <c r="X310" s="3">
        <v>3.62</v>
      </c>
      <c r="Z310" s="3">
        <f>X310-U310</f>
        <v>-1.3999999999999995</v>
      </c>
      <c r="AD310" s="24">
        <v>4</v>
      </c>
      <c r="AJ310" s="3">
        <v>4</v>
      </c>
      <c r="AP310" s="3">
        <v>3.37</v>
      </c>
      <c r="AS310" s="3">
        <v>4.18</v>
      </c>
      <c r="AV310" s="8">
        <v>2.65</v>
      </c>
      <c r="AY310" s="3">
        <v>2.1800000000000002</v>
      </c>
      <c r="AZ310" s="3">
        <v>2.58</v>
      </c>
      <c r="BA310" s="1" t="s">
        <v>910</v>
      </c>
      <c r="BD310" s="3">
        <v>2.84</v>
      </c>
      <c r="BE310" s="1" t="s">
        <v>910</v>
      </c>
      <c r="BG310" s="3">
        <v>2.84</v>
      </c>
      <c r="BH310" s="3">
        <v>3.3</v>
      </c>
      <c r="BI310" s="1" t="s">
        <v>910</v>
      </c>
    </row>
    <row r="311" spans="1:61">
      <c r="B311" s="103" t="s">
        <v>748</v>
      </c>
      <c r="C311" s="1" t="s">
        <v>966</v>
      </c>
      <c r="D311" s="2"/>
      <c r="E311" s="2"/>
      <c r="F311" s="8"/>
      <c r="G311" s="8"/>
      <c r="H311" s="8"/>
      <c r="K311" s="3"/>
      <c r="AC311" s="3"/>
      <c r="AY311" s="3">
        <v>2.65</v>
      </c>
      <c r="AZ311" s="3">
        <v>2.91</v>
      </c>
      <c r="BA311" s="1" t="s">
        <v>910</v>
      </c>
      <c r="BD311" s="3">
        <v>3.33</v>
      </c>
      <c r="BE311" s="1" t="s">
        <v>910</v>
      </c>
      <c r="BG311" s="3">
        <v>3.33</v>
      </c>
      <c r="BH311" s="3">
        <v>2.6</v>
      </c>
      <c r="BI311" s="1" t="s">
        <v>910</v>
      </c>
    </row>
    <row r="312" spans="1:61">
      <c r="B312" s="103" t="s">
        <v>748</v>
      </c>
      <c r="C312" s="1" t="s">
        <v>74</v>
      </c>
      <c r="D312" s="2"/>
      <c r="E312" s="2"/>
      <c r="F312" s="8"/>
      <c r="G312" s="8"/>
      <c r="H312" s="8"/>
      <c r="K312" s="3"/>
      <c r="AC312" s="3"/>
      <c r="AS312" s="3">
        <v>3.14</v>
      </c>
      <c r="AV312" s="8"/>
      <c r="AZ312" s="3">
        <v>1.78</v>
      </c>
      <c r="BD312" s="3">
        <v>5.39</v>
      </c>
      <c r="BE312" s="1" t="s">
        <v>910</v>
      </c>
      <c r="BG312" s="3">
        <v>5.39</v>
      </c>
      <c r="BH312" s="3">
        <v>2.86</v>
      </c>
      <c r="BI312" s="1" t="s">
        <v>910</v>
      </c>
    </row>
    <row r="313" spans="1:61">
      <c r="B313" s="103" t="s">
        <v>748</v>
      </c>
      <c r="C313" s="1" t="s">
        <v>290</v>
      </c>
      <c r="D313" s="2"/>
      <c r="E313" s="2"/>
      <c r="F313" s="8"/>
      <c r="G313" s="8"/>
      <c r="H313" s="8"/>
      <c r="K313" s="3"/>
      <c r="M313" s="3">
        <v>29</v>
      </c>
      <c r="O313" s="3">
        <v>29</v>
      </c>
      <c r="X313" s="3">
        <v>85.21</v>
      </c>
      <c r="AA313" s="3">
        <v>30.77</v>
      </c>
      <c r="AC313" s="3">
        <f>AA313-X313</f>
        <v>-54.44</v>
      </c>
      <c r="AJ313" s="3">
        <v>0.68</v>
      </c>
      <c r="AP313" s="3">
        <v>9.01</v>
      </c>
      <c r="AS313" s="3">
        <v>8.81</v>
      </c>
      <c r="AV313" s="8">
        <v>2.1</v>
      </c>
      <c r="AY313" s="3">
        <v>2.1</v>
      </c>
      <c r="AZ313" s="3">
        <v>6.27</v>
      </c>
      <c r="BA313" s="1" t="s">
        <v>910</v>
      </c>
      <c r="BH313" s="3">
        <v>4.41</v>
      </c>
      <c r="BI313" s="1" t="s">
        <v>910</v>
      </c>
    </row>
    <row r="314" spans="1:61">
      <c r="B314" s="103" t="s">
        <v>748</v>
      </c>
      <c r="C314" s="1" t="s">
        <v>64</v>
      </c>
      <c r="D314" s="2"/>
      <c r="E314" s="2"/>
      <c r="F314" s="8"/>
      <c r="G314" s="8"/>
      <c r="H314" s="8"/>
      <c r="K314" s="3"/>
      <c r="M314" s="3">
        <v>13</v>
      </c>
      <c r="O314" s="3">
        <v>13</v>
      </c>
      <c r="R314" s="3">
        <v>12.43</v>
      </c>
      <c r="T314" s="3">
        <f>R314-O314</f>
        <v>-0.57000000000000028</v>
      </c>
      <c r="U314" s="3">
        <v>18.03</v>
      </c>
      <c r="W314" s="3">
        <f>U314-R314</f>
        <v>5.6000000000000014</v>
      </c>
      <c r="X314" s="3">
        <v>26.32</v>
      </c>
      <c r="Z314" s="3">
        <f>X314-U314</f>
        <v>8.2899999999999991</v>
      </c>
      <c r="AA314" s="3">
        <v>18.03</v>
      </c>
      <c r="AC314" s="3">
        <f>AA314-X314</f>
        <v>-8.2899999999999991</v>
      </c>
      <c r="AD314" s="24">
        <v>5.45</v>
      </c>
      <c r="AF314" s="24">
        <f>AD314-AA314</f>
        <v>-12.580000000000002</v>
      </c>
      <c r="AG314" s="3">
        <v>4.1050000000000004</v>
      </c>
      <c r="AI314" s="3">
        <f>AG314-AD314</f>
        <v>-1.3449999999999998</v>
      </c>
      <c r="AJ314" s="3">
        <v>5.42</v>
      </c>
      <c r="AL314" s="3">
        <f>AJ314-AG314</f>
        <v>1.3149999999999995</v>
      </c>
      <c r="AM314" s="3">
        <v>4.55</v>
      </c>
      <c r="AO314" s="3">
        <f>AM314-AJ314</f>
        <v>-0.87000000000000011</v>
      </c>
      <c r="AP314" s="3">
        <v>3.87</v>
      </c>
      <c r="AS314" s="3">
        <v>5.41</v>
      </c>
      <c r="AV314" s="8">
        <v>4.09</v>
      </c>
      <c r="AY314" s="3">
        <v>4.09</v>
      </c>
      <c r="AZ314" s="3">
        <v>3.57</v>
      </c>
      <c r="BA314" s="1" t="s">
        <v>910</v>
      </c>
      <c r="BD314" s="3">
        <v>3.55</v>
      </c>
      <c r="BE314" s="1" t="s">
        <v>910</v>
      </c>
      <c r="BG314" s="3">
        <v>3.55</v>
      </c>
      <c r="BH314" s="3">
        <v>5.09</v>
      </c>
      <c r="BI314" s="1" t="s">
        <v>910</v>
      </c>
    </row>
    <row r="315" spans="1:61">
      <c r="B315" s="103" t="s">
        <v>748</v>
      </c>
      <c r="C315" s="1" t="s">
        <v>855</v>
      </c>
      <c r="D315" s="2"/>
      <c r="E315" s="2"/>
      <c r="F315" s="8"/>
      <c r="G315" s="8"/>
      <c r="H315" s="8"/>
      <c r="K315" s="3"/>
      <c r="T315" s="3"/>
      <c r="W315" s="3"/>
      <c r="AC315" s="3"/>
      <c r="AF315" s="24"/>
      <c r="AI315" s="3"/>
      <c r="AL315" s="3"/>
      <c r="AO315" s="3"/>
      <c r="AV315" s="8"/>
      <c r="BH315" s="3">
        <v>5.66</v>
      </c>
      <c r="BI315" s="1" t="s">
        <v>910</v>
      </c>
    </row>
    <row r="316" spans="1:61">
      <c r="B316" s="103" t="s">
        <v>748</v>
      </c>
      <c r="C316" s="1" t="s">
        <v>286</v>
      </c>
      <c r="D316" s="2"/>
      <c r="E316" s="2"/>
      <c r="F316" s="8"/>
      <c r="G316" s="8"/>
      <c r="H316" s="8"/>
      <c r="K316" s="3"/>
      <c r="M316" s="3">
        <v>21</v>
      </c>
      <c r="O316" s="3">
        <v>21</v>
      </c>
      <c r="R316" s="3">
        <v>24.01</v>
      </c>
      <c r="T316" s="3">
        <f>R316-O316</f>
        <v>3.0100000000000016</v>
      </c>
      <c r="U316" s="3">
        <v>28.9</v>
      </c>
      <c r="W316" s="3">
        <f>U316-R316</f>
        <v>4.889999999999997</v>
      </c>
      <c r="X316" s="3">
        <v>32.56</v>
      </c>
      <c r="Z316" s="3">
        <f>X316-U316</f>
        <v>3.6600000000000037</v>
      </c>
      <c r="AA316" s="3">
        <v>22.75</v>
      </c>
      <c r="AC316" s="3">
        <f>AA316-X316</f>
        <v>-9.8100000000000023</v>
      </c>
      <c r="AD316" s="24">
        <v>4.83</v>
      </c>
      <c r="AF316" s="24">
        <f>AD316-AA316</f>
        <v>-17.920000000000002</v>
      </c>
      <c r="AG316" s="3">
        <v>5.5350000000000001</v>
      </c>
      <c r="AI316" s="3">
        <f>AG316-AD316</f>
        <v>0.70500000000000007</v>
      </c>
      <c r="AJ316" s="3">
        <v>5.35</v>
      </c>
      <c r="AL316" s="3">
        <f>AJ316-AG316</f>
        <v>-0.1850000000000005</v>
      </c>
      <c r="AM316" s="3">
        <v>4.25</v>
      </c>
      <c r="AO316" s="3">
        <f>AM316-AJ316</f>
        <v>-1.0999999999999996</v>
      </c>
      <c r="AP316" s="3">
        <v>3.59</v>
      </c>
      <c r="AS316" s="3">
        <v>4.7300000000000004</v>
      </c>
      <c r="AV316" s="8">
        <v>4.3499999999999996</v>
      </c>
      <c r="AY316" s="3">
        <v>4.3499999999999996</v>
      </c>
      <c r="AZ316" s="3">
        <v>3.78</v>
      </c>
      <c r="BA316" s="1" t="s">
        <v>910</v>
      </c>
      <c r="BD316" s="3">
        <v>3.1</v>
      </c>
      <c r="BE316" s="1" t="s">
        <v>910</v>
      </c>
      <c r="BG316" s="3">
        <v>3.1</v>
      </c>
      <c r="BH316" s="3">
        <v>3.65</v>
      </c>
      <c r="BI316" s="1" t="s">
        <v>910</v>
      </c>
    </row>
    <row r="317" spans="1:61">
      <c r="B317" s="103" t="s">
        <v>748</v>
      </c>
      <c r="C317" s="1" t="s">
        <v>288</v>
      </c>
      <c r="D317" s="2"/>
      <c r="E317" s="2"/>
      <c r="F317" s="8"/>
      <c r="G317" s="8"/>
      <c r="H317" s="8"/>
      <c r="K317" s="3"/>
      <c r="M317" s="3">
        <v>20</v>
      </c>
      <c r="O317" s="3">
        <v>20</v>
      </c>
      <c r="R317" s="3">
        <v>13.78</v>
      </c>
      <c r="T317" s="3">
        <f>R317-O317</f>
        <v>-6.2200000000000006</v>
      </c>
      <c r="U317" s="3">
        <v>25.12</v>
      </c>
      <c r="W317" s="3">
        <f>U317-R317</f>
        <v>11.340000000000002</v>
      </c>
      <c r="X317" s="3">
        <v>23.05</v>
      </c>
      <c r="Z317" s="3">
        <f>X317-U317</f>
        <v>-2.0700000000000003</v>
      </c>
      <c r="AA317" s="3">
        <v>21.16</v>
      </c>
      <c r="AC317" s="3">
        <f>AA317-X317</f>
        <v>-1.8900000000000006</v>
      </c>
      <c r="AD317" s="24">
        <v>4.99</v>
      </c>
      <c r="AF317" s="24">
        <f>AD317-AA317</f>
        <v>-16.170000000000002</v>
      </c>
      <c r="AG317" s="3">
        <v>5.5</v>
      </c>
      <c r="AI317" s="3">
        <f>AG317-AD317</f>
        <v>0.50999999999999979</v>
      </c>
      <c r="AJ317" s="3">
        <v>6.15</v>
      </c>
      <c r="AL317" s="3">
        <f>AJ317-AG317</f>
        <v>0.65000000000000036</v>
      </c>
      <c r="AM317" s="3">
        <v>3.8</v>
      </c>
      <c r="AO317" s="3">
        <f>AM317-AJ317</f>
        <v>-2.3500000000000005</v>
      </c>
      <c r="AP317" s="3">
        <v>3.31</v>
      </c>
      <c r="AS317" s="3">
        <v>6.15</v>
      </c>
      <c r="AV317" s="8">
        <v>4.25</v>
      </c>
      <c r="AY317" s="3">
        <v>4.25</v>
      </c>
      <c r="AZ317" s="3">
        <v>3.04</v>
      </c>
      <c r="BA317" s="1" t="s">
        <v>910</v>
      </c>
      <c r="BD317" s="3">
        <v>3.07</v>
      </c>
      <c r="BE317" s="1" t="s">
        <v>910</v>
      </c>
      <c r="BG317" s="3">
        <v>3.07</v>
      </c>
      <c r="BH317" s="3">
        <v>4</v>
      </c>
      <c r="BI317" s="1" t="s">
        <v>910</v>
      </c>
    </row>
    <row r="318" spans="1:61">
      <c r="A318" s="6">
        <v>11</v>
      </c>
      <c r="B318" s="103" t="s">
        <v>748</v>
      </c>
      <c r="C318" s="1" t="s">
        <v>57</v>
      </c>
      <c r="D318" s="2">
        <v>5.6</v>
      </c>
      <c r="E318" s="2"/>
      <c r="F318" s="8">
        <v>0</v>
      </c>
      <c r="G318" s="8"/>
      <c r="H318" s="8">
        <v>0</v>
      </c>
      <c r="I318" s="8"/>
      <c r="AV318" s="8"/>
    </row>
    <row r="319" spans="1:61" ht="9.6" customHeight="1">
      <c r="B319" s="103" t="s">
        <v>748</v>
      </c>
      <c r="C319" s="1" t="s">
        <v>287</v>
      </c>
      <c r="D319" s="2"/>
      <c r="E319" s="2"/>
      <c r="F319" s="8"/>
      <c r="G319" s="8"/>
      <c r="H319" s="8"/>
      <c r="K319" s="3"/>
      <c r="M319" s="3">
        <v>16</v>
      </c>
      <c r="O319" s="3">
        <v>16</v>
      </c>
      <c r="U319" s="3">
        <v>23.01</v>
      </c>
      <c r="X319" s="3">
        <v>27.72</v>
      </c>
      <c r="Z319" s="3">
        <f>X319-U319</f>
        <v>4.7099999999999973</v>
      </c>
      <c r="AA319" s="3">
        <v>25.23</v>
      </c>
      <c r="AC319" s="3">
        <f>AA319-X319</f>
        <v>-2.4899999999999984</v>
      </c>
      <c r="AG319" s="3">
        <v>6.35</v>
      </c>
      <c r="AM319" s="3">
        <v>7.86</v>
      </c>
      <c r="AP319" s="3">
        <v>4.8</v>
      </c>
      <c r="AS319" s="3">
        <v>5.51</v>
      </c>
      <c r="AV319" s="8">
        <v>4.6900000000000004</v>
      </c>
      <c r="AY319" s="3">
        <v>4.6900000000000004</v>
      </c>
      <c r="AZ319" s="3">
        <v>3.72</v>
      </c>
      <c r="BA319" s="1" t="s">
        <v>910</v>
      </c>
      <c r="BD319" s="3">
        <v>3.54</v>
      </c>
      <c r="BE319" s="1" t="s">
        <v>910</v>
      </c>
      <c r="BG319" s="3">
        <v>3.54</v>
      </c>
      <c r="BH319" s="3">
        <v>4.74</v>
      </c>
      <c r="BI319" s="1" t="s">
        <v>910</v>
      </c>
    </row>
    <row r="320" spans="1:61">
      <c r="A320" s="6">
        <v>1</v>
      </c>
      <c r="B320" s="103" t="s">
        <v>763</v>
      </c>
      <c r="C320" s="1" t="s">
        <v>52</v>
      </c>
      <c r="D320" s="2"/>
      <c r="E320" s="2"/>
      <c r="F320" s="8"/>
      <c r="G320" s="8"/>
      <c r="H320" s="8"/>
      <c r="K320" s="3"/>
      <c r="AQ320" s="1" t="s">
        <v>285</v>
      </c>
    </row>
    <row r="321" spans="1:61">
      <c r="A321" s="6">
        <v>3</v>
      </c>
      <c r="B321" s="103" t="s">
        <v>763</v>
      </c>
      <c r="C321" s="1" t="s">
        <v>54</v>
      </c>
      <c r="D321" s="2"/>
      <c r="E321" s="2"/>
      <c r="F321" s="8"/>
      <c r="G321" s="8"/>
      <c r="H321" s="8"/>
      <c r="K321" s="3"/>
      <c r="AQ321" s="1" t="s">
        <v>285</v>
      </c>
    </row>
    <row r="322" spans="1:61">
      <c r="A322" s="6">
        <v>4</v>
      </c>
      <c r="B322" s="103" t="s">
        <v>763</v>
      </c>
      <c r="C322" s="1" t="s">
        <v>55</v>
      </c>
      <c r="D322" s="2"/>
      <c r="E322" s="2"/>
      <c r="F322" s="8"/>
      <c r="G322" s="8"/>
      <c r="H322" s="8"/>
      <c r="K322" s="3"/>
      <c r="AQ322" s="1" t="s">
        <v>285</v>
      </c>
    </row>
    <row r="323" spans="1:61">
      <c r="A323" s="6">
        <v>5</v>
      </c>
      <c r="B323" s="103" t="s">
        <v>763</v>
      </c>
      <c r="C323" s="1" t="s">
        <v>56</v>
      </c>
      <c r="D323" s="2"/>
      <c r="E323" s="2"/>
      <c r="F323" s="8"/>
      <c r="G323" s="8"/>
      <c r="H323" s="8"/>
      <c r="K323" s="3"/>
      <c r="AQ323" s="1" t="s">
        <v>285</v>
      </c>
    </row>
    <row r="324" spans="1:61">
      <c r="A324" s="6">
        <v>2</v>
      </c>
      <c r="B324" s="103" t="s">
        <v>763</v>
      </c>
      <c r="C324" s="1" t="s">
        <v>53</v>
      </c>
      <c r="D324" s="2"/>
      <c r="E324" s="2"/>
      <c r="F324" s="8"/>
      <c r="G324" s="8"/>
      <c r="H324" s="8"/>
      <c r="K324" s="3"/>
      <c r="R324" s="3">
        <v>87.44</v>
      </c>
      <c r="T324" s="3"/>
      <c r="U324" s="3">
        <v>87.44</v>
      </c>
      <c r="AQ324" s="1" t="s">
        <v>285</v>
      </c>
    </row>
    <row r="325" spans="1:61">
      <c r="B325" s="103" t="s">
        <v>763</v>
      </c>
      <c r="C325" s="1" t="s">
        <v>597</v>
      </c>
      <c r="D325" s="2"/>
      <c r="E325" s="2"/>
      <c r="F325" s="8"/>
      <c r="G325" s="8"/>
      <c r="H325" s="8"/>
      <c r="K325" s="3"/>
      <c r="T325" s="3"/>
      <c r="BH325" s="3">
        <v>23.44</v>
      </c>
      <c r="BI325" s="1" t="s">
        <v>852</v>
      </c>
    </row>
    <row r="326" spans="1:61">
      <c r="B326" s="103" t="s">
        <v>763</v>
      </c>
      <c r="C326" s="1" t="s">
        <v>595</v>
      </c>
      <c r="D326" s="2"/>
      <c r="E326" s="2"/>
      <c r="F326" s="8"/>
      <c r="G326" s="8"/>
      <c r="H326" s="8"/>
      <c r="K326" s="3"/>
      <c r="T326" s="3"/>
      <c r="AA326" s="3">
        <v>10</v>
      </c>
      <c r="AB326" s="1" t="s">
        <v>688</v>
      </c>
      <c r="AD326" s="24">
        <v>10.7</v>
      </c>
      <c r="AG326" s="3">
        <v>8.6999999999999993</v>
      </c>
      <c r="AI326" s="3">
        <f>AG326-AD326</f>
        <v>-2</v>
      </c>
      <c r="AJ326" s="3">
        <v>8.6999999999999993</v>
      </c>
      <c r="AL326" s="3">
        <f t="shared" ref="AL326:AL331" si="3">AJ326-AG326</f>
        <v>0</v>
      </c>
      <c r="AM326" s="3">
        <v>8.6999999999999993</v>
      </c>
      <c r="AO326" s="3">
        <f>AM326-AJ326</f>
        <v>0</v>
      </c>
      <c r="AQ326" s="1" t="s">
        <v>285</v>
      </c>
    </row>
    <row r="327" spans="1:61">
      <c r="A327" s="6">
        <v>12</v>
      </c>
      <c r="B327" s="103" t="s">
        <v>763</v>
      </c>
      <c r="C327" s="1" t="s">
        <v>594</v>
      </c>
      <c r="D327" s="2"/>
      <c r="E327" s="2"/>
      <c r="F327" s="8"/>
      <c r="G327" s="8"/>
      <c r="H327" s="8"/>
      <c r="K327" s="3"/>
      <c r="R327" s="3">
        <v>29.15</v>
      </c>
      <c r="T327" s="3"/>
      <c r="U327" s="3">
        <v>29.15</v>
      </c>
      <c r="X327" s="3">
        <v>6.75</v>
      </c>
      <c r="Y327" s="1" t="s">
        <v>686</v>
      </c>
      <c r="AA327" s="3">
        <v>6.5</v>
      </c>
      <c r="AB327" s="3" t="s">
        <v>687</v>
      </c>
      <c r="AC327" s="3">
        <f>AA327-X327</f>
        <v>-0.25</v>
      </c>
      <c r="AD327" s="24">
        <v>5</v>
      </c>
      <c r="AG327" s="3">
        <v>4.7</v>
      </c>
      <c r="AI327" s="3">
        <f>AG327-AD327</f>
        <v>-0.29999999999999982</v>
      </c>
      <c r="AJ327" s="3">
        <v>4.7</v>
      </c>
      <c r="AL327" s="3">
        <f t="shared" si="3"/>
        <v>0</v>
      </c>
      <c r="AM327" s="3">
        <v>4.7</v>
      </c>
      <c r="AO327" s="3">
        <f>AM327-AJ327</f>
        <v>0</v>
      </c>
      <c r="AQ327" s="1" t="s">
        <v>285</v>
      </c>
      <c r="AS327" s="3">
        <v>4.5</v>
      </c>
      <c r="AV327" s="3">
        <v>4.7</v>
      </c>
      <c r="AZ327" s="3">
        <v>4.68</v>
      </c>
      <c r="BA327" s="1" t="s">
        <v>852</v>
      </c>
      <c r="BC327" s="3">
        <v>4.68</v>
      </c>
      <c r="BD327" s="3">
        <v>6.31</v>
      </c>
      <c r="BE327" s="1" t="s">
        <v>852</v>
      </c>
      <c r="BH327" s="3">
        <v>7.04</v>
      </c>
      <c r="BI327" s="1" t="s">
        <v>852</v>
      </c>
    </row>
    <row r="328" spans="1:61">
      <c r="A328" s="6">
        <v>14</v>
      </c>
      <c r="B328" s="103" t="s">
        <v>763</v>
      </c>
      <c r="C328" s="1" t="s">
        <v>58</v>
      </c>
      <c r="D328" s="2"/>
      <c r="E328" s="2"/>
      <c r="F328" s="8"/>
      <c r="G328" s="8"/>
      <c r="H328" s="8"/>
      <c r="K328" s="3"/>
      <c r="R328" s="3">
        <v>111.04</v>
      </c>
      <c r="T328" s="3"/>
      <c r="U328" s="3">
        <v>111.04</v>
      </c>
      <c r="X328" s="3">
        <v>12</v>
      </c>
      <c r="Y328" s="1" t="s">
        <v>630</v>
      </c>
      <c r="AA328" s="3">
        <v>12</v>
      </c>
      <c r="AB328" s="1" t="s">
        <v>630</v>
      </c>
      <c r="AC328" s="3">
        <f>AA328-X328</f>
        <v>0</v>
      </c>
      <c r="AD328" s="24">
        <v>11</v>
      </c>
      <c r="AG328" s="3">
        <v>7.2</v>
      </c>
      <c r="AI328" s="3">
        <f>AG328-AD328</f>
        <v>-3.8</v>
      </c>
      <c r="AJ328" s="3">
        <v>7.2</v>
      </c>
      <c r="AL328" s="3">
        <f t="shared" si="3"/>
        <v>0</v>
      </c>
      <c r="AM328" s="3">
        <v>7.2</v>
      </c>
      <c r="AO328" s="3">
        <f>AM328-AJ328</f>
        <v>0</v>
      </c>
      <c r="AQ328" s="1" t="s">
        <v>285</v>
      </c>
      <c r="AS328" s="3">
        <v>6.7</v>
      </c>
      <c r="AV328" s="3">
        <v>6.9</v>
      </c>
      <c r="AZ328" s="3">
        <v>5.8</v>
      </c>
      <c r="BA328" s="1" t="s">
        <v>852</v>
      </c>
      <c r="BC328" s="3">
        <v>5.8</v>
      </c>
      <c r="BD328" s="3">
        <v>5.48</v>
      </c>
      <c r="BE328" s="1" t="s">
        <v>852</v>
      </c>
      <c r="BH328" s="3">
        <v>6.77</v>
      </c>
      <c r="BI328" s="1" t="s">
        <v>852</v>
      </c>
    </row>
    <row r="329" spans="1:61">
      <c r="B329" s="103" t="s">
        <v>763</v>
      </c>
      <c r="C329" s="1" t="s">
        <v>64</v>
      </c>
      <c r="D329" s="2"/>
      <c r="E329" s="2"/>
      <c r="F329" s="8"/>
      <c r="G329" s="8"/>
      <c r="H329" s="8"/>
      <c r="K329" s="3"/>
      <c r="T329" s="3"/>
      <c r="X329" s="3">
        <v>14.2</v>
      </c>
      <c r="AA329" s="3">
        <v>16</v>
      </c>
      <c r="AC329" s="3">
        <f>AA329-X329</f>
        <v>1.8000000000000007</v>
      </c>
      <c r="AD329" s="24">
        <v>13</v>
      </c>
      <c r="AG329" s="3">
        <v>9.1999999999999993</v>
      </c>
      <c r="AI329" s="3">
        <f>AG329-AD329</f>
        <v>-3.8000000000000007</v>
      </c>
      <c r="AJ329" s="3">
        <v>9.1999999999999993</v>
      </c>
      <c r="AL329" s="3">
        <f t="shared" si="3"/>
        <v>0</v>
      </c>
      <c r="AQ329" s="1" t="s">
        <v>285</v>
      </c>
      <c r="AS329" s="3">
        <v>9</v>
      </c>
      <c r="AV329" s="3">
        <v>8.6999999999999993</v>
      </c>
      <c r="AZ329" s="3">
        <v>7.09</v>
      </c>
      <c r="BA329" s="1" t="s">
        <v>852</v>
      </c>
      <c r="BC329" s="3">
        <v>7.09</v>
      </c>
      <c r="BD329" s="3">
        <v>6.84</v>
      </c>
      <c r="BE329" s="1" t="s">
        <v>852</v>
      </c>
      <c r="BH329" s="3">
        <v>12.17</v>
      </c>
      <c r="BI329" s="1" t="s">
        <v>852</v>
      </c>
    </row>
    <row r="330" spans="1:61">
      <c r="B330" s="103" t="s">
        <v>763</v>
      </c>
      <c r="C330" s="1" t="s">
        <v>286</v>
      </c>
      <c r="D330" s="2"/>
      <c r="E330" s="2"/>
      <c r="F330" s="8"/>
      <c r="G330" s="8"/>
      <c r="H330" s="8"/>
      <c r="K330" s="3"/>
      <c r="T330" s="3"/>
      <c r="X330" s="3">
        <v>16.7</v>
      </c>
      <c r="AA330" s="3">
        <v>17</v>
      </c>
      <c r="AB330" s="1" t="s">
        <v>690</v>
      </c>
      <c r="AC330" s="3">
        <f>AA330-X330</f>
        <v>0.30000000000000071</v>
      </c>
      <c r="AG330" s="3">
        <v>10.5</v>
      </c>
      <c r="AJ330" s="3">
        <v>10.5</v>
      </c>
      <c r="AL330" s="3">
        <f t="shared" si="3"/>
        <v>0</v>
      </c>
      <c r="AM330" s="3">
        <v>10.5</v>
      </c>
      <c r="AO330" s="3">
        <f>AM330-AJ330</f>
        <v>0</v>
      </c>
      <c r="AQ330" s="1" t="s">
        <v>285</v>
      </c>
      <c r="AV330" s="3">
        <v>8.3000000000000007</v>
      </c>
      <c r="AZ330" s="3">
        <v>6.84</v>
      </c>
      <c r="BA330" s="1" t="s">
        <v>852</v>
      </c>
      <c r="BC330" s="3">
        <v>6.84</v>
      </c>
      <c r="BD330" s="3">
        <v>6.6</v>
      </c>
      <c r="BE330" s="1" t="s">
        <v>852</v>
      </c>
      <c r="BH330" s="3">
        <v>8.06</v>
      </c>
      <c r="BI330" s="1" t="s">
        <v>852</v>
      </c>
    </row>
    <row r="331" spans="1:61">
      <c r="B331" s="103" t="s">
        <v>763</v>
      </c>
      <c r="C331" s="1" t="s">
        <v>288</v>
      </c>
      <c r="D331" s="2"/>
      <c r="E331" s="2"/>
      <c r="F331" s="8"/>
      <c r="G331" s="8"/>
      <c r="H331" s="8"/>
      <c r="K331" s="3"/>
      <c r="T331" s="3"/>
      <c r="X331" s="3">
        <v>23.3</v>
      </c>
      <c r="AA331" s="3">
        <v>19</v>
      </c>
      <c r="AB331" s="1" t="s">
        <v>689</v>
      </c>
      <c r="AC331" s="3">
        <f>AA331-X331</f>
        <v>-4.3000000000000007</v>
      </c>
      <c r="AG331" s="3">
        <v>10</v>
      </c>
      <c r="AJ331" s="3">
        <v>10</v>
      </c>
      <c r="AL331" s="3">
        <f t="shared" si="3"/>
        <v>0</v>
      </c>
      <c r="AM331" s="3">
        <v>10</v>
      </c>
      <c r="AO331" s="3">
        <f>AM331-AJ331</f>
        <v>0</v>
      </c>
      <c r="AQ331" s="1" t="s">
        <v>285</v>
      </c>
      <c r="AS331" s="3">
        <v>8.6999999999999993</v>
      </c>
      <c r="AV331" s="3">
        <v>8.3000000000000007</v>
      </c>
      <c r="AZ331" s="3">
        <v>7.04</v>
      </c>
      <c r="BA331" s="1" t="s">
        <v>852</v>
      </c>
      <c r="BC331" s="3">
        <v>7.04</v>
      </c>
      <c r="BD331" s="3">
        <v>5.94</v>
      </c>
      <c r="BE331" s="1" t="s">
        <v>852</v>
      </c>
      <c r="BH331" s="3">
        <v>7.83</v>
      </c>
      <c r="BI331" s="1" t="s">
        <v>852</v>
      </c>
    </row>
    <row r="332" spans="1:61">
      <c r="A332" s="6">
        <v>11</v>
      </c>
      <c r="B332" s="103" t="s">
        <v>763</v>
      </c>
      <c r="C332" s="1" t="s">
        <v>57</v>
      </c>
      <c r="D332" s="2"/>
      <c r="E332" s="2"/>
      <c r="F332" s="8"/>
      <c r="G332" s="8"/>
      <c r="H332" s="8"/>
      <c r="K332" s="3"/>
      <c r="AQ332" s="1" t="s">
        <v>285</v>
      </c>
    </row>
    <row r="333" spans="1:61">
      <c r="B333" s="103" t="s">
        <v>763</v>
      </c>
      <c r="C333" s="1" t="s">
        <v>287</v>
      </c>
      <c r="D333" s="2"/>
      <c r="E333" s="2"/>
      <c r="F333" s="8"/>
      <c r="G333" s="8"/>
      <c r="H333" s="8"/>
      <c r="K333" s="3"/>
      <c r="T333" s="3"/>
      <c r="AA333" s="3">
        <v>17</v>
      </c>
      <c r="AG333" s="3">
        <v>9.8000000000000007</v>
      </c>
      <c r="AJ333" s="3">
        <v>9.8000000000000007</v>
      </c>
      <c r="AL333" s="3">
        <f>AJ333-AG333</f>
        <v>0</v>
      </c>
      <c r="AM333" s="3">
        <v>9.8000000000000007</v>
      </c>
      <c r="AO333" s="3">
        <f>AM333-AJ333</f>
        <v>0</v>
      </c>
      <c r="AQ333" s="1" t="s">
        <v>285</v>
      </c>
      <c r="BH333" s="3">
        <v>13.05</v>
      </c>
      <c r="BI333" s="1" t="s">
        <v>852</v>
      </c>
    </row>
    <row r="334" spans="1:61">
      <c r="A334" s="6">
        <v>1</v>
      </c>
      <c r="B334" s="103" t="s">
        <v>544</v>
      </c>
      <c r="C334" s="1" t="s">
        <v>52</v>
      </c>
      <c r="D334" s="2"/>
      <c r="E334" s="2"/>
      <c r="F334" s="8">
        <v>0</v>
      </c>
      <c r="G334" s="8"/>
      <c r="H334" s="8">
        <v>0</v>
      </c>
      <c r="I334" s="8"/>
      <c r="N334" s="3" t="s">
        <v>419</v>
      </c>
      <c r="O334" s="3" t="s">
        <v>419</v>
      </c>
      <c r="AH334" s="1" t="s">
        <v>285</v>
      </c>
      <c r="AK334" s="1" t="s">
        <v>285</v>
      </c>
      <c r="AQ334" s="1" t="s">
        <v>285</v>
      </c>
      <c r="AT334" s="1" t="s">
        <v>285</v>
      </c>
      <c r="AW334" s="1" t="s">
        <v>285</v>
      </c>
    </row>
    <row r="335" spans="1:61">
      <c r="A335" s="6">
        <v>3</v>
      </c>
      <c r="B335" s="103" t="s">
        <v>544</v>
      </c>
      <c r="C335" s="1" t="s">
        <v>54</v>
      </c>
      <c r="D335" s="2"/>
      <c r="E335" s="2"/>
      <c r="F335" s="8">
        <v>0</v>
      </c>
      <c r="G335" s="8"/>
      <c r="H335" s="8">
        <v>0</v>
      </c>
      <c r="I335" s="8"/>
      <c r="N335" s="3" t="s">
        <v>419</v>
      </c>
      <c r="O335" s="3" t="s">
        <v>419</v>
      </c>
      <c r="AH335" s="1" t="s">
        <v>285</v>
      </c>
      <c r="AK335" s="1" t="s">
        <v>285</v>
      </c>
      <c r="AQ335" s="1" t="s">
        <v>285</v>
      </c>
      <c r="AT335" s="1" t="s">
        <v>285</v>
      </c>
      <c r="AW335" s="1" t="s">
        <v>285</v>
      </c>
    </row>
    <row r="336" spans="1:61">
      <c r="A336" s="6">
        <v>4</v>
      </c>
      <c r="B336" s="103" t="s">
        <v>544</v>
      </c>
      <c r="C336" s="1" t="s">
        <v>55</v>
      </c>
      <c r="D336" s="2"/>
      <c r="E336" s="2"/>
      <c r="F336" s="8">
        <v>0</v>
      </c>
      <c r="G336" s="8"/>
      <c r="H336" s="8">
        <v>0</v>
      </c>
      <c r="I336" s="8"/>
      <c r="N336" s="3" t="s">
        <v>419</v>
      </c>
      <c r="O336" s="3" t="s">
        <v>419</v>
      </c>
      <c r="AH336" s="1" t="s">
        <v>285</v>
      </c>
      <c r="AK336" s="1" t="s">
        <v>285</v>
      </c>
      <c r="AQ336" s="1" t="s">
        <v>285</v>
      </c>
      <c r="AT336" s="1" t="s">
        <v>285</v>
      </c>
      <c r="AW336" s="1" t="s">
        <v>285</v>
      </c>
    </row>
    <row r="337" spans="1:64">
      <c r="A337" s="6">
        <v>5</v>
      </c>
      <c r="B337" s="103" t="s">
        <v>544</v>
      </c>
      <c r="C337" s="1" t="s">
        <v>56</v>
      </c>
      <c r="D337" s="2"/>
      <c r="E337" s="2"/>
      <c r="F337" s="8">
        <v>0</v>
      </c>
      <c r="G337" s="8"/>
      <c r="H337" s="8">
        <v>0</v>
      </c>
      <c r="I337" s="8"/>
      <c r="N337" s="3" t="s">
        <v>419</v>
      </c>
      <c r="O337" s="3" t="s">
        <v>419</v>
      </c>
      <c r="AH337" s="1" t="s">
        <v>285</v>
      </c>
      <c r="AK337" s="1" t="s">
        <v>285</v>
      </c>
      <c r="AQ337" s="1" t="s">
        <v>285</v>
      </c>
      <c r="AT337" s="1" t="s">
        <v>285</v>
      </c>
      <c r="AW337" s="1" t="s">
        <v>285</v>
      </c>
    </row>
    <row r="338" spans="1:64" ht="9.6" customHeight="1">
      <c r="A338" s="6">
        <v>2</v>
      </c>
      <c r="B338" s="103" t="s">
        <v>544</v>
      </c>
      <c r="C338" s="1" t="s">
        <v>53</v>
      </c>
      <c r="D338" s="2"/>
      <c r="E338" s="2"/>
      <c r="F338" s="8">
        <v>15</v>
      </c>
      <c r="G338" s="8"/>
      <c r="H338" s="8">
        <v>15</v>
      </c>
      <c r="I338" s="8"/>
      <c r="L338" s="1" t="s">
        <v>533</v>
      </c>
      <c r="M338" s="3">
        <v>25</v>
      </c>
      <c r="O338" s="3">
        <v>25</v>
      </c>
      <c r="Q338" s="3">
        <f>O338-H338</f>
        <v>10</v>
      </c>
      <c r="AH338" s="1" t="s">
        <v>285</v>
      </c>
      <c r="AK338" s="1" t="s">
        <v>285</v>
      </c>
      <c r="AQ338" s="1" t="s">
        <v>285</v>
      </c>
      <c r="AT338" s="1" t="s">
        <v>285</v>
      </c>
      <c r="AW338" s="1" t="s">
        <v>285</v>
      </c>
    </row>
    <row r="339" spans="1:64">
      <c r="A339" s="6">
        <v>12</v>
      </c>
      <c r="B339" s="103" t="s">
        <v>544</v>
      </c>
      <c r="C339" s="1" t="s">
        <v>594</v>
      </c>
      <c r="D339" s="2"/>
      <c r="E339" s="2"/>
      <c r="F339" s="8">
        <v>10.130000000000001</v>
      </c>
      <c r="G339" s="8"/>
      <c r="H339" s="8">
        <v>10.130000000000001</v>
      </c>
      <c r="I339" s="8"/>
      <c r="M339" s="3">
        <v>18</v>
      </c>
      <c r="O339" s="3">
        <v>18</v>
      </c>
      <c r="Q339" s="3">
        <f>O339-H339</f>
        <v>7.8699999999999992</v>
      </c>
      <c r="R339" s="3">
        <v>9</v>
      </c>
      <c r="U339" s="3">
        <v>9</v>
      </c>
      <c r="W339" s="3">
        <f>U339-R339</f>
        <v>0</v>
      </c>
      <c r="X339" s="3">
        <v>9</v>
      </c>
      <c r="Z339" s="3">
        <f>X339-U339</f>
        <v>0</v>
      </c>
      <c r="AA339" s="3">
        <v>9</v>
      </c>
      <c r="AC339" s="3">
        <f>AA339-X339</f>
        <v>0</v>
      </c>
      <c r="AD339" s="24">
        <v>10</v>
      </c>
      <c r="AF339" s="24">
        <f>AD339-AA339</f>
        <v>1</v>
      </c>
      <c r="AH339" s="1" t="s">
        <v>285</v>
      </c>
      <c r="AK339" s="1" t="s">
        <v>285</v>
      </c>
      <c r="AM339" s="3">
        <v>8</v>
      </c>
      <c r="AQ339" s="1" t="s">
        <v>285</v>
      </c>
      <c r="AT339" s="1" t="s">
        <v>285</v>
      </c>
      <c r="AW339" s="1" t="s">
        <v>285</v>
      </c>
      <c r="AZ339" s="3">
        <v>12</v>
      </c>
      <c r="BC339" s="3">
        <v>12</v>
      </c>
      <c r="BD339" s="3">
        <v>13</v>
      </c>
      <c r="BG339" s="3">
        <v>12</v>
      </c>
      <c r="BH339" s="3">
        <v>13</v>
      </c>
      <c r="BK339" s="3">
        <v>10.14</v>
      </c>
      <c r="BL339" s="3">
        <v>13</v>
      </c>
    </row>
    <row r="340" spans="1:64">
      <c r="A340" s="6">
        <v>14</v>
      </c>
      <c r="B340" s="103" t="s">
        <v>544</v>
      </c>
      <c r="C340" s="1" t="s">
        <v>58</v>
      </c>
      <c r="D340" s="2"/>
      <c r="E340" s="2"/>
      <c r="F340" s="8">
        <v>16.440000000000001</v>
      </c>
      <c r="G340" s="8"/>
      <c r="H340" s="8">
        <v>16.440000000000001</v>
      </c>
      <c r="I340" s="8"/>
      <c r="L340" s="1" t="s">
        <v>204</v>
      </c>
      <c r="M340" s="3">
        <v>28</v>
      </c>
      <c r="O340" s="3">
        <v>28</v>
      </c>
      <c r="Q340" s="3">
        <f>O340-H340</f>
        <v>11.559999999999999</v>
      </c>
      <c r="R340" s="3">
        <v>19</v>
      </c>
      <c r="U340" s="3">
        <v>19</v>
      </c>
      <c r="W340" s="3">
        <f>U340-R340</f>
        <v>0</v>
      </c>
      <c r="X340" s="3">
        <v>19</v>
      </c>
      <c r="Z340" s="3">
        <f>X340-U340</f>
        <v>0</v>
      </c>
      <c r="AA340" s="3">
        <v>19</v>
      </c>
      <c r="AC340" s="3">
        <f>AA340-X340</f>
        <v>0</v>
      </c>
      <c r="AD340" s="24">
        <v>17</v>
      </c>
      <c r="AF340" s="24">
        <f>AD340-AA340</f>
        <v>-2</v>
      </c>
      <c r="AH340" s="1" t="s">
        <v>285</v>
      </c>
      <c r="AK340" s="1" t="s">
        <v>285</v>
      </c>
      <c r="AM340" s="3">
        <v>12.3</v>
      </c>
      <c r="AO340" s="3"/>
      <c r="AQ340" s="1" t="s">
        <v>285</v>
      </c>
      <c r="AT340" s="1" t="s">
        <v>285</v>
      </c>
      <c r="AW340" s="1" t="s">
        <v>285</v>
      </c>
      <c r="AZ340" s="3">
        <v>15</v>
      </c>
      <c r="BC340" s="3">
        <v>15</v>
      </c>
      <c r="BD340" s="3">
        <v>15</v>
      </c>
      <c r="BG340" s="3">
        <v>15</v>
      </c>
      <c r="BH340" s="3">
        <v>15</v>
      </c>
      <c r="BK340" s="3">
        <v>15</v>
      </c>
      <c r="BL340" s="3">
        <v>15.38</v>
      </c>
    </row>
    <row r="341" spans="1:64">
      <c r="B341" s="103" t="s">
        <v>544</v>
      </c>
      <c r="C341" s="1" t="s">
        <v>607</v>
      </c>
      <c r="D341" s="2"/>
      <c r="E341" s="2"/>
      <c r="F341" s="8"/>
      <c r="G341" s="8"/>
      <c r="H341" s="8"/>
      <c r="I341" s="8"/>
      <c r="Q341" s="3"/>
      <c r="U341" s="3">
        <v>8</v>
      </c>
      <c r="AH341" s="1" t="s">
        <v>285</v>
      </c>
      <c r="AK341" s="1" t="s">
        <v>285</v>
      </c>
      <c r="AQ341" s="1" t="s">
        <v>285</v>
      </c>
      <c r="AT341" s="1" t="s">
        <v>285</v>
      </c>
      <c r="AW341" s="1" t="s">
        <v>285</v>
      </c>
    </row>
    <row r="342" spans="1:64">
      <c r="B342" s="103" t="s">
        <v>544</v>
      </c>
      <c r="C342" s="1" t="s">
        <v>857</v>
      </c>
      <c r="D342" s="2"/>
      <c r="E342" s="2"/>
      <c r="F342" s="8"/>
      <c r="G342" s="8"/>
      <c r="H342" s="8"/>
      <c r="I342" s="8"/>
      <c r="AZ342" s="3">
        <v>14</v>
      </c>
      <c r="BC342" s="3">
        <v>14</v>
      </c>
      <c r="BD342" s="3">
        <v>16</v>
      </c>
      <c r="BG342" s="3">
        <v>14</v>
      </c>
      <c r="BH342" s="3">
        <v>16</v>
      </c>
      <c r="BK342" s="3">
        <v>16</v>
      </c>
      <c r="BL342" s="3">
        <v>18.18</v>
      </c>
    </row>
    <row r="343" spans="1:64">
      <c r="B343" s="103" t="s">
        <v>544</v>
      </c>
      <c r="C343" s="1" t="s">
        <v>289</v>
      </c>
      <c r="D343" s="2"/>
      <c r="E343" s="2"/>
      <c r="F343" s="8"/>
      <c r="G343" s="8"/>
      <c r="H343" s="8"/>
      <c r="I343" s="8"/>
      <c r="Q343" s="3"/>
      <c r="R343" s="3">
        <v>8</v>
      </c>
      <c r="X343" s="3">
        <v>8</v>
      </c>
      <c r="AD343" s="24">
        <v>17</v>
      </c>
      <c r="AH343" s="1" t="s">
        <v>285</v>
      </c>
      <c r="AK343" s="1" t="s">
        <v>285</v>
      </c>
      <c r="AM343" s="3">
        <v>10.15</v>
      </c>
      <c r="AQ343" s="1" t="s">
        <v>285</v>
      </c>
      <c r="AT343" s="1" t="s">
        <v>285</v>
      </c>
      <c r="AW343" s="1" t="s">
        <v>285</v>
      </c>
      <c r="AZ343" s="3">
        <v>8</v>
      </c>
      <c r="BC343" s="3">
        <v>8</v>
      </c>
      <c r="BD343" s="3">
        <v>10</v>
      </c>
      <c r="BG343" s="3">
        <v>8</v>
      </c>
      <c r="BH343" s="3">
        <v>10</v>
      </c>
      <c r="BK343" s="3">
        <v>10</v>
      </c>
      <c r="BL343" s="3">
        <v>12.6</v>
      </c>
    </row>
    <row r="344" spans="1:64">
      <c r="B344" s="103" t="s">
        <v>544</v>
      </c>
      <c r="C344" s="1" t="s">
        <v>290</v>
      </c>
      <c r="D344" s="2"/>
      <c r="E344" s="2"/>
      <c r="F344" s="8"/>
      <c r="G344" s="8"/>
      <c r="H344" s="8"/>
      <c r="I344" s="8"/>
      <c r="Q344" s="3"/>
      <c r="AD344" s="24">
        <v>25</v>
      </c>
      <c r="AH344" s="1" t="s">
        <v>285</v>
      </c>
      <c r="AK344" s="1" t="s">
        <v>285</v>
      </c>
      <c r="AQ344" s="1" t="s">
        <v>285</v>
      </c>
      <c r="AT344" s="1" t="s">
        <v>285</v>
      </c>
      <c r="AW344" s="1" t="s">
        <v>285</v>
      </c>
      <c r="AZ344" s="3">
        <v>12</v>
      </c>
      <c r="BC344" s="3">
        <v>12</v>
      </c>
      <c r="BD344" s="3">
        <v>13</v>
      </c>
      <c r="BG344" s="3">
        <v>12</v>
      </c>
      <c r="BH344" s="3">
        <v>13</v>
      </c>
      <c r="BK344" s="3">
        <v>16</v>
      </c>
      <c r="BL344" s="3">
        <v>18</v>
      </c>
    </row>
    <row r="345" spans="1:64">
      <c r="B345" s="103" t="s">
        <v>544</v>
      </c>
      <c r="C345" s="1" t="s">
        <v>64</v>
      </c>
      <c r="D345" s="2"/>
      <c r="E345" s="2"/>
      <c r="F345" s="8"/>
      <c r="G345" s="8"/>
      <c r="H345" s="8"/>
      <c r="I345" s="8"/>
      <c r="Q345" s="3"/>
      <c r="R345" s="3">
        <v>35</v>
      </c>
      <c r="U345" s="3">
        <v>35</v>
      </c>
      <c r="W345" s="3">
        <f>U345-R345</f>
        <v>0</v>
      </c>
      <c r="X345" s="3">
        <v>35</v>
      </c>
      <c r="Z345" s="3">
        <f>X345-U345</f>
        <v>0</v>
      </c>
      <c r="AA345" s="3">
        <v>35</v>
      </c>
      <c r="AC345" s="3">
        <f>AA345-X345</f>
        <v>0</v>
      </c>
      <c r="AD345" s="24">
        <v>35</v>
      </c>
      <c r="AF345" s="24">
        <f>AD345-AA345</f>
        <v>0</v>
      </c>
      <c r="AH345" s="1" t="s">
        <v>285</v>
      </c>
      <c r="AK345" s="1" t="s">
        <v>285</v>
      </c>
      <c r="AM345" s="3">
        <v>26</v>
      </c>
      <c r="AO345" s="3"/>
      <c r="AQ345" s="1" t="s">
        <v>285</v>
      </c>
      <c r="AT345" s="1" t="s">
        <v>285</v>
      </c>
      <c r="AW345" s="1" t="s">
        <v>285</v>
      </c>
      <c r="AZ345" s="3">
        <v>16</v>
      </c>
      <c r="BC345" s="3">
        <v>16</v>
      </c>
      <c r="BD345" s="3">
        <v>17</v>
      </c>
      <c r="BG345" s="3">
        <v>16</v>
      </c>
      <c r="BH345" s="3">
        <v>17</v>
      </c>
      <c r="BK345" s="3">
        <v>15.75</v>
      </c>
      <c r="BL345" s="3">
        <v>16.5</v>
      </c>
    </row>
    <row r="346" spans="1:64">
      <c r="B346" s="103" t="s">
        <v>544</v>
      </c>
      <c r="C346" s="1" t="s">
        <v>286</v>
      </c>
      <c r="D346" s="2"/>
      <c r="E346" s="2"/>
      <c r="F346" s="8"/>
      <c r="G346" s="8"/>
      <c r="H346" s="8"/>
      <c r="I346" s="8"/>
      <c r="Q346" s="3"/>
      <c r="R346" s="3">
        <v>45</v>
      </c>
      <c r="U346" s="3">
        <v>45</v>
      </c>
      <c r="W346" s="3">
        <f>U346-R346</f>
        <v>0</v>
      </c>
      <c r="X346" s="3">
        <v>45</v>
      </c>
      <c r="Z346" s="3">
        <f>X346-U346</f>
        <v>0</v>
      </c>
      <c r="AA346" s="3">
        <v>47</v>
      </c>
      <c r="AC346" s="3">
        <f>AA346-X346</f>
        <v>2</v>
      </c>
      <c r="AD346" s="24">
        <v>47</v>
      </c>
      <c r="AF346" s="24">
        <f>AD346-AA346</f>
        <v>0</v>
      </c>
      <c r="AH346" s="1" t="s">
        <v>285</v>
      </c>
      <c r="AK346" s="1" t="s">
        <v>285</v>
      </c>
      <c r="AM346" s="3">
        <v>26</v>
      </c>
      <c r="AQ346" s="1" t="s">
        <v>285</v>
      </c>
      <c r="AT346" s="1" t="s">
        <v>285</v>
      </c>
      <c r="AW346" s="1" t="s">
        <v>285</v>
      </c>
      <c r="AZ346" s="3">
        <v>16</v>
      </c>
      <c r="BC346" s="3">
        <v>16</v>
      </c>
      <c r="BD346" s="3">
        <v>18</v>
      </c>
      <c r="BG346" s="3">
        <v>16</v>
      </c>
      <c r="BH346" s="3">
        <v>18</v>
      </c>
      <c r="BK346" s="3">
        <v>15.38</v>
      </c>
      <c r="BL346" s="3">
        <v>17</v>
      </c>
    </row>
    <row r="347" spans="1:64">
      <c r="B347" s="103" t="s">
        <v>544</v>
      </c>
      <c r="C347" s="1" t="s">
        <v>288</v>
      </c>
      <c r="D347" s="2"/>
      <c r="E347" s="2"/>
      <c r="F347" s="8"/>
      <c r="G347" s="8"/>
      <c r="H347" s="8"/>
      <c r="I347" s="8"/>
      <c r="Q347" s="3"/>
      <c r="U347" s="3">
        <v>45</v>
      </c>
      <c r="X347" s="3">
        <v>45</v>
      </c>
      <c r="Z347" s="3">
        <f>X347-U347</f>
        <v>0</v>
      </c>
      <c r="AA347" s="3">
        <v>45</v>
      </c>
      <c r="AC347" s="3">
        <f>AA347-X347</f>
        <v>0</v>
      </c>
      <c r="AD347" s="24">
        <v>28</v>
      </c>
      <c r="AF347" s="24">
        <f>AD347-AA347</f>
        <v>-17</v>
      </c>
      <c r="AH347" s="1" t="s">
        <v>285</v>
      </c>
      <c r="AK347" s="1" t="s">
        <v>285</v>
      </c>
      <c r="AQ347" s="1" t="s">
        <v>285</v>
      </c>
      <c r="AT347" s="1" t="s">
        <v>285</v>
      </c>
      <c r="AW347" s="1" t="s">
        <v>285</v>
      </c>
      <c r="AZ347" s="3">
        <v>16</v>
      </c>
      <c r="BC347" s="3">
        <v>16</v>
      </c>
      <c r="BD347" s="3">
        <v>18</v>
      </c>
      <c r="BG347" s="3">
        <v>16</v>
      </c>
      <c r="BH347" s="3">
        <v>18</v>
      </c>
      <c r="BK347" s="3">
        <v>18.18</v>
      </c>
      <c r="BL347" s="3">
        <v>22.18</v>
      </c>
    </row>
    <row r="348" spans="1:64">
      <c r="A348" s="6">
        <v>11</v>
      </c>
      <c r="B348" s="103" t="s">
        <v>544</v>
      </c>
      <c r="C348" s="1" t="s">
        <v>57</v>
      </c>
      <c r="D348" s="2"/>
      <c r="E348" s="2"/>
      <c r="F348" s="8">
        <v>0</v>
      </c>
      <c r="G348" s="8"/>
      <c r="H348" s="8">
        <v>0</v>
      </c>
      <c r="I348" s="8"/>
      <c r="N348" s="3" t="s">
        <v>419</v>
      </c>
      <c r="O348" s="3" t="s">
        <v>419</v>
      </c>
      <c r="AH348" s="1" t="s">
        <v>285</v>
      </c>
      <c r="AK348" s="1" t="s">
        <v>285</v>
      </c>
      <c r="AQ348" s="1" t="s">
        <v>285</v>
      </c>
      <c r="AT348" s="1" t="s">
        <v>285</v>
      </c>
      <c r="AW348" s="1" t="s">
        <v>285</v>
      </c>
    </row>
    <row r="349" spans="1:64">
      <c r="B349" s="103" t="s">
        <v>539</v>
      </c>
      <c r="C349" s="1" t="s">
        <v>964</v>
      </c>
      <c r="D349" s="2"/>
      <c r="E349" s="2"/>
      <c r="F349" s="8"/>
      <c r="G349" s="8"/>
      <c r="H349" s="8"/>
      <c r="I349" s="8"/>
      <c r="BD349" s="3">
        <v>10</v>
      </c>
      <c r="BE349" s="1" t="s">
        <v>912</v>
      </c>
      <c r="BG349" s="3">
        <v>10</v>
      </c>
      <c r="BH349" s="3">
        <v>10</v>
      </c>
      <c r="BI349" s="1" t="s">
        <v>912</v>
      </c>
    </row>
    <row r="350" spans="1:64">
      <c r="B350" s="103" t="s">
        <v>539</v>
      </c>
      <c r="C350" s="1" t="s">
        <v>911</v>
      </c>
      <c r="D350" s="2"/>
      <c r="E350" s="2"/>
      <c r="F350" s="8"/>
      <c r="G350" s="8"/>
      <c r="H350" s="8"/>
      <c r="I350" s="8"/>
      <c r="AZ350" s="3">
        <v>20</v>
      </c>
      <c r="BA350" s="1" t="s">
        <v>912</v>
      </c>
    </row>
    <row r="351" spans="1:64">
      <c r="A351" s="6">
        <v>1</v>
      </c>
      <c r="B351" s="103" t="s">
        <v>539</v>
      </c>
      <c r="C351" s="1" t="s">
        <v>52</v>
      </c>
      <c r="D351" s="2"/>
      <c r="E351" s="2"/>
      <c r="F351" s="8"/>
      <c r="G351" s="8"/>
      <c r="H351" s="8"/>
      <c r="I351" s="8"/>
      <c r="N351" s="3" t="s">
        <v>420</v>
      </c>
      <c r="O351" s="3" t="s">
        <v>420</v>
      </c>
    </row>
    <row r="352" spans="1:64">
      <c r="A352" s="6">
        <v>3</v>
      </c>
      <c r="B352" s="103" t="s">
        <v>539</v>
      </c>
      <c r="C352" s="1" t="s">
        <v>54</v>
      </c>
      <c r="D352" s="2"/>
      <c r="E352" s="2"/>
      <c r="F352" s="8"/>
      <c r="G352" s="8"/>
      <c r="H352" s="8"/>
      <c r="I352" s="8"/>
      <c r="N352" s="3" t="s">
        <v>420</v>
      </c>
      <c r="O352" s="3" t="s">
        <v>420</v>
      </c>
    </row>
    <row r="353" spans="1:61">
      <c r="A353" s="6">
        <v>4</v>
      </c>
      <c r="B353" s="103" t="s">
        <v>539</v>
      </c>
      <c r="C353" s="1" t="s">
        <v>55</v>
      </c>
      <c r="D353" s="2"/>
      <c r="E353" s="2"/>
      <c r="F353" s="8"/>
      <c r="G353" s="8"/>
      <c r="H353" s="8"/>
      <c r="I353" s="8"/>
      <c r="N353" s="3" t="s">
        <v>420</v>
      </c>
      <c r="O353" s="3" t="s">
        <v>420</v>
      </c>
    </row>
    <row r="354" spans="1:61">
      <c r="A354" s="6">
        <v>5</v>
      </c>
      <c r="B354" s="103" t="s">
        <v>539</v>
      </c>
      <c r="C354" s="1" t="s">
        <v>56</v>
      </c>
      <c r="D354" s="2"/>
      <c r="E354" s="2"/>
      <c r="F354" s="8"/>
      <c r="G354" s="8"/>
      <c r="H354" s="8"/>
      <c r="I354" s="8"/>
      <c r="N354" s="3" t="s">
        <v>420</v>
      </c>
      <c r="O354" s="3" t="s">
        <v>420</v>
      </c>
    </row>
    <row r="355" spans="1:61">
      <c r="A355" s="6">
        <v>2</v>
      </c>
      <c r="B355" s="103" t="s">
        <v>539</v>
      </c>
      <c r="C355" s="1" t="s">
        <v>53</v>
      </c>
      <c r="D355" s="2">
        <v>6</v>
      </c>
      <c r="E355" s="2"/>
      <c r="F355" s="8">
        <v>16</v>
      </c>
      <c r="G355" s="8"/>
      <c r="H355" s="8">
        <v>16</v>
      </c>
      <c r="I355" s="10">
        <f>H355-D355</f>
        <v>10</v>
      </c>
      <c r="L355" s="1" t="s">
        <v>620</v>
      </c>
      <c r="M355" s="3">
        <v>18</v>
      </c>
      <c r="O355" s="3">
        <v>18</v>
      </c>
      <c r="Q355" s="3">
        <f>O355-H355</f>
        <v>2</v>
      </c>
      <c r="R355" s="3">
        <v>15</v>
      </c>
      <c r="T355" s="3">
        <f>R355-O355</f>
        <v>-3</v>
      </c>
      <c r="U355" s="3">
        <v>18</v>
      </c>
      <c r="W355" s="3">
        <f>U355-R355</f>
        <v>3</v>
      </c>
      <c r="AG355" s="3">
        <v>18</v>
      </c>
    </row>
    <row r="356" spans="1:61">
      <c r="A356" s="6">
        <v>12</v>
      </c>
      <c r="B356" s="103" t="s">
        <v>539</v>
      </c>
      <c r="C356" s="1" t="s">
        <v>594</v>
      </c>
      <c r="D356" s="2">
        <v>6</v>
      </c>
      <c r="E356" s="2"/>
      <c r="F356" s="8">
        <v>16</v>
      </c>
      <c r="G356" s="8"/>
      <c r="H356" s="8">
        <v>16</v>
      </c>
      <c r="I356" s="8">
        <f>H356-D356</f>
        <v>10</v>
      </c>
      <c r="L356" s="1" t="s">
        <v>518</v>
      </c>
      <c r="M356" s="3">
        <v>16</v>
      </c>
      <c r="O356" s="3">
        <v>16</v>
      </c>
      <c r="Q356" s="3">
        <f>O356-H356</f>
        <v>0</v>
      </c>
      <c r="R356" s="3">
        <v>10</v>
      </c>
      <c r="T356" s="3">
        <f>R356-O356</f>
        <v>-6</v>
      </c>
      <c r="U356" s="3">
        <v>16</v>
      </c>
      <c r="W356" s="3">
        <f>U356-R356</f>
        <v>6</v>
      </c>
      <c r="X356" s="3">
        <v>15</v>
      </c>
      <c r="Z356" s="3">
        <f>X356-U356</f>
        <v>-1</v>
      </c>
      <c r="AA356" s="3">
        <v>15</v>
      </c>
      <c r="AC356" s="3">
        <f>AA356-X356</f>
        <v>0</v>
      </c>
      <c r="AD356" s="24">
        <v>15</v>
      </c>
      <c r="AG356" s="3">
        <v>16</v>
      </c>
      <c r="AI356" s="3">
        <f>AG356-AD356</f>
        <v>1</v>
      </c>
      <c r="AJ356" s="3">
        <v>15</v>
      </c>
      <c r="AL356" s="3">
        <f>AJ356-AG356</f>
        <v>-1</v>
      </c>
      <c r="AM356" s="3">
        <v>15</v>
      </c>
      <c r="AP356" s="3">
        <v>9</v>
      </c>
      <c r="AS356" s="3">
        <v>10</v>
      </c>
      <c r="AV356" s="3">
        <v>9</v>
      </c>
      <c r="AY356" s="3">
        <v>9</v>
      </c>
      <c r="AZ356" s="3">
        <v>12</v>
      </c>
      <c r="BA356" s="1" t="s">
        <v>852</v>
      </c>
      <c r="BC356" s="3">
        <v>12</v>
      </c>
      <c r="BD356" s="3">
        <v>10</v>
      </c>
      <c r="BE356" s="1" t="s">
        <v>852</v>
      </c>
      <c r="BG356" s="3">
        <v>10</v>
      </c>
      <c r="BH356" s="3">
        <v>12</v>
      </c>
      <c r="BI356" s="1" t="s">
        <v>852</v>
      </c>
    </row>
    <row r="357" spans="1:61">
      <c r="A357" s="6">
        <v>14</v>
      </c>
      <c r="B357" s="103" t="s">
        <v>539</v>
      </c>
      <c r="C357" s="1" t="s">
        <v>58</v>
      </c>
      <c r="D357" s="2">
        <v>18</v>
      </c>
      <c r="E357" s="2"/>
      <c r="F357" s="8">
        <v>22</v>
      </c>
      <c r="G357" s="8"/>
      <c r="H357" s="8">
        <v>22</v>
      </c>
      <c r="I357" s="8">
        <f>H357-D357</f>
        <v>4</v>
      </c>
      <c r="L357" s="1" t="s">
        <v>106</v>
      </c>
      <c r="M357" s="3">
        <v>17</v>
      </c>
      <c r="O357" s="3">
        <v>17</v>
      </c>
      <c r="Q357" s="3">
        <f>O357-H357</f>
        <v>-5</v>
      </c>
      <c r="R357" s="3">
        <v>20</v>
      </c>
      <c r="T357" s="3">
        <f>R357-O357</f>
        <v>3</v>
      </c>
      <c r="U357" s="3">
        <v>25</v>
      </c>
      <c r="W357" s="3">
        <f>U357-R357</f>
        <v>5</v>
      </c>
      <c r="X357" s="3">
        <v>18</v>
      </c>
      <c r="Z357" s="3">
        <f>X357-U357</f>
        <v>-7</v>
      </c>
      <c r="AA357" s="3">
        <v>18</v>
      </c>
      <c r="AC357" s="3">
        <f>AA357-X357</f>
        <v>0</v>
      </c>
      <c r="AG357" s="3">
        <v>26</v>
      </c>
      <c r="AI357" s="3">
        <f>AG357-AD357</f>
        <v>26</v>
      </c>
      <c r="AY357" s="3">
        <v>20</v>
      </c>
      <c r="AZ357" s="3">
        <v>25</v>
      </c>
      <c r="BA357" s="1" t="s">
        <v>852</v>
      </c>
      <c r="BC357" s="3">
        <v>25</v>
      </c>
      <c r="BD357" s="3">
        <v>15</v>
      </c>
      <c r="BE357" s="1" t="s">
        <v>852</v>
      </c>
      <c r="BG357" s="3">
        <v>25</v>
      </c>
      <c r="BH357" s="3">
        <v>25</v>
      </c>
      <c r="BI357" s="1" t="s">
        <v>852</v>
      </c>
    </row>
    <row r="358" spans="1:61" ht="9.6" customHeight="1">
      <c r="B358" s="103" t="s">
        <v>539</v>
      </c>
      <c r="C358" s="1" t="s">
        <v>289</v>
      </c>
      <c r="D358" s="2"/>
      <c r="E358" s="2"/>
      <c r="F358" s="8"/>
      <c r="G358" s="8"/>
      <c r="H358" s="8"/>
      <c r="I358" s="8"/>
      <c r="AY358" s="3">
        <v>16</v>
      </c>
      <c r="AZ358" s="3">
        <v>18</v>
      </c>
      <c r="BA358" s="1" t="s">
        <v>852</v>
      </c>
      <c r="BC358" s="3">
        <v>18</v>
      </c>
      <c r="BD358" s="3">
        <v>30</v>
      </c>
      <c r="BE358" s="1" t="s">
        <v>852</v>
      </c>
      <c r="BG358" s="3">
        <v>30</v>
      </c>
      <c r="BH358" s="3">
        <v>30</v>
      </c>
      <c r="BI358" s="1" t="s">
        <v>852</v>
      </c>
    </row>
    <row r="359" spans="1:61" ht="9.6" customHeight="1">
      <c r="B359" s="103" t="s">
        <v>539</v>
      </c>
      <c r="C359" s="1" t="s">
        <v>290</v>
      </c>
      <c r="D359" s="2"/>
      <c r="E359" s="2"/>
      <c r="F359" s="8"/>
      <c r="G359" s="8"/>
      <c r="H359" s="8"/>
      <c r="I359" s="8"/>
      <c r="BC359" s="3">
        <v>35</v>
      </c>
      <c r="BD359" s="3">
        <v>30</v>
      </c>
      <c r="BE359" s="1" t="s">
        <v>852</v>
      </c>
      <c r="BG359" s="3">
        <v>35</v>
      </c>
      <c r="BH359" s="3">
        <v>30</v>
      </c>
      <c r="BI359" s="1" t="s">
        <v>852</v>
      </c>
    </row>
    <row r="360" spans="1:61">
      <c r="B360" s="103" t="s">
        <v>539</v>
      </c>
      <c r="C360" s="1" t="s">
        <v>64</v>
      </c>
      <c r="D360" s="2"/>
      <c r="E360" s="2"/>
      <c r="F360" s="8"/>
      <c r="G360" s="8"/>
      <c r="H360" s="8"/>
      <c r="I360" s="8"/>
      <c r="Q360" s="3"/>
      <c r="T360" s="3"/>
      <c r="W360" s="3"/>
      <c r="X360" s="3">
        <v>56</v>
      </c>
      <c r="AA360" s="3">
        <v>56</v>
      </c>
      <c r="AC360" s="3">
        <f>AA360-X360</f>
        <v>0</v>
      </c>
      <c r="AG360" s="3">
        <v>33</v>
      </c>
      <c r="AY360" s="3">
        <v>20</v>
      </c>
      <c r="AZ360" s="3">
        <v>25</v>
      </c>
      <c r="BA360" s="1" t="s">
        <v>852</v>
      </c>
      <c r="BC360" s="3">
        <v>25</v>
      </c>
      <c r="BD360" s="3">
        <v>35</v>
      </c>
      <c r="BE360" s="1" t="s">
        <v>852</v>
      </c>
      <c r="BG360" s="3">
        <v>35</v>
      </c>
      <c r="BH360" s="3">
        <v>35</v>
      </c>
      <c r="BI360" s="1" t="s">
        <v>852</v>
      </c>
    </row>
    <row r="361" spans="1:61">
      <c r="B361" s="103" t="s">
        <v>539</v>
      </c>
      <c r="C361" s="1" t="s">
        <v>286</v>
      </c>
      <c r="D361" s="2"/>
      <c r="E361" s="2"/>
      <c r="F361" s="8"/>
      <c r="G361" s="8"/>
      <c r="H361" s="8"/>
      <c r="I361" s="8"/>
      <c r="Q361" s="3"/>
      <c r="T361" s="3"/>
      <c r="W361" s="3"/>
      <c r="X361" s="3">
        <v>56</v>
      </c>
      <c r="AA361" s="3">
        <v>55</v>
      </c>
      <c r="AC361" s="3">
        <f>AA361-X361</f>
        <v>-1</v>
      </c>
      <c r="AG361" s="3">
        <v>33</v>
      </c>
      <c r="AY361" s="3">
        <v>20</v>
      </c>
      <c r="AZ361" s="3">
        <v>25</v>
      </c>
      <c r="BA361" s="1" t="s">
        <v>852</v>
      </c>
      <c r="BC361" s="3">
        <v>25</v>
      </c>
      <c r="BD361" s="3">
        <v>35</v>
      </c>
      <c r="BE361" s="1" t="s">
        <v>852</v>
      </c>
      <c r="BG361" s="3">
        <v>35</v>
      </c>
      <c r="BH361" s="3">
        <v>35</v>
      </c>
      <c r="BI361" s="1" t="s">
        <v>852</v>
      </c>
    </row>
    <row r="362" spans="1:61">
      <c r="B362" s="103" t="s">
        <v>539</v>
      </c>
      <c r="C362" s="1" t="s">
        <v>288</v>
      </c>
      <c r="D362" s="2"/>
      <c r="E362" s="2"/>
      <c r="F362" s="8"/>
      <c r="G362" s="8"/>
      <c r="H362" s="8"/>
      <c r="I362" s="8"/>
      <c r="Q362" s="3"/>
      <c r="T362" s="3"/>
      <c r="W362" s="3"/>
      <c r="X362" s="3">
        <v>56</v>
      </c>
      <c r="AG362" s="3">
        <v>33</v>
      </c>
      <c r="AY362" s="3">
        <v>20</v>
      </c>
      <c r="AZ362" s="3">
        <v>25</v>
      </c>
      <c r="BA362" s="1" t="s">
        <v>852</v>
      </c>
      <c r="BC362" s="3">
        <v>25</v>
      </c>
      <c r="BD362" s="3">
        <v>35</v>
      </c>
      <c r="BE362" s="1" t="s">
        <v>852</v>
      </c>
      <c r="BG362" s="3">
        <v>25</v>
      </c>
      <c r="BH362" s="3">
        <v>35</v>
      </c>
      <c r="BI362" s="1" t="s">
        <v>852</v>
      </c>
    </row>
    <row r="363" spans="1:61">
      <c r="A363" s="6">
        <v>11</v>
      </c>
      <c r="B363" s="103" t="s">
        <v>539</v>
      </c>
      <c r="C363" s="1" t="s">
        <v>57</v>
      </c>
      <c r="D363" s="2"/>
      <c r="E363" s="2"/>
      <c r="F363" s="8"/>
      <c r="G363" s="8"/>
      <c r="H363" s="8"/>
      <c r="I363" s="8"/>
      <c r="N363" s="3" t="s">
        <v>420</v>
      </c>
      <c r="O363" s="3" t="s">
        <v>420</v>
      </c>
    </row>
    <row r="364" spans="1:61">
      <c r="B364" s="103" t="s">
        <v>539</v>
      </c>
      <c r="C364" s="1" t="s">
        <v>287</v>
      </c>
      <c r="D364" s="2"/>
      <c r="E364" s="2"/>
      <c r="F364" s="8"/>
      <c r="G364" s="8"/>
      <c r="H364" s="8"/>
      <c r="I364" s="8"/>
      <c r="AG364" s="3">
        <v>35</v>
      </c>
      <c r="AY364" s="3">
        <v>20</v>
      </c>
      <c r="AZ364" s="3">
        <v>25</v>
      </c>
      <c r="BA364" s="1" t="s">
        <v>852</v>
      </c>
      <c r="BC364" s="3">
        <v>20</v>
      </c>
      <c r="BD364" s="3">
        <v>25</v>
      </c>
      <c r="BE364" s="1" t="s">
        <v>852</v>
      </c>
      <c r="BG364" s="3">
        <v>35</v>
      </c>
      <c r="BH364" s="3">
        <v>35</v>
      </c>
      <c r="BI364" s="1" t="s">
        <v>852</v>
      </c>
    </row>
    <row r="365" spans="1:61">
      <c r="A365" s="6">
        <v>1</v>
      </c>
      <c r="B365" s="103" t="s">
        <v>769</v>
      </c>
      <c r="C365" s="1" t="s">
        <v>52</v>
      </c>
      <c r="D365" s="2" t="s">
        <v>685</v>
      </c>
      <c r="E365" s="2"/>
      <c r="F365" s="10">
        <v>11.76</v>
      </c>
      <c r="G365" s="10"/>
      <c r="H365" s="10">
        <v>11.76</v>
      </c>
      <c r="I365" s="10"/>
      <c r="J365" s="108"/>
      <c r="L365" s="1" t="s">
        <v>787</v>
      </c>
      <c r="AM365" s="1"/>
    </row>
    <row r="366" spans="1:61">
      <c r="A366" s="6">
        <v>3</v>
      </c>
      <c r="B366" s="103" t="s">
        <v>769</v>
      </c>
      <c r="C366" s="1" t="s">
        <v>54</v>
      </c>
      <c r="D366" s="2" t="s">
        <v>685</v>
      </c>
      <c r="E366" s="2"/>
      <c r="F366" s="10">
        <v>0</v>
      </c>
      <c r="G366" s="10"/>
      <c r="H366" s="10">
        <v>0</v>
      </c>
      <c r="I366" s="10"/>
      <c r="J366" s="108"/>
      <c r="AM366" s="1"/>
    </row>
    <row r="367" spans="1:61">
      <c r="A367" s="6">
        <v>4</v>
      </c>
      <c r="B367" s="103" t="s">
        <v>769</v>
      </c>
      <c r="C367" s="1" t="s">
        <v>55</v>
      </c>
      <c r="D367" s="2" t="s">
        <v>685</v>
      </c>
      <c r="E367" s="2"/>
      <c r="F367" s="10">
        <v>0</v>
      </c>
      <c r="G367" s="10"/>
      <c r="H367" s="10">
        <v>0</v>
      </c>
      <c r="I367" s="10"/>
      <c r="J367" s="108"/>
      <c r="AM367" s="1"/>
    </row>
    <row r="368" spans="1:61">
      <c r="A368" s="6">
        <v>5</v>
      </c>
      <c r="B368" s="103" t="s">
        <v>769</v>
      </c>
      <c r="C368" s="1" t="s">
        <v>56</v>
      </c>
      <c r="D368" s="2" t="s">
        <v>685</v>
      </c>
      <c r="E368" s="2"/>
      <c r="F368" s="10">
        <v>0</v>
      </c>
      <c r="G368" s="10"/>
      <c r="H368" s="10">
        <v>0</v>
      </c>
      <c r="I368" s="10"/>
      <c r="J368" s="108"/>
      <c r="AM368" s="1"/>
    </row>
    <row r="369" spans="1:61">
      <c r="A369" s="6">
        <v>2</v>
      </c>
      <c r="B369" s="103" t="s">
        <v>769</v>
      </c>
      <c r="C369" s="1" t="s">
        <v>53</v>
      </c>
      <c r="D369" s="2">
        <v>6</v>
      </c>
      <c r="E369" s="2"/>
      <c r="F369" s="10">
        <v>5.8</v>
      </c>
      <c r="G369" s="10"/>
      <c r="H369" s="10">
        <v>5.8</v>
      </c>
      <c r="I369" s="10">
        <f>H369-D369</f>
        <v>-0.20000000000000018</v>
      </c>
      <c r="J369" s="108"/>
      <c r="K369" s="3"/>
      <c r="M369" s="3">
        <v>4.3</v>
      </c>
      <c r="O369" s="3">
        <v>4.3</v>
      </c>
      <c r="Q369" s="3">
        <f>O369-H369</f>
        <v>-1.5</v>
      </c>
      <c r="R369" s="3">
        <v>4.5</v>
      </c>
      <c r="T369" s="3">
        <f>R369-O369</f>
        <v>0.20000000000000018</v>
      </c>
      <c r="U369" s="3">
        <v>3.71</v>
      </c>
      <c r="W369" s="3">
        <f>U369-R369</f>
        <v>-0.79</v>
      </c>
      <c r="X369" s="3">
        <v>4.5</v>
      </c>
      <c r="Z369" s="3">
        <f>X369-U369</f>
        <v>0.79</v>
      </c>
      <c r="AA369" s="3">
        <v>4.5</v>
      </c>
      <c r="AC369" s="3">
        <f>AA369-X369</f>
        <v>0</v>
      </c>
      <c r="AM369" s="1"/>
    </row>
    <row r="370" spans="1:61">
      <c r="B370" s="103" t="s">
        <v>769</v>
      </c>
      <c r="C370" s="1" t="s">
        <v>597</v>
      </c>
      <c r="D370" s="2"/>
      <c r="E370" s="2"/>
      <c r="F370" s="10"/>
      <c r="G370" s="10"/>
      <c r="H370" s="10"/>
      <c r="J370" s="108"/>
      <c r="K370" s="3"/>
      <c r="Q370" s="3"/>
      <c r="T370" s="3"/>
      <c r="AJ370" s="3">
        <v>2.2000000000000002</v>
      </c>
      <c r="AM370" s="1">
        <v>2.15</v>
      </c>
      <c r="AP370" s="3">
        <v>2.2000000000000002</v>
      </c>
      <c r="AZ370" s="3">
        <v>14.63</v>
      </c>
      <c r="BA370" s="1" t="s">
        <v>852</v>
      </c>
      <c r="BC370" s="3">
        <v>14.63</v>
      </c>
      <c r="BD370" s="3">
        <v>14.65</v>
      </c>
      <c r="BE370" s="1" t="s">
        <v>852</v>
      </c>
      <c r="BG370" s="3">
        <v>14.63</v>
      </c>
    </row>
    <row r="371" spans="1:61">
      <c r="A371" s="6">
        <v>12</v>
      </c>
      <c r="B371" s="103" t="s">
        <v>769</v>
      </c>
      <c r="C371" s="1" t="s">
        <v>594</v>
      </c>
      <c r="D371" s="2">
        <v>2.5</v>
      </c>
      <c r="E371" s="2"/>
      <c r="F371" s="10">
        <v>1.6</v>
      </c>
      <c r="G371" s="10"/>
      <c r="H371" s="10">
        <v>1.6</v>
      </c>
      <c r="I371" s="9">
        <f>H371-D371</f>
        <v>-0.89999999999999991</v>
      </c>
      <c r="J371" s="108"/>
      <c r="K371" s="3"/>
      <c r="M371" s="3">
        <v>2.3199999999999998</v>
      </c>
      <c r="O371" s="3">
        <v>2.3199999999999998</v>
      </c>
      <c r="Q371" s="3">
        <f>O371-H371</f>
        <v>0.71999999999999975</v>
      </c>
      <c r="R371" s="3">
        <v>2.75</v>
      </c>
      <c r="T371" s="3">
        <f>R371-O371</f>
        <v>0.43000000000000016</v>
      </c>
      <c r="U371" s="3">
        <v>2.8</v>
      </c>
      <c r="W371" s="3">
        <f>U371-R371</f>
        <v>4.9999999999999822E-2</v>
      </c>
      <c r="X371" s="3">
        <v>3</v>
      </c>
      <c r="Z371" s="3">
        <f>X371-U371</f>
        <v>0.20000000000000018</v>
      </c>
      <c r="AA371" s="3">
        <v>4.38</v>
      </c>
      <c r="AC371" s="3">
        <f>AA371-X371</f>
        <v>1.38</v>
      </c>
      <c r="AD371" s="24">
        <v>4.5599999999999996</v>
      </c>
      <c r="AF371" s="24">
        <f>AD371-AA371</f>
        <v>0.17999999999999972</v>
      </c>
      <c r="AG371" s="3">
        <v>4.7699999999999996</v>
      </c>
      <c r="AI371" s="3">
        <f>AG371-AD371</f>
        <v>0.20999999999999996</v>
      </c>
      <c r="AJ371" s="3">
        <v>3.7</v>
      </c>
      <c r="AL371" s="3">
        <f>AJ371-AG371</f>
        <v>-1.0699999999999994</v>
      </c>
      <c r="AM371" s="1">
        <v>3.72</v>
      </c>
      <c r="AO371" s="3">
        <f>AM371-AJ371</f>
        <v>2.0000000000000018E-2</v>
      </c>
      <c r="AP371" s="3">
        <v>3.85</v>
      </c>
      <c r="AS371" s="3">
        <v>4.41</v>
      </c>
      <c r="AV371" s="3">
        <v>4.41</v>
      </c>
      <c r="AZ371" s="3">
        <v>4.0999999999999996</v>
      </c>
      <c r="BA371" s="1" t="s">
        <v>852</v>
      </c>
      <c r="BC371" s="3">
        <v>4.0999999999999996</v>
      </c>
      <c r="BD371" s="3">
        <v>3.86</v>
      </c>
      <c r="BE371" s="1" t="s">
        <v>852</v>
      </c>
      <c r="BG371" s="3">
        <v>3.86</v>
      </c>
      <c r="BH371" s="3">
        <v>4.4400000000000004</v>
      </c>
      <c r="BI371" s="1" t="s">
        <v>852</v>
      </c>
    </row>
    <row r="372" spans="1:61">
      <c r="A372" s="6">
        <v>14</v>
      </c>
      <c r="B372" s="103" t="s">
        <v>769</v>
      </c>
      <c r="C372" s="1" t="s">
        <v>58</v>
      </c>
      <c r="D372" s="2">
        <v>10</v>
      </c>
      <c r="E372" s="2"/>
      <c r="F372" s="10">
        <v>7.35</v>
      </c>
      <c r="G372" s="10"/>
      <c r="H372" s="10">
        <v>7.35</v>
      </c>
      <c r="I372" s="9">
        <f>H372-D372</f>
        <v>-2.6500000000000004</v>
      </c>
      <c r="J372" s="108"/>
      <c r="K372" s="3"/>
      <c r="M372" s="3">
        <v>6.23</v>
      </c>
      <c r="O372" s="3">
        <v>6.23</v>
      </c>
      <c r="Q372" s="3">
        <f>O372-H372</f>
        <v>-1.1199999999999992</v>
      </c>
      <c r="R372" s="3">
        <v>5.7</v>
      </c>
      <c r="T372" s="3">
        <f>R372-O372</f>
        <v>-0.53000000000000025</v>
      </c>
      <c r="U372" s="3">
        <v>6.37</v>
      </c>
      <c r="W372" s="3">
        <f>U372-R372</f>
        <v>0.66999999999999993</v>
      </c>
      <c r="X372" s="3">
        <v>8.82</v>
      </c>
      <c r="Z372" s="3">
        <f>X372-U372</f>
        <v>2.4500000000000002</v>
      </c>
      <c r="AA372" s="3">
        <v>12.41</v>
      </c>
      <c r="AC372" s="3">
        <f>AA372-X372</f>
        <v>3.59</v>
      </c>
      <c r="AJ372" s="3">
        <v>5.9</v>
      </c>
      <c r="AL372" s="3"/>
      <c r="AM372" s="1">
        <v>5.89</v>
      </c>
      <c r="AO372" s="3">
        <f>AM372-AJ372</f>
        <v>-1.0000000000000675E-2</v>
      </c>
      <c r="AP372" s="3">
        <v>5.91</v>
      </c>
      <c r="AS372" s="3">
        <v>7.35</v>
      </c>
      <c r="AV372" s="3">
        <v>6.62</v>
      </c>
      <c r="AZ372" s="3">
        <v>6.25</v>
      </c>
      <c r="BA372" s="1" t="s">
        <v>852</v>
      </c>
      <c r="BC372" s="3">
        <v>6.25</v>
      </c>
      <c r="BD372" s="3">
        <v>5.89</v>
      </c>
      <c r="BE372" s="1" t="s">
        <v>852</v>
      </c>
      <c r="BG372" s="3">
        <v>5.89</v>
      </c>
      <c r="BH372" s="3">
        <v>7.54</v>
      </c>
      <c r="BI372" s="1" t="s">
        <v>852</v>
      </c>
    </row>
    <row r="373" spans="1:61">
      <c r="B373" s="103" t="s">
        <v>769</v>
      </c>
      <c r="C373" s="1" t="s">
        <v>857</v>
      </c>
      <c r="D373" s="2"/>
      <c r="E373" s="2"/>
      <c r="F373" s="10"/>
      <c r="G373" s="10"/>
      <c r="H373" s="10"/>
      <c r="J373" s="108"/>
      <c r="K373" s="3"/>
      <c r="Q373" s="3"/>
      <c r="T373" s="3"/>
      <c r="AM373" s="1"/>
      <c r="AO373" s="3"/>
      <c r="AZ373" s="3">
        <v>6.67</v>
      </c>
      <c r="BA373" s="1" t="s">
        <v>852</v>
      </c>
      <c r="BC373" s="3">
        <v>6.67</v>
      </c>
      <c r="BD373" s="3">
        <v>6.67</v>
      </c>
      <c r="BE373" s="1" t="s">
        <v>852</v>
      </c>
      <c r="BG373" s="3">
        <v>6.67</v>
      </c>
    </row>
    <row r="374" spans="1:61">
      <c r="B374" s="103" t="s">
        <v>769</v>
      </c>
      <c r="C374" s="1" t="s">
        <v>289</v>
      </c>
      <c r="D374" s="2"/>
      <c r="E374" s="2"/>
      <c r="F374" s="10"/>
      <c r="G374" s="10"/>
      <c r="H374" s="10"/>
      <c r="J374" s="108"/>
      <c r="K374" s="3"/>
      <c r="Q374" s="3"/>
      <c r="T374" s="3"/>
      <c r="AM374" s="1"/>
      <c r="AO374" s="3"/>
      <c r="AS374" s="3">
        <v>10</v>
      </c>
      <c r="AV374" s="3">
        <v>13.1</v>
      </c>
      <c r="AZ374" s="3">
        <v>8.4600000000000009</v>
      </c>
      <c r="BA374" s="1" t="s">
        <v>852</v>
      </c>
      <c r="BC374" s="3">
        <v>8.4600000000000009</v>
      </c>
      <c r="BD374" s="3">
        <v>8.4700000000000006</v>
      </c>
      <c r="BE374" s="1" t="s">
        <v>852</v>
      </c>
      <c r="BG374" s="3">
        <v>8.4700000000000006</v>
      </c>
      <c r="BH374" s="3">
        <v>7.69</v>
      </c>
      <c r="BI374" s="1" t="s">
        <v>852</v>
      </c>
    </row>
    <row r="375" spans="1:61">
      <c r="B375" s="103" t="s">
        <v>769</v>
      </c>
      <c r="C375" s="1" t="s">
        <v>64</v>
      </c>
      <c r="D375" s="2"/>
      <c r="E375" s="2"/>
      <c r="F375" s="10"/>
      <c r="G375" s="10"/>
      <c r="H375" s="10"/>
      <c r="J375" s="108"/>
      <c r="K375" s="3"/>
      <c r="Q375" s="3"/>
      <c r="T375" s="3"/>
      <c r="X375" s="3">
        <v>11.1</v>
      </c>
      <c r="AA375" s="3">
        <v>16.059999999999999</v>
      </c>
      <c r="AC375" s="3">
        <f>AA375-X375</f>
        <v>4.9599999999999991</v>
      </c>
      <c r="AJ375" s="3">
        <v>7.3</v>
      </c>
      <c r="AM375" s="1">
        <v>7.14</v>
      </c>
      <c r="AO375" s="3">
        <f>AM375-AJ375</f>
        <v>-0.16000000000000014</v>
      </c>
      <c r="AP375" s="3">
        <v>7.18</v>
      </c>
      <c r="AS375" s="3">
        <v>9.9600000000000009</v>
      </c>
      <c r="AV375" s="3">
        <v>7.72</v>
      </c>
      <c r="AZ375" s="3">
        <v>8.7100000000000009</v>
      </c>
      <c r="BA375" s="1" t="s">
        <v>852</v>
      </c>
      <c r="BC375" s="3">
        <v>8.7100000000000009</v>
      </c>
      <c r="BD375" s="3">
        <v>7.34</v>
      </c>
      <c r="BE375" s="1" t="s">
        <v>852</v>
      </c>
      <c r="BG375" s="3">
        <v>7.34</v>
      </c>
      <c r="BH375" s="3">
        <v>9.4</v>
      </c>
      <c r="BI375" s="1" t="s">
        <v>852</v>
      </c>
    </row>
    <row r="376" spans="1:61">
      <c r="B376" s="103" t="s">
        <v>769</v>
      </c>
      <c r="C376" s="1" t="s">
        <v>855</v>
      </c>
      <c r="D376" s="2"/>
      <c r="E376" s="2"/>
      <c r="F376" s="10"/>
      <c r="G376" s="10"/>
      <c r="H376" s="10"/>
      <c r="J376" s="108"/>
      <c r="K376" s="3"/>
      <c r="Q376" s="3"/>
      <c r="T376" s="3"/>
      <c r="AC376" s="3"/>
      <c r="AM376" s="1"/>
      <c r="AO376" s="3"/>
      <c r="BH376" s="3">
        <v>9.07</v>
      </c>
      <c r="BI376" s="1" t="s">
        <v>852</v>
      </c>
    </row>
    <row r="377" spans="1:61">
      <c r="B377" s="103" t="s">
        <v>769</v>
      </c>
      <c r="C377" s="1" t="s">
        <v>286</v>
      </c>
      <c r="D377" s="2"/>
      <c r="E377" s="2"/>
      <c r="F377" s="10"/>
      <c r="G377" s="10"/>
      <c r="H377" s="10"/>
      <c r="J377" s="108"/>
      <c r="K377" s="3"/>
      <c r="Q377" s="3"/>
      <c r="T377" s="3"/>
      <c r="X377" s="3">
        <v>10.6</v>
      </c>
      <c r="AJ377" s="3">
        <v>7.96</v>
      </c>
      <c r="AM377" s="1">
        <v>5.01</v>
      </c>
      <c r="AO377" s="3">
        <f>AM377-AJ377</f>
        <v>-2.95</v>
      </c>
      <c r="AP377" s="3">
        <v>5.0199999999999996</v>
      </c>
      <c r="AS377" s="3">
        <v>9.9600000000000009</v>
      </c>
      <c r="AV377" s="3">
        <v>7.72</v>
      </c>
      <c r="AZ377" s="3">
        <v>7.96</v>
      </c>
      <c r="BA377" s="1" t="s">
        <v>852</v>
      </c>
      <c r="BC377" s="3">
        <v>7.96</v>
      </c>
      <c r="BD377" s="3">
        <v>8.1</v>
      </c>
      <c r="BE377" s="1" t="s">
        <v>852</v>
      </c>
      <c r="BG377" s="3">
        <v>8.1</v>
      </c>
    </row>
    <row r="378" spans="1:61">
      <c r="B378" s="103" t="s">
        <v>769</v>
      </c>
      <c r="C378" s="1" t="s">
        <v>288</v>
      </c>
      <c r="D378" s="2"/>
      <c r="E378" s="2"/>
      <c r="F378" s="10"/>
      <c r="G378" s="10"/>
      <c r="H378" s="10"/>
      <c r="J378" s="108"/>
      <c r="K378" s="3"/>
      <c r="Q378" s="3"/>
      <c r="T378" s="3"/>
      <c r="U378" s="3">
        <v>14.7</v>
      </c>
      <c r="X378" s="3">
        <v>12.4</v>
      </c>
      <c r="Z378" s="3">
        <f>X378-U378</f>
        <v>-2.2999999999999989</v>
      </c>
      <c r="AA378" s="3">
        <v>14.6</v>
      </c>
      <c r="AC378" s="3">
        <f>AA378-X378</f>
        <v>2.1999999999999993</v>
      </c>
      <c r="AJ378" s="3">
        <v>6.4</v>
      </c>
      <c r="AL378" s="3"/>
      <c r="AM378" s="1">
        <v>6.37</v>
      </c>
      <c r="AO378" s="3">
        <f>AM378-AJ378</f>
        <v>-3.0000000000000249E-2</v>
      </c>
      <c r="AP378" s="3">
        <v>6.12</v>
      </c>
      <c r="AS378" s="3">
        <v>9.07</v>
      </c>
      <c r="AV378" s="3">
        <v>6.62</v>
      </c>
      <c r="AZ378" s="3">
        <v>6.19</v>
      </c>
      <c r="BA378" s="1" t="s">
        <v>852</v>
      </c>
      <c r="BC378" s="3">
        <v>6.19</v>
      </c>
      <c r="BD378" s="3">
        <v>5.89</v>
      </c>
      <c r="BE378" s="1" t="s">
        <v>852</v>
      </c>
      <c r="BG378" s="3">
        <v>5.89</v>
      </c>
      <c r="BH378" s="3">
        <v>6.99</v>
      </c>
      <c r="BI378" s="1" t="s">
        <v>852</v>
      </c>
    </row>
    <row r="379" spans="1:61">
      <c r="A379" s="6">
        <v>11</v>
      </c>
      <c r="B379" s="103" t="s">
        <v>769</v>
      </c>
      <c r="C379" s="1" t="s">
        <v>57</v>
      </c>
      <c r="D379" s="2">
        <v>6</v>
      </c>
      <c r="E379" s="2"/>
      <c r="F379" s="10">
        <v>0</v>
      </c>
      <c r="G379" s="10"/>
      <c r="H379" s="10">
        <v>0</v>
      </c>
      <c r="I379" s="10"/>
      <c r="J379" s="108"/>
      <c r="AM379" s="1"/>
    </row>
    <row r="380" spans="1:61">
      <c r="B380" s="103" t="s">
        <v>769</v>
      </c>
      <c r="C380" s="1" t="s">
        <v>287</v>
      </c>
      <c r="D380" s="2"/>
      <c r="E380" s="2"/>
      <c r="F380" s="10"/>
      <c r="G380" s="10"/>
      <c r="H380" s="10"/>
      <c r="J380" s="108"/>
      <c r="K380" s="3"/>
      <c r="Q380" s="3"/>
      <c r="T380" s="3"/>
      <c r="AA380" s="3">
        <v>16.059999999999999</v>
      </c>
      <c r="AJ380" s="3">
        <v>5.6</v>
      </c>
      <c r="AM380" s="1">
        <v>5.15</v>
      </c>
      <c r="AO380" s="3">
        <f>AM380-AJ380</f>
        <v>-0.44999999999999929</v>
      </c>
      <c r="AP380" s="3">
        <v>5.21</v>
      </c>
      <c r="AS380" s="3">
        <v>12.83</v>
      </c>
      <c r="AV380" s="3">
        <v>9.56</v>
      </c>
      <c r="AZ380" s="3">
        <v>7.1</v>
      </c>
      <c r="BA380" s="1" t="s">
        <v>852</v>
      </c>
      <c r="BC380" s="3">
        <v>7.1</v>
      </c>
      <c r="BD380" s="3">
        <v>7.08</v>
      </c>
      <c r="BE380" s="1" t="s">
        <v>852</v>
      </c>
      <c r="BG380" s="3">
        <v>7.08</v>
      </c>
      <c r="BH380" s="3">
        <v>8.85</v>
      </c>
      <c r="BI380" s="1" t="s">
        <v>852</v>
      </c>
    </row>
    <row r="381" spans="1:61">
      <c r="A381" s="6">
        <v>1</v>
      </c>
      <c r="B381" s="103" t="s">
        <v>753</v>
      </c>
      <c r="C381" s="1" t="s">
        <v>52</v>
      </c>
      <c r="D381" s="2">
        <v>10</v>
      </c>
      <c r="E381" s="2"/>
      <c r="F381" s="10">
        <v>10</v>
      </c>
      <c r="G381" s="10"/>
      <c r="H381" s="10">
        <v>10</v>
      </c>
      <c r="I381" s="8">
        <f>H381-D381</f>
        <v>0</v>
      </c>
      <c r="J381" s="108"/>
      <c r="M381" s="3">
        <v>15</v>
      </c>
      <c r="O381" s="3">
        <v>15</v>
      </c>
      <c r="Q381" s="3">
        <f>O381-H381</f>
        <v>5</v>
      </c>
      <c r="R381" s="3">
        <v>16</v>
      </c>
      <c r="T381" s="2">
        <f>R381-O381</f>
        <v>1</v>
      </c>
      <c r="AK381" s="1" t="s">
        <v>285</v>
      </c>
    </row>
    <row r="382" spans="1:61">
      <c r="A382" s="6">
        <v>3</v>
      </c>
      <c r="B382" s="103" t="s">
        <v>753</v>
      </c>
      <c r="C382" s="1" t="s">
        <v>54</v>
      </c>
      <c r="D382" s="2"/>
      <c r="E382" s="2"/>
      <c r="F382" s="10">
        <v>0</v>
      </c>
      <c r="G382" s="10"/>
      <c r="H382" s="10">
        <v>0</v>
      </c>
      <c r="I382" s="10"/>
      <c r="J382" s="108"/>
      <c r="N382" s="3" t="s">
        <v>420</v>
      </c>
      <c r="O382" s="3" t="s">
        <v>420</v>
      </c>
      <c r="X382" s="3">
        <v>7.3</v>
      </c>
      <c r="AA382" s="3">
        <v>7.3</v>
      </c>
      <c r="AC382" s="3">
        <f>AA382-X382</f>
        <v>0</v>
      </c>
      <c r="AD382" s="24">
        <v>7.3</v>
      </c>
      <c r="AK382" s="1" t="s">
        <v>285</v>
      </c>
    </row>
    <row r="383" spans="1:61">
      <c r="A383" s="6">
        <v>4</v>
      </c>
      <c r="B383" s="103" t="s">
        <v>753</v>
      </c>
      <c r="C383" s="1" t="s">
        <v>55</v>
      </c>
      <c r="D383" s="2"/>
      <c r="E383" s="2"/>
      <c r="F383" s="10">
        <v>0</v>
      </c>
      <c r="G383" s="10"/>
      <c r="H383" s="10">
        <v>0</v>
      </c>
      <c r="I383" s="10"/>
      <c r="J383" s="108"/>
      <c r="N383" s="3" t="s">
        <v>420</v>
      </c>
      <c r="O383" s="3" t="s">
        <v>420</v>
      </c>
      <c r="AK383" s="1" t="s">
        <v>285</v>
      </c>
    </row>
    <row r="384" spans="1:61">
      <c r="A384" s="6">
        <v>5</v>
      </c>
      <c r="B384" s="103" t="s">
        <v>753</v>
      </c>
      <c r="C384" s="1" t="s">
        <v>56</v>
      </c>
      <c r="D384" s="2"/>
      <c r="E384" s="2"/>
      <c r="F384" s="10">
        <v>0</v>
      </c>
      <c r="G384" s="10"/>
      <c r="H384" s="10">
        <v>0</v>
      </c>
      <c r="I384" s="10"/>
      <c r="J384" s="108"/>
      <c r="N384" s="3" t="s">
        <v>420</v>
      </c>
      <c r="O384" s="3" t="s">
        <v>420</v>
      </c>
      <c r="AK384" s="1" t="s">
        <v>285</v>
      </c>
    </row>
    <row r="385" spans="1:60">
      <c r="A385" s="6">
        <v>2</v>
      </c>
      <c r="B385" s="103" t="s">
        <v>753</v>
      </c>
      <c r="C385" s="1" t="s">
        <v>53</v>
      </c>
      <c r="D385" s="2">
        <v>10</v>
      </c>
      <c r="E385" s="2"/>
      <c r="F385" s="10">
        <v>10</v>
      </c>
      <c r="G385" s="10"/>
      <c r="H385" s="10">
        <v>10</v>
      </c>
      <c r="I385" s="10">
        <f>H385-D385</f>
        <v>0</v>
      </c>
      <c r="J385" s="108"/>
      <c r="M385" s="3">
        <v>15</v>
      </c>
      <c r="O385" s="3">
        <v>15</v>
      </c>
      <c r="Q385" s="3">
        <f>O385-H385</f>
        <v>5</v>
      </c>
      <c r="R385" s="3">
        <v>16</v>
      </c>
      <c r="T385" s="3">
        <f>R385-O385</f>
        <v>1</v>
      </c>
      <c r="AK385" s="1" t="s">
        <v>285</v>
      </c>
    </row>
    <row r="386" spans="1:60">
      <c r="B386" s="103" t="s">
        <v>753</v>
      </c>
      <c r="C386" s="1" t="s">
        <v>158</v>
      </c>
      <c r="D386" s="2"/>
      <c r="E386" s="2"/>
      <c r="F386" s="10"/>
      <c r="G386" s="10"/>
      <c r="H386" s="10"/>
      <c r="I386" s="10"/>
      <c r="J386" s="108"/>
      <c r="Q386" s="3"/>
      <c r="T386" s="3"/>
      <c r="W386" s="3"/>
      <c r="X386" s="3">
        <v>7.5</v>
      </c>
      <c r="Y386" s="1" t="s">
        <v>633</v>
      </c>
      <c r="AA386" s="3">
        <v>7.5</v>
      </c>
      <c r="AB386" s="1" t="s">
        <v>633</v>
      </c>
      <c r="AC386" s="3">
        <f>AA386-X386</f>
        <v>0</v>
      </c>
      <c r="AD386" s="3">
        <v>7.5</v>
      </c>
      <c r="AE386" s="1" t="s">
        <v>633</v>
      </c>
      <c r="AG386" s="3">
        <v>7.5</v>
      </c>
      <c r="AH386" s="1" t="s">
        <v>633</v>
      </c>
      <c r="AK386" s="1" t="s">
        <v>285</v>
      </c>
      <c r="AM386" s="3">
        <v>6</v>
      </c>
      <c r="AP386" s="3">
        <v>6</v>
      </c>
      <c r="AS386" s="3">
        <v>6</v>
      </c>
      <c r="AV386" s="3">
        <v>6</v>
      </c>
      <c r="AZ386" s="3">
        <v>13.5</v>
      </c>
    </row>
    <row r="387" spans="1:60">
      <c r="B387" s="103" t="s">
        <v>753</v>
      </c>
      <c r="C387" s="1" t="s">
        <v>595</v>
      </c>
      <c r="D387" s="2"/>
      <c r="E387" s="2"/>
      <c r="F387" s="10"/>
      <c r="G387" s="10"/>
      <c r="H387" s="10"/>
      <c r="I387" s="10"/>
      <c r="J387" s="108"/>
      <c r="Q387" s="3"/>
      <c r="T387" s="3"/>
      <c r="W387" s="3"/>
      <c r="X387" s="3">
        <v>4</v>
      </c>
      <c r="AA387" s="3">
        <v>4</v>
      </c>
      <c r="AC387" s="3">
        <f>AA387-X387</f>
        <v>0</v>
      </c>
      <c r="AD387" s="24">
        <v>4</v>
      </c>
      <c r="AG387" s="3">
        <v>4</v>
      </c>
      <c r="AI387" s="3">
        <f>AG387-AD387</f>
        <v>0</v>
      </c>
      <c r="AK387" s="1" t="s">
        <v>285</v>
      </c>
    </row>
    <row r="388" spans="1:60">
      <c r="B388" s="103" t="s">
        <v>753</v>
      </c>
      <c r="C388" s="1" t="s">
        <v>700</v>
      </c>
      <c r="D388" s="2"/>
      <c r="E388" s="2"/>
      <c r="F388" s="10"/>
      <c r="G388" s="10"/>
      <c r="H388" s="10"/>
      <c r="I388" s="10"/>
      <c r="J388" s="108"/>
      <c r="Q388" s="3"/>
      <c r="T388" s="3"/>
      <c r="W388" s="3"/>
      <c r="X388" s="3">
        <v>4</v>
      </c>
      <c r="AA388" s="3">
        <v>4</v>
      </c>
      <c r="AC388" s="3">
        <f>AA388-X388</f>
        <v>0</v>
      </c>
      <c r="AD388" s="24">
        <v>4</v>
      </c>
      <c r="AG388" s="3">
        <v>4</v>
      </c>
      <c r="AK388" s="1" t="s">
        <v>285</v>
      </c>
    </row>
    <row r="389" spans="1:60">
      <c r="A389" s="6">
        <v>12</v>
      </c>
      <c r="B389" s="103" t="s">
        <v>753</v>
      </c>
      <c r="C389" s="1" t="s">
        <v>594</v>
      </c>
      <c r="D389" s="2">
        <v>0</v>
      </c>
      <c r="E389" s="2"/>
      <c r="F389" s="10">
        <v>8.5</v>
      </c>
      <c r="G389" s="10"/>
      <c r="H389" s="10">
        <v>8.5</v>
      </c>
      <c r="I389" s="10"/>
      <c r="J389" s="108"/>
      <c r="M389" s="3">
        <v>12</v>
      </c>
      <c r="O389" s="3">
        <v>12</v>
      </c>
      <c r="Q389" s="3">
        <f>O389-H389</f>
        <v>3.5</v>
      </c>
      <c r="R389" s="3">
        <v>10</v>
      </c>
      <c r="T389" s="3">
        <f>R389-O389</f>
        <v>-2</v>
      </c>
      <c r="U389" s="3">
        <v>10</v>
      </c>
      <c r="W389" s="3">
        <f>U389-R389</f>
        <v>0</v>
      </c>
      <c r="X389" s="3">
        <v>8</v>
      </c>
      <c r="Z389" s="3">
        <f>X389-U389</f>
        <v>-2</v>
      </c>
      <c r="AA389" s="3">
        <v>8</v>
      </c>
      <c r="AC389" s="3">
        <f>AA389-X389</f>
        <v>0</v>
      </c>
      <c r="AD389" s="24">
        <v>8</v>
      </c>
      <c r="AG389" s="3">
        <v>8</v>
      </c>
      <c r="AI389" s="3">
        <f>AG389-AD389</f>
        <v>0</v>
      </c>
      <c r="AK389" s="1" t="s">
        <v>285</v>
      </c>
      <c r="AM389" s="3">
        <v>8.4</v>
      </c>
      <c r="AP389" s="3">
        <v>9</v>
      </c>
      <c r="AS389" s="3">
        <v>10</v>
      </c>
      <c r="AV389" s="3">
        <v>10</v>
      </c>
      <c r="AZ389" s="3">
        <v>10</v>
      </c>
      <c r="BD389" s="3">
        <v>11</v>
      </c>
      <c r="BH389" s="3">
        <v>11</v>
      </c>
    </row>
    <row r="390" spans="1:60">
      <c r="A390" s="6">
        <v>14</v>
      </c>
      <c r="B390" s="103" t="s">
        <v>753</v>
      </c>
      <c r="C390" s="1" t="s">
        <v>58</v>
      </c>
      <c r="D390" s="2">
        <v>0</v>
      </c>
      <c r="E390" s="2"/>
      <c r="F390" s="10">
        <v>9.5</v>
      </c>
      <c r="G390" s="10"/>
      <c r="H390" s="10">
        <v>9.5</v>
      </c>
      <c r="I390" s="10"/>
      <c r="J390" s="108"/>
      <c r="M390" s="3">
        <v>12</v>
      </c>
      <c r="O390" s="3">
        <v>12</v>
      </c>
      <c r="Q390" s="3">
        <f>O390-H390</f>
        <v>2.5</v>
      </c>
      <c r="R390" s="3">
        <v>15</v>
      </c>
      <c r="T390" s="3">
        <f>R390-O390</f>
        <v>3</v>
      </c>
      <c r="U390" s="3">
        <v>15</v>
      </c>
      <c r="W390" s="3">
        <f>U390-R390</f>
        <v>0</v>
      </c>
      <c r="X390" s="3">
        <v>12</v>
      </c>
      <c r="Y390" s="109" t="s">
        <v>630</v>
      </c>
      <c r="Z390" s="3">
        <f>X390-U390</f>
        <v>-3</v>
      </c>
      <c r="AA390" s="3">
        <v>12</v>
      </c>
      <c r="AB390" s="109" t="s">
        <v>630</v>
      </c>
      <c r="AC390" s="3">
        <f>AA390-X390</f>
        <v>0</v>
      </c>
      <c r="AD390" s="24">
        <v>12</v>
      </c>
      <c r="AE390" s="109" t="s">
        <v>630</v>
      </c>
      <c r="AG390" s="3">
        <v>12</v>
      </c>
      <c r="AH390" s="109" t="s">
        <v>630</v>
      </c>
      <c r="AI390" s="3">
        <f>AG390-AD390</f>
        <v>0</v>
      </c>
      <c r="AK390" s="1" t="s">
        <v>285</v>
      </c>
      <c r="AM390" s="3">
        <v>15.6</v>
      </c>
      <c r="AP390" s="3">
        <v>15.6</v>
      </c>
      <c r="AS390" s="3">
        <v>18</v>
      </c>
      <c r="AV390" s="3">
        <v>18.5</v>
      </c>
      <c r="AZ390" s="3">
        <v>11</v>
      </c>
      <c r="BD390" s="3">
        <v>15</v>
      </c>
      <c r="BH390" s="3">
        <v>15</v>
      </c>
    </row>
    <row r="391" spans="1:60">
      <c r="B391" s="103" t="s">
        <v>753</v>
      </c>
      <c r="C391" s="1" t="s">
        <v>857</v>
      </c>
      <c r="D391" s="2"/>
      <c r="E391" s="2"/>
      <c r="F391" s="10"/>
      <c r="G391" s="10"/>
      <c r="H391" s="10"/>
      <c r="I391" s="10"/>
      <c r="J391" s="108"/>
      <c r="Q391" s="3"/>
      <c r="T391" s="3"/>
      <c r="W391" s="3"/>
      <c r="Y391" s="109"/>
      <c r="AB391" s="109"/>
      <c r="AC391" s="3"/>
      <c r="AE391" s="109"/>
      <c r="AH391" s="109"/>
      <c r="AI391" s="3"/>
      <c r="BD391" s="3">
        <v>40</v>
      </c>
      <c r="BH391" s="3">
        <v>40</v>
      </c>
    </row>
    <row r="392" spans="1:60">
      <c r="B392" s="103" t="s">
        <v>753</v>
      </c>
      <c r="C392" s="1" t="s">
        <v>289</v>
      </c>
      <c r="D392" s="2"/>
      <c r="E392" s="2"/>
      <c r="F392" s="10"/>
      <c r="G392" s="10"/>
      <c r="H392" s="10"/>
      <c r="I392" s="10"/>
      <c r="J392" s="108"/>
      <c r="Q392" s="3"/>
      <c r="T392" s="3"/>
      <c r="W392" s="3"/>
      <c r="X392" s="3">
        <v>11</v>
      </c>
      <c r="Y392" s="1" t="s">
        <v>632</v>
      </c>
      <c r="AA392" s="3">
        <v>11</v>
      </c>
      <c r="AB392" s="1" t="s">
        <v>632</v>
      </c>
      <c r="AC392" s="3">
        <f>AA392-X392</f>
        <v>0</v>
      </c>
      <c r="AD392" s="24">
        <v>11</v>
      </c>
      <c r="AE392" s="1" t="s">
        <v>632</v>
      </c>
      <c r="AG392" s="3">
        <v>11</v>
      </c>
      <c r="AH392" s="1" t="s">
        <v>632</v>
      </c>
      <c r="AI392" s="3">
        <f>AG392-AD392</f>
        <v>0</v>
      </c>
      <c r="AK392" s="1" t="s">
        <v>285</v>
      </c>
      <c r="AM392" s="3">
        <v>13</v>
      </c>
      <c r="AP392" s="3">
        <v>13</v>
      </c>
      <c r="AS392" s="3">
        <v>13</v>
      </c>
      <c r="AV392" s="3">
        <v>13</v>
      </c>
      <c r="AZ392" s="3">
        <v>8</v>
      </c>
      <c r="BD392" s="3">
        <v>11</v>
      </c>
      <c r="BH392" s="3">
        <v>11</v>
      </c>
    </row>
    <row r="393" spans="1:60">
      <c r="B393" s="103" t="s">
        <v>753</v>
      </c>
      <c r="C393" s="1" t="s">
        <v>160</v>
      </c>
      <c r="D393" s="2"/>
      <c r="E393" s="2"/>
      <c r="F393" s="10"/>
      <c r="G393" s="10"/>
      <c r="H393" s="10"/>
      <c r="I393" s="10"/>
      <c r="J393" s="108"/>
      <c r="Q393" s="3"/>
      <c r="T393" s="3"/>
      <c r="W393" s="3"/>
      <c r="X393" s="3">
        <v>4</v>
      </c>
      <c r="Y393" s="1" t="s">
        <v>634</v>
      </c>
      <c r="AA393" s="3">
        <v>4</v>
      </c>
      <c r="AB393" s="1" t="s">
        <v>634</v>
      </c>
      <c r="AC393" s="3">
        <f>AA393-X393</f>
        <v>0</v>
      </c>
      <c r="AD393" s="24">
        <v>4</v>
      </c>
      <c r="AE393" s="1" t="s">
        <v>634</v>
      </c>
      <c r="AG393" s="3">
        <v>4</v>
      </c>
      <c r="AH393" s="1" t="s">
        <v>634</v>
      </c>
      <c r="AK393" s="1" t="s">
        <v>285</v>
      </c>
      <c r="AM393" s="3">
        <v>11.5</v>
      </c>
      <c r="AP393" s="3">
        <v>11.5</v>
      </c>
      <c r="AS393" s="3">
        <v>11.5</v>
      </c>
      <c r="AV393" s="3">
        <v>11.5</v>
      </c>
    </row>
    <row r="394" spans="1:60">
      <c r="B394" s="103" t="s">
        <v>753</v>
      </c>
      <c r="C394" s="1" t="s">
        <v>238</v>
      </c>
      <c r="D394" s="2"/>
      <c r="E394" s="2"/>
      <c r="F394" s="10"/>
      <c r="G394" s="10"/>
      <c r="H394" s="10"/>
      <c r="I394" s="10"/>
      <c r="J394" s="108"/>
      <c r="AM394" s="3">
        <v>11.5</v>
      </c>
      <c r="AP394" s="3">
        <v>11.5</v>
      </c>
      <c r="AS394" s="3">
        <v>11.5</v>
      </c>
      <c r="AV394" s="3">
        <v>11.5</v>
      </c>
      <c r="AZ394" s="3">
        <v>14</v>
      </c>
      <c r="BD394" s="3">
        <v>20</v>
      </c>
      <c r="BH394" s="3">
        <v>20</v>
      </c>
    </row>
    <row r="395" spans="1:60">
      <c r="B395" s="103" t="s">
        <v>753</v>
      </c>
      <c r="C395" s="1" t="s">
        <v>290</v>
      </c>
      <c r="D395" s="2"/>
      <c r="E395" s="2"/>
      <c r="F395" s="10"/>
      <c r="G395" s="10"/>
      <c r="H395" s="10"/>
      <c r="I395" s="10"/>
      <c r="J395" s="108"/>
      <c r="Q395" s="3"/>
      <c r="T395" s="3"/>
      <c r="W395" s="3"/>
      <c r="AC395" s="3"/>
      <c r="AI395" s="3"/>
      <c r="AM395" s="3">
        <v>31.2</v>
      </c>
      <c r="AP395" s="3">
        <v>31.2</v>
      </c>
      <c r="AS395" s="3">
        <v>31.2</v>
      </c>
      <c r="AV395" s="3">
        <v>32</v>
      </c>
      <c r="AZ395" s="3">
        <v>11.5</v>
      </c>
      <c r="BD395" s="3">
        <v>11</v>
      </c>
      <c r="BH395" s="3">
        <v>11</v>
      </c>
    </row>
    <row r="396" spans="1:60">
      <c r="B396" s="103" t="s">
        <v>753</v>
      </c>
      <c r="C396" s="1" t="s">
        <v>64</v>
      </c>
      <c r="D396" s="2"/>
      <c r="E396" s="2"/>
      <c r="F396" s="10"/>
      <c r="G396" s="10"/>
      <c r="H396" s="10"/>
      <c r="I396" s="10"/>
      <c r="J396" s="108"/>
      <c r="Q396" s="3"/>
      <c r="T396" s="3"/>
      <c r="W396" s="3"/>
      <c r="X396" s="3">
        <v>13.75</v>
      </c>
      <c r="Y396" s="1" t="s">
        <v>631</v>
      </c>
      <c r="AA396" s="3">
        <v>13.75</v>
      </c>
      <c r="AB396" s="1" t="s">
        <v>631</v>
      </c>
      <c r="AC396" s="3">
        <f>AA396-X396</f>
        <v>0</v>
      </c>
      <c r="AD396" s="3">
        <v>13.75</v>
      </c>
      <c r="AE396" s="1" t="s">
        <v>631</v>
      </c>
      <c r="AG396" s="3">
        <v>13.75</v>
      </c>
      <c r="AH396" s="1" t="s">
        <v>631</v>
      </c>
      <c r="AI396" s="3">
        <f>AG396-AD396</f>
        <v>0</v>
      </c>
      <c r="AK396" s="1" t="s">
        <v>285</v>
      </c>
      <c r="AM396" s="3">
        <v>22.1</v>
      </c>
      <c r="AP396" s="3">
        <v>22.1</v>
      </c>
      <c r="AS396" s="3">
        <v>22.1</v>
      </c>
      <c r="AV396" s="3">
        <v>22.1</v>
      </c>
      <c r="AZ396" s="3">
        <v>13.5</v>
      </c>
      <c r="BD396" s="3">
        <v>16</v>
      </c>
      <c r="BH396" s="3">
        <v>16</v>
      </c>
    </row>
    <row r="397" spans="1:60">
      <c r="B397" s="103" t="s">
        <v>753</v>
      </c>
      <c r="C397" s="1" t="s">
        <v>286</v>
      </c>
      <c r="D397" s="2"/>
      <c r="E397" s="2"/>
      <c r="F397" s="10"/>
      <c r="G397" s="10"/>
      <c r="H397" s="10"/>
      <c r="I397" s="10"/>
      <c r="J397" s="108"/>
      <c r="Q397" s="3"/>
      <c r="T397" s="3"/>
      <c r="W397" s="3"/>
      <c r="X397" s="3">
        <v>13.5</v>
      </c>
      <c r="AA397" s="3">
        <v>13.5</v>
      </c>
      <c r="AC397" s="3">
        <f>AA397-X397</f>
        <v>0</v>
      </c>
      <c r="AD397" s="24">
        <v>13.5</v>
      </c>
      <c r="AG397" s="3">
        <v>13.5</v>
      </c>
      <c r="AI397" s="3">
        <f>AG397-AD397</f>
        <v>0</v>
      </c>
      <c r="AK397" s="1" t="s">
        <v>285</v>
      </c>
      <c r="AM397" s="3">
        <v>17.7</v>
      </c>
      <c r="AP397" s="3">
        <v>17.7</v>
      </c>
      <c r="AS397" s="3">
        <v>17.7</v>
      </c>
      <c r="AV397" s="3">
        <v>17.5</v>
      </c>
      <c r="BD397" s="3">
        <v>18</v>
      </c>
      <c r="BH397" s="3">
        <v>18</v>
      </c>
    </row>
    <row r="398" spans="1:60">
      <c r="B398" s="103" t="s">
        <v>753</v>
      </c>
      <c r="C398" s="1" t="s">
        <v>288</v>
      </c>
      <c r="D398" s="2"/>
      <c r="E398" s="2"/>
      <c r="F398" s="10"/>
      <c r="G398" s="10"/>
      <c r="H398" s="10"/>
      <c r="I398" s="10"/>
      <c r="J398" s="108"/>
      <c r="AM398" s="3">
        <v>3</v>
      </c>
      <c r="AP398" s="3">
        <v>3</v>
      </c>
      <c r="AS398" s="3">
        <v>3</v>
      </c>
      <c r="AV398" s="3">
        <v>3.5</v>
      </c>
      <c r="AZ398" s="3">
        <v>12</v>
      </c>
      <c r="BD398" s="3">
        <v>15</v>
      </c>
      <c r="BH398" s="3">
        <v>15</v>
      </c>
    </row>
    <row r="399" spans="1:60">
      <c r="A399" s="6">
        <v>11</v>
      </c>
      <c r="B399" s="103" t="s">
        <v>753</v>
      </c>
      <c r="C399" s="1" t="s">
        <v>57</v>
      </c>
      <c r="D399" s="2"/>
      <c r="E399" s="2"/>
      <c r="F399" s="10">
        <v>0</v>
      </c>
      <c r="G399" s="10"/>
      <c r="H399" s="10">
        <v>0</v>
      </c>
      <c r="I399" s="10"/>
      <c r="J399" s="108"/>
      <c r="N399" s="3" t="s">
        <v>421</v>
      </c>
      <c r="O399" s="3" t="s">
        <v>421</v>
      </c>
      <c r="U399" s="3">
        <v>10</v>
      </c>
      <c r="AK399" s="1" t="s">
        <v>285</v>
      </c>
    </row>
    <row r="400" spans="1:60">
      <c r="B400" s="103" t="s">
        <v>753</v>
      </c>
      <c r="C400" s="1" t="s">
        <v>287</v>
      </c>
      <c r="D400" s="2"/>
      <c r="E400" s="2"/>
      <c r="F400" s="10"/>
      <c r="G400" s="10"/>
      <c r="H400" s="10"/>
      <c r="I400" s="10"/>
      <c r="J400" s="108"/>
      <c r="AM400" s="3">
        <v>20</v>
      </c>
      <c r="AP400" s="3">
        <v>20</v>
      </c>
      <c r="AS400" s="3">
        <v>20</v>
      </c>
      <c r="AV400" s="3">
        <v>20</v>
      </c>
      <c r="BD400" s="3">
        <v>20</v>
      </c>
      <c r="BH400" s="3">
        <v>20</v>
      </c>
    </row>
    <row r="401" spans="1:61">
      <c r="A401" s="6">
        <v>1</v>
      </c>
      <c r="B401" s="103" t="s">
        <v>770</v>
      </c>
      <c r="C401" s="1" t="s">
        <v>52</v>
      </c>
      <c r="D401" s="2"/>
      <c r="E401" s="2"/>
      <c r="F401" s="10"/>
      <c r="G401" s="10"/>
      <c r="H401" s="10"/>
      <c r="I401" s="10"/>
      <c r="J401" s="108"/>
    </row>
    <row r="402" spans="1:61">
      <c r="A402" s="6">
        <v>3</v>
      </c>
      <c r="B402" s="103" t="s">
        <v>770</v>
      </c>
      <c r="C402" s="1" t="s">
        <v>54</v>
      </c>
      <c r="D402" s="2"/>
      <c r="E402" s="2"/>
      <c r="F402" s="10"/>
      <c r="G402" s="10"/>
      <c r="H402" s="10"/>
      <c r="I402" s="10"/>
      <c r="J402" s="108"/>
    </row>
    <row r="403" spans="1:61">
      <c r="A403" s="6">
        <v>4</v>
      </c>
      <c r="B403" s="103" t="s">
        <v>770</v>
      </c>
      <c r="C403" s="1" t="s">
        <v>55</v>
      </c>
      <c r="D403" s="2"/>
      <c r="E403" s="2"/>
      <c r="F403" s="10"/>
      <c r="G403" s="10"/>
      <c r="H403" s="10"/>
      <c r="I403" s="10"/>
      <c r="J403" s="108"/>
    </row>
    <row r="404" spans="1:61">
      <c r="A404" s="6">
        <v>5</v>
      </c>
      <c r="B404" s="103" t="s">
        <v>770</v>
      </c>
      <c r="C404" s="1" t="s">
        <v>56</v>
      </c>
      <c r="D404" s="2"/>
      <c r="E404" s="2"/>
      <c r="F404" s="10"/>
      <c r="G404" s="10"/>
      <c r="H404" s="10"/>
      <c r="I404" s="10"/>
      <c r="J404" s="108"/>
    </row>
    <row r="405" spans="1:61">
      <c r="A405" s="6">
        <v>2</v>
      </c>
      <c r="B405" s="103" t="s">
        <v>770</v>
      </c>
      <c r="C405" s="1" t="s">
        <v>53</v>
      </c>
      <c r="D405" s="2">
        <v>38</v>
      </c>
      <c r="E405" s="2"/>
      <c r="F405" s="10"/>
      <c r="G405" s="10"/>
      <c r="H405" s="10"/>
      <c r="I405" s="10"/>
      <c r="J405" s="108"/>
    </row>
    <row r="406" spans="1:61">
      <c r="A406" s="6">
        <v>12</v>
      </c>
      <c r="B406" s="103" t="s">
        <v>770</v>
      </c>
      <c r="C406" s="1" t="s">
        <v>594</v>
      </c>
      <c r="D406" s="2">
        <v>10</v>
      </c>
      <c r="E406" s="2"/>
      <c r="F406" s="10">
        <v>15.41</v>
      </c>
      <c r="G406" s="10"/>
      <c r="H406" s="10">
        <v>15.41</v>
      </c>
      <c r="I406" s="8">
        <f>H406-D406</f>
        <v>5.41</v>
      </c>
      <c r="J406" s="110" t="s">
        <v>348</v>
      </c>
      <c r="M406" s="3">
        <v>12</v>
      </c>
      <c r="O406" s="3">
        <v>12</v>
      </c>
      <c r="Q406" s="3">
        <f>O406-H406</f>
        <v>-3.41</v>
      </c>
      <c r="R406" s="3">
        <v>5</v>
      </c>
      <c r="T406" s="3">
        <f>R406-O406</f>
        <v>-7</v>
      </c>
      <c r="U406" s="3">
        <v>22.2</v>
      </c>
      <c r="X406" s="3">
        <v>22.2</v>
      </c>
      <c r="Z406" s="3">
        <f>X406-U406</f>
        <v>0</v>
      </c>
      <c r="AD406" s="24">
        <v>22.2</v>
      </c>
      <c r="AG406" s="3">
        <v>22.2</v>
      </c>
      <c r="AI406" s="3">
        <f>AG406-AD406</f>
        <v>0</v>
      </c>
      <c r="AJ406" s="3">
        <v>22.2</v>
      </c>
      <c r="AL406" s="3">
        <f>AJ406-AG406</f>
        <v>0</v>
      </c>
      <c r="AM406" s="3">
        <v>22.2</v>
      </c>
      <c r="AO406" s="3">
        <f>AM406-AJ406</f>
        <v>0</v>
      </c>
      <c r="AP406" s="3">
        <v>22.2</v>
      </c>
      <c r="AS406" s="3">
        <v>22.2</v>
      </c>
      <c r="AV406" s="3">
        <v>22.2</v>
      </c>
      <c r="AY406" s="3">
        <v>22.2</v>
      </c>
      <c r="AZ406" s="3">
        <v>22.2</v>
      </c>
      <c r="BC406" s="3">
        <v>22.2</v>
      </c>
      <c r="BD406" s="3">
        <v>22.2</v>
      </c>
      <c r="BG406" s="3">
        <v>22.2</v>
      </c>
      <c r="BH406" s="3">
        <v>22.2</v>
      </c>
    </row>
    <row r="407" spans="1:61">
      <c r="A407" s="6">
        <v>14</v>
      </c>
      <c r="B407" s="103" t="s">
        <v>770</v>
      </c>
      <c r="C407" s="1" t="s">
        <v>58</v>
      </c>
      <c r="D407" s="2">
        <v>18</v>
      </c>
      <c r="E407" s="2"/>
      <c r="F407" s="10">
        <v>24.63</v>
      </c>
      <c r="G407" s="10"/>
      <c r="H407" s="10">
        <v>24.63</v>
      </c>
      <c r="I407" s="8">
        <f>H407-D407</f>
        <v>6.629999999999999</v>
      </c>
      <c r="J407" s="110" t="s">
        <v>349</v>
      </c>
      <c r="M407" s="3">
        <v>15</v>
      </c>
      <c r="O407" s="3">
        <v>15</v>
      </c>
      <c r="Q407" s="3">
        <f>O407-H407</f>
        <v>-9.629999999999999</v>
      </c>
      <c r="R407" s="3">
        <v>8</v>
      </c>
      <c r="T407" s="3">
        <f>R407-O407</f>
        <v>-7</v>
      </c>
      <c r="U407" s="3">
        <v>39</v>
      </c>
      <c r="X407" s="3">
        <v>39</v>
      </c>
      <c r="Z407" s="3">
        <f>X407-U407</f>
        <v>0</v>
      </c>
      <c r="AA407" s="3">
        <v>40</v>
      </c>
      <c r="AC407" s="3">
        <f>AA407-X407</f>
        <v>1</v>
      </c>
      <c r="AY407" s="3">
        <v>46</v>
      </c>
      <c r="AZ407" s="3">
        <v>46</v>
      </c>
      <c r="BC407" s="3">
        <v>46</v>
      </c>
      <c r="BD407" s="3">
        <v>60</v>
      </c>
      <c r="BG407" s="3">
        <v>46</v>
      </c>
      <c r="BH407" s="3">
        <v>60</v>
      </c>
    </row>
    <row r="408" spans="1:61">
      <c r="B408" s="103" t="s">
        <v>770</v>
      </c>
      <c r="C408" s="1" t="s">
        <v>857</v>
      </c>
      <c r="D408" s="2"/>
      <c r="E408" s="2"/>
      <c r="F408" s="10"/>
      <c r="G408" s="10"/>
      <c r="H408" s="10"/>
      <c r="I408" s="8"/>
      <c r="J408" s="110"/>
      <c r="Q408" s="3"/>
      <c r="T408" s="3"/>
      <c r="AC408" s="3"/>
      <c r="AI408" s="3"/>
      <c r="AL408" s="3"/>
      <c r="AO408" s="3"/>
      <c r="AY408" s="3">
        <v>60</v>
      </c>
      <c r="AZ408" s="3">
        <v>60</v>
      </c>
      <c r="BC408" s="3">
        <v>60</v>
      </c>
      <c r="BD408" s="3">
        <v>60</v>
      </c>
      <c r="BE408" s="1" t="s">
        <v>939</v>
      </c>
      <c r="BG408" s="3">
        <v>60</v>
      </c>
      <c r="BH408" s="3">
        <v>60</v>
      </c>
      <c r="BI408" s="1" t="s">
        <v>939</v>
      </c>
    </row>
    <row r="409" spans="1:61">
      <c r="B409" s="103" t="s">
        <v>770</v>
      </c>
      <c r="C409" s="1" t="s">
        <v>289</v>
      </c>
      <c r="D409" s="2"/>
      <c r="E409" s="2"/>
      <c r="F409" s="10"/>
      <c r="G409" s="10"/>
      <c r="H409" s="10"/>
      <c r="I409" s="8"/>
      <c r="J409" s="110"/>
      <c r="Q409" s="3"/>
      <c r="T409" s="3"/>
      <c r="AC409" s="3"/>
      <c r="AI409" s="3"/>
      <c r="AL409" s="3"/>
      <c r="AO409" s="3"/>
      <c r="AY409" s="3">
        <v>16</v>
      </c>
      <c r="AZ409" s="3">
        <v>16</v>
      </c>
      <c r="BC409" s="3">
        <v>16</v>
      </c>
      <c r="BD409" s="3">
        <v>16</v>
      </c>
      <c r="BE409" s="1" t="s">
        <v>940</v>
      </c>
      <c r="BG409" s="3">
        <v>16</v>
      </c>
      <c r="BH409" s="3">
        <v>16</v>
      </c>
      <c r="BI409" s="1" t="s">
        <v>940</v>
      </c>
    </row>
    <row r="410" spans="1:61">
      <c r="B410" s="103" t="s">
        <v>770</v>
      </c>
      <c r="C410" s="1" t="s">
        <v>290</v>
      </c>
      <c r="D410" s="2"/>
      <c r="E410" s="2"/>
      <c r="F410" s="10"/>
      <c r="G410" s="10"/>
      <c r="H410" s="10"/>
      <c r="I410" s="8"/>
      <c r="J410" s="110"/>
      <c r="Q410" s="3"/>
      <c r="T410" s="3"/>
      <c r="AC410" s="3"/>
      <c r="AI410" s="3"/>
      <c r="AL410" s="3"/>
      <c r="AO410" s="3"/>
      <c r="AY410" s="3">
        <v>60</v>
      </c>
      <c r="AZ410" s="3">
        <v>60</v>
      </c>
      <c r="BC410" s="3">
        <v>60</v>
      </c>
      <c r="BD410" s="3">
        <v>60</v>
      </c>
      <c r="BE410" s="1" t="s">
        <v>941</v>
      </c>
      <c r="BG410" s="3">
        <v>60</v>
      </c>
      <c r="BH410" s="3">
        <v>60</v>
      </c>
      <c r="BI410" s="1" t="s">
        <v>941</v>
      </c>
    </row>
    <row r="411" spans="1:61">
      <c r="B411" s="103" t="s">
        <v>770</v>
      </c>
      <c r="C411" s="1" t="s">
        <v>860</v>
      </c>
      <c r="D411" s="2"/>
      <c r="E411" s="2"/>
      <c r="F411" s="10"/>
      <c r="G411" s="10"/>
      <c r="H411" s="10"/>
      <c r="I411" s="8"/>
      <c r="J411" s="110"/>
      <c r="Q411" s="3"/>
      <c r="T411" s="3"/>
      <c r="AC411" s="3"/>
      <c r="AI411" s="3"/>
      <c r="AL411" s="3"/>
      <c r="AO411" s="3"/>
      <c r="AY411" s="3">
        <v>130</v>
      </c>
      <c r="AZ411" s="3">
        <v>130</v>
      </c>
      <c r="BC411" s="3">
        <v>130</v>
      </c>
      <c r="BD411" s="3">
        <v>130</v>
      </c>
      <c r="BG411" s="3">
        <v>130</v>
      </c>
      <c r="BH411" s="3">
        <v>130</v>
      </c>
    </row>
    <row r="412" spans="1:61">
      <c r="B412" s="103" t="s">
        <v>770</v>
      </c>
      <c r="C412" s="1" t="s">
        <v>64</v>
      </c>
      <c r="D412" s="2"/>
      <c r="E412" s="2"/>
      <c r="F412" s="10"/>
      <c r="G412" s="10"/>
      <c r="H412" s="10"/>
      <c r="I412" s="8"/>
      <c r="J412" s="110"/>
      <c r="Q412" s="3"/>
      <c r="T412" s="3"/>
      <c r="U412" s="3">
        <v>52</v>
      </c>
      <c r="X412" s="3">
        <v>52</v>
      </c>
      <c r="Z412" s="3">
        <f>X412-U412</f>
        <v>0</v>
      </c>
      <c r="AA412" s="3">
        <v>48</v>
      </c>
      <c r="AC412" s="3">
        <f>AA412-X412</f>
        <v>-4</v>
      </c>
      <c r="AD412" s="24">
        <v>49</v>
      </c>
      <c r="AG412" s="3">
        <v>49</v>
      </c>
      <c r="AI412" s="3">
        <f>AG412-AD412</f>
        <v>0</v>
      </c>
      <c r="AJ412" s="3">
        <v>49</v>
      </c>
      <c r="AL412" s="3">
        <f>AJ412-AG412</f>
        <v>0</v>
      </c>
      <c r="AM412" s="3">
        <v>49</v>
      </c>
      <c r="AO412" s="3">
        <f>AM412-AJ412</f>
        <v>0</v>
      </c>
      <c r="AP412" s="3">
        <v>49</v>
      </c>
      <c r="AS412" s="3">
        <v>49</v>
      </c>
      <c r="AV412" s="3">
        <v>49</v>
      </c>
      <c r="AY412" s="3">
        <v>42</v>
      </c>
      <c r="AZ412" s="3">
        <v>42</v>
      </c>
      <c r="BC412" s="3">
        <v>42</v>
      </c>
      <c r="BD412" s="3">
        <v>50</v>
      </c>
      <c r="BG412" s="3">
        <v>42</v>
      </c>
      <c r="BH412" s="3">
        <v>50</v>
      </c>
    </row>
    <row r="413" spans="1:61">
      <c r="B413" s="103" t="s">
        <v>770</v>
      </c>
      <c r="C413" s="1" t="s">
        <v>855</v>
      </c>
      <c r="D413" s="2"/>
      <c r="E413" s="2"/>
      <c r="F413" s="10"/>
      <c r="G413" s="10"/>
      <c r="H413" s="10"/>
      <c r="I413" s="8"/>
      <c r="J413" s="110"/>
      <c r="Q413" s="3"/>
      <c r="T413" s="3"/>
      <c r="AC413" s="3"/>
      <c r="AI413" s="3"/>
      <c r="AL413" s="3"/>
      <c r="AO413" s="3"/>
      <c r="AY413" s="3">
        <v>42</v>
      </c>
      <c r="AZ413" s="3">
        <v>42</v>
      </c>
      <c r="BC413" s="3">
        <v>42</v>
      </c>
      <c r="BD413" s="3">
        <v>50</v>
      </c>
      <c r="BG413" s="3">
        <v>42</v>
      </c>
      <c r="BH413" s="3">
        <v>50</v>
      </c>
    </row>
    <row r="414" spans="1:61">
      <c r="B414" s="103" t="s">
        <v>770</v>
      </c>
      <c r="C414" s="1" t="s">
        <v>286</v>
      </c>
      <c r="D414" s="2"/>
      <c r="E414" s="2"/>
      <c r="F414" s="10"/>
      <c r="G414" s="10"/>
      <c r="H414" s="10"/>
      <c r="I414" s="8"/>
      <c r="J414" s="110"/>
      <c r="Q414" s="3"/>
      <c r="T414" s="3"/>
      <c r="U414" s="3">
        <v>46</v>
      </c>
      <c r="X414" s="3">
        <v>46</v>
      </c>
      <c r="Z414" s="3">
        <f>X414-U414</f>
        <v>0</v>
      </c>
      <c r="AA414" s="3">
        <v>49</v>
      </c>
      <c r="AC414" s="3">
        <f>AA414-X414</f>
        <v>3</v>
      </c>
      <c r="AD414" s="24">
        <v>49</v>
      </c>
      <c r="AG414" s="3">
        <v>49</v>
      </c>
      <c r="AI414" s="3">
        <f>AG414-AD414</f>
        <v>0</v>
      </c>
      <c r="AJ414" s="3">
        <v>49</v>
      </c>
      <c r="AL414" s="3">
        <f>AJ414-AG414</f>
        <v>0</v>
      </c>
      <c r="AM414" s="3">
        <v>49</v>
      </c>
      <c r="AO414" s="3">
        <f>AM414-AJ414</f>
        <v>0</v>
      </c>
      <c r="AP414" s="3">
        <v>49</v>
      </c>
      <c r="AS414" s="3">
        <v>49</v>
      </c>
      <c r="AV414" s="3">
        <v>49</v>
      </c>
      <c r="AY414" s="3">
        <v>42</v>
      </c>
      <c r="AZ414" s="3">
        <v>42</v>
      </c>
      <c r="BC414" s="3">
        <v>42</v>
      </c>
      <c r="BD414" s="3">
        <v>50</v>
      </c>
      <c r="BG414" s="3">
        <v>42</v>
      </c>
      <c r="BH414" s="3">
        <v>50</v>
      </c>
    </row>
    <row r="415" spans="1:61">
      <c r="B415" s="103" t="s">
        <v>770</v>
      </c>
      <c r="C415" s="1" t="s">
        <v>288</v>
      </c>
      <c r="D415" s="2"/>
      <c r="E415" s="2"/>
      <c r="F415" s="10"/>
      <c r="G415" s="10"/>
      <c r="H415" s="10"/>
      <c r="I415" s="8"/>
      <c r="J415" s="110"/>
      <c r="Q415" s="3"/>
      <c r="T415" s="3"/>
      <c r="U415" s="3">
        <v>46</v>
      </c>
      <c r="X415" s="3">
        <v>46</v>
      </c>
      <c r="Z415" s="3">
        <f>X415-U415</f>
        <v>0</v>
      </c>
      <c r="AA415" s="3">
        <v>49</v>
      </c>
      <c r="AC415" s="3">
        <f>AA415-X415</f>
        <v>3</v>
      </c>
      <c r="AD415" s="24">
        <v>49</v>
      </c>
      <c r="AG415" s="3">
        <v>49</v>
      </c>
      <c r="AI415" s="3">
        <f>AG415-AD415</f>
        <v>0</v>
      </c>
      <c r="AJ415" s="3">
        <v>49</v>
      </c>
      <c r="AL415" s="3">
        <f>AJ415-AG415</f>
        <v>0</v>
      </c>
      <c r="AM415" s="3">
        <v>49</v>
      </c>
      <c r="AO415" s="3">
        <f>AM415-AJ415</f>
        <v>0</v>
      </c>
      <c r="AP415" s="3">
        <v>49</v>
      </c>
      <c r="AS415" s="3">
        <v>49</v>
      </c>
      <c r="AV415" s="3">
        <v>49</v>
      </c>
      <c r="AY415" s="3">
        <v>42</v>
      </c>
      <c r="AZ415" s="3">
        <v>42</v>
      </c>
      <c r="BC415" s="3">
        <v>42</v>
      </c>
      <c r="BD415" s="3">
        <v>60</v>
      </c>
      <c r="BG415" s="3">
        <v>42</v>
      </c>
      <c r="BH415" s="3">
        <v>60</v>
      </c>
    </row>
    <row r="416" spans="1:61">
      <c r="A416" s="6">
        <v>11</v>
      </c>
      <c r="B416" s="103" t="s">
        <v>770</v>
      </c>
      <c r="C416" s="1" t="s">
        <v>57</v>
      </c>
      <c r="D416" s="2"/>
      <c r="E416" s="2"/>
      <c r="F416" s="10"/>
      <c r="G416" s="10"/>
      <c r="H416" s="10"/>
      <c r="I416" s="10"/>
      <c r="J416" s="108"/>
      <c r="AA416" s="3">
        <v>22.2</v>
      </c>
    </row>
    <row r="417" spans="1:65">
      <c r="B417" s="103" t="s">
        <v>770</v>
      </c>
      <c r="C417" s="1" t="s">
        <v>287</v>
      </c>
      <c r="D417" s="2"/>
      <c r="E417" s="2"/>
      <c r="F417" s="10"/>
      <c r="G417" s="10"/>
      <c r="H417" s="10"/>
      <c r="I417" s="8"/>
      <c r="J417" s="110"/>
      <c r="Q417" s="3"/>
      <c r="T417" s="3"/>
      <c r="U417" s="3">
        <v>39</v>
      </c>
      <c r="X417" s="3">
        <v>39</v>
      </c>
      <c r="Z417" s="3">
        <f>X417-U417</f>
        <v>0</v>
      </c>
      <c r="AA417" s="3">
        <v>40</v>
      </c>
      <c r="AC417" s="3">
        <f>AA417-X417</f>
        <v>1</v>
      </c>
      <c r="AD417" s="24">
        <v>39</v>
      </c>
      <c r="AG417" s="3">
        <v>39</v>
      </c>
      <c r="AI417" s="3">
        <f>AG417-AD417</f>
        <v>0</v>
      </c>
      <c r="AJ417" s="3">
        <v>39</v>
      </c>
      <c r="AL417" s="3">
        <f>AJ417-AG417</f>
        <v>0</v>
      </c>
      <c r="AM417" s="3">
        <v>39</v>
      </c>
      <c r="AO417" s="3">
        <f>AM417-AJ417</f>
        <v>0</v>
      </c>
      <c r="AP417" s="3">
        <v>39</v>
      </c>
      <c r="AS417" s="3">
        <v>39</v>
      </c>
      <c r="AV417" s="3">
        <v>39</v>
      </c>
      <c r="AY417" s="3">
        <v>42</v>
      </c>
      <c r="AZ417" s="3">
        <v>42</v>
      </c>
      <c r="BC417" s="3">
        <v>42</v>
      </c>
      <c r="BD417" s="3">
        <v>42</v>
      </c>
      <c r="BG417" s="3">
        <v>42</v>
      </c>
      <c r="BH417" s="3">
        <v>42</v>
      </c>
    </row>
    <row r="418" spans="1:65">
      <c r="A418" s="6">
        <v>1</v>
      </c>
      <c r="B418" s="103" t="s">
        <v>749</v>
      </c>
      <c r="C418" s="1" t="s">
        <v>52</v>
      </c>
      <c r="D418" s="2"/>
      <c r="E418" s="2"/>
      <c r="F418" s="10"/>
      <c r="G418" s="10"/>
      <c r="H418" s="10"/>
      <c r="I418" s="8"/>
      <c r="J418" s="110"/>
      <c r="AK418" s="1" t="s">
        <v>285</v>
      </c>
      <c r="AN418" s="1" t="s">
        <v>285</v>
      </c>
      <c r="AQ418" s="1" t="s">
        <v>285</v>
      </c>
      <c r="AT418" s="1" t="s">
        <v>285</v>
      </c>
      <c r="AW418" s="1" t="s">
        <v>285</v>
      </c>
      <c r="BA418" s="1" t="s">
        <v>285</v>
      </c>
      <c r="BE418" s="1" t="s">
        <v>285</v>
      </c>
      <c r="BI418" s="1" t="s">
        <v>285</v>
      </c>
    </row>
    <row r="419" spans="1:65">
      <c r="A419" s="6">
        <v>3</v>
      </c>
      <c r="B419" s="103" t="s">
        <v>749</v>
      </c>
      <c r="C419" s="1" t="s">
        <v>54</v>
      </c>
      <c r="D419" s="2"/>
      <c r="E419" s="2"/>
      <c r="F419" s="10"/>
      <c r="G419" s="10"/>
      <c r="H419" s="10"/>
      <c r="I419" s="8"/>
      <c r="J419" s="110"/>
      <c r="AK419" s="1" t="s">
        <v>285</v>
      </c>
      <c r="AN419" s="1" t="s">
        <v>285</v>
      </c>
      <c r="AQ419" s="1" t="s">
        <v>285</v>
      </c>
      <c r="AT419" s="1" t="s">
        <v>285</v>
      </c>
      <c r="AW419" s="1" t="s">
        <v>285</v>
      </c>
      <c r="BA419" s="1" t="s">
        <v>285</v>
      </c>
      <c r="BE419" s="1" t="s">
        <v>285</v>
      </c>
      <c r="BI419" s="1" t="s">
        <v>285</v>
      </c>
    </row>
    <row r="420" spans="1:65">
      <c r="A420" s="6">
        <v>4</v>
      </c>
      <c r="B420" s="103" t="s">
        <v>749</v>
      </c>
      <c r="C420" s="1" t="s">
        <v>55</v>
      </c>
      <c r="D420" s="2"/>
      <c r="E420" s="2"/>
      <c r="F420" s="10"/>
      <c r="G420" s="10"/>
      <c r="H420" s="10"/>
      <c r="I420" s="8"/>
      <c r="J420" s="110"/>
      <c r="AK420" s="1" t="s">
        <v>285</v>
      </c>
      <c r="AN420" s="1" t="s">
        <v>285</v>
      </c>
      <c r="AQ420" s="1" t="s">
        <v>285</v>
      </c>
      <c r="AT420" s="1" t="s">
        <v>285</v>
      </c>
      <c r="AW420" s="1" t="s">
        <v>285</v>
      </c>
      <c r="BA420" s="1" t="s">
        <v>285</v>
      </c>
      <c r="BE420" s="1" t="s">
        <v>285</v>
      </c>
      <c r="BI420" s="1" t="s">
        <v>285</v>
      </c>
    </row>
    <row r="421" spans="1:65">
      <c r="A421" s="6">
        <v>5</v>
      </c>
      <c r="B421" s="103" t="s">
        <v>749</v>
      </c>
      <c r="C421" s="1" t="s">
        <v>56</v>
      </c>
      <c r="D421" s="2"/>
      <c r="E421" s="2"/>
      <c r="F421" s="10"/>
      <c r="G421" s="10"/>
      <c r="H421" s="10"/>
      <c r="I421" s="8"/>
      <c r="J421" s="110"/>
      <c r="AK421" s="1" t="s">
        <v>285</v>
      </c>
      <c r="AN421" s="1" t="s">
        <v>285</v>
      </c>
      <c r="AQ421" s="1" t="s">
        <v>285</v>
      </c>
      <c r="AT421" s="1" t="s">
        <v>285</v>
      </c>
      <c r="AW421" s="1" t="s">
        <v>285</v>
      </c>
      <c r="BA421" s="1" t="s">
        <v>285</v>
      </c>
      <c r="BE421" s="1" t="s">
        <v>285</v>
      </c>
      <c r="BI421" s="1" t="s">
        <v>285</v>
      </c>
    </row>
    <row r="422" spans="1:65">
      <c r="A422" s="6">
        <v>2</v>
      </c>
      <c r="B422" s="103" t="s">
        <v>749</v>
      </c>
      <c r="C422" s="1" t="s">
        <v>53</v>
      </c>
      <c r="D422" s="2"/>
      <c r="E422" s="2"/>
      <c r="F422" s="10">
        <v>47.28</v>
      </c>
      <c r="G422" s="10"/>
      <c r="H422" s="10">
        <v>47.28</v>
      </c>
      <c r="I422" s="8"/>
      <c r="J422" s="110"/>
      <c r="M422" s="3">
        <v>48</v>
      </c>
      <c r="O422" s="3">
        <v>48</v>
      </c>
      <c r="Q422" s="3">
        <f>O422-H422</f>
        <v>0.71999999999999886</v>
      </c>
      <c r="AA422" s="3">
        <v>36</v>
      </c>
      <c r="AC422" s="3"/>
      <c r="AK422" s="1" t="s">
        <v>285</v>
      </c>
      <c r="AN422" s="1" t="s">
        <v>285</v>
      </c>
      <c r="AQ422" s="1" t="s">
        <v>285</v>
      </c>
      <c r="AT422" s="1" t="s">
        <v>285</v>
      </c>
      <c r="AW422" s="1" t="s">
        <v>285</v>
      </c>
      <c r="BA422" s="1" t="s">
        <v>285</v>
      </c>
      <c r="BE422" s="1" t="s">
        <v>285</v>
      </c>
      <c r="BI422" s="1" t="s">
        <v>285</v>
      </c>
    </row>
    <row r="423" spans="1:65">
      <c r="A423" s="6">
        <v>12</v>
      </c>
      <c r="B423" s="103" t="s">
        <v>749</v>
      </c>
      <c r="C423" s="1" t="s">
        <v>594</v>
      </c>
      <c r="D423" s="2"/>
      <c r="E423" s="2"/>
      <c r="F423" s="10">
        <v>35.46</v>
      </c>
      <c r="G423" s="10"/>
      <c r="H423" s="10">
        <v>35.46</v>
      </c>
      <c r="I423" s="8"/>
      <c r="J423" s="110"/>
      <c r="M423" s="3">
        <v>36</v>
      </c>
      <c r="O423" s="3">
        <v>36</v>
      </c>
      <c r="Q423" s="3">
        <f>O423-H423</f>
        <v>0.53999999999999915</v>
      </c>
      <c r="R423" s="3">
        <v>13.7</v>
      </c>
      <c r="S423" s="1" t="s">
        <v>22</v>
      </c>
      <c r="T423" s="3">
        <f>R423-O423</f>
        <v>-22.3</v>
      </c>
      <c r="U423" s="3">
        <v>13</v>
      </c>
      <c r="X423" s="3">
        <v>12</v>
      </c>
      <c r="Z423" s="3">
        <f>X423-U423</f>
        <v>-1</v>
      </c>
      <c r="AD423" s="24">
        <f>185/13.5</f>
        <v>13.703703703703704</v>
      </c>
      <c r="AG423" s="3">
        <f>185/13.5</f>
        <v>13.703703703703704</v>
      </c>
      <c r="AK423" s="1" t="s">
        <v>285</v>
      </c>
      <c r="AN423" s="1" t="s">
        <v>285</v>
      </c>
      <c r="AQ423" s="1" t="s">
        <v>285</v>
      </c>
      <c r="AT423" s="1" t="s">
        <v>285</v>
      </c>
      <c r="AW423" s="1" t="s">
        <v>285</v>
      </c>
      <c r="BA423" s="1" t="s">
        <v>285</v>
      </c>
      <c r="BE423" s="1" t="s">
        <v>285</v>
      </c>
      <c r="BI423" s="1" t="s">
        <v>285</v>
      </c>
    </row>
    <row r="424" spans="1:65">
      <c r="A424" s="6">
        <v>14</v>
      </c>
      <c r="B424" s="103" t="s">
        <v>749</v>
      </c>
      <c r="C424" s="1" t="s">
        <v>58</v>
      </c>
      <c r="D424" s="2"/>
      <c r="E424" s="2"/>
      <c r="F424" s="10">
        <v>51</v>
      </c>
      <c r="G424" s="10"/>
      <c r="H424" s="10">
        <v>51</v>
      </c>
      <c r="I424" s="8"/>
      <c r="J424" s="110"/>
      <c r="M424" s="3">
        <v>48</v>
      </c>
      <c r="O424" s="3">
        <v>48</v>
      </c>
      <c r="Q424" s="3">
        <f>O424-H424</f>
        <v>-3</v>
      </c>
      <c r="U424" s="3">
        <v>18</v>
      </c>
      <c r="X424" s="3">
        <v>15</v>
      </c>
      <c r="Z424" s="3">
        <f>X424-U424</f>
        <v>-3</v>
      </c>
      <c r="AA424" s="3">
        <v>48</v>
      </c>
      <c r="AC424" s="3">
        <f>AA424-X424</f>
        <v>33</v>
      </c>
      <c r="AK424" s="1" t="s">
        <v>285</v>
      </c>
      <c r="AN424" s="1" t="s">
        <v>285</v>
      </c>
      <c r="AQ424" s="1" t="s">
        <v>285</v>
      </c>
      <c r="AT424" s="1" t="s">
        <v>285</v>
      </c>
      <c r="AW424" s="1" t="s">
        <v>285</v>
      </c>
      <c r="BA424" s="1" t="s">
        <v>285</v>
      </c>
      <c r="BE424" s="1" t="s">
        <v>285</v>
      </c>
      <c r="BI424" s="1" t="s">
        <v>285</v>
      </c>
    </row>
    <row r="425" spans="1:65">
      <c r="B425" s="103" t="s">
        <v>749</v>
      </c>
      <c r="C425" s="1" t="s">
        <v>289</v>
      </c>
      <c r="D425" s="2"/>
      <c r="E425" s="2"/>
      <c r="F425" s="10"/>
      <c r="G425" s="10"/>
      <c r="H425" s="10"/>
      <c r="I425" s="8"/>
      <c r="J425" s="110"/>
      <c r="Q425" s="3"/>
      <c r="U425" s="3">
        <v>25</v>
      </c>
      <c r="X425" s="3">
        <v>22</v>
      </c>
      <c r="Z425" s="3">
        <f>X425-U425</f>
        <v>-3</v>
      </c>
      <c r="AK425" s="1" t="s">
        <v>285</v>
      </c>
      <c r="AN425" s="1" t="s">
        <v>285</v>
      </c>
      <c r="AQ425" s="1" t="s">
        <v>285</v>
      </c>
      <c r="AT425" s="1" t="s">
        <v>285</v>
      </c>
      <c r="AW425" s="1" t="s">
        <v>285</v>
      </c>
      <c r="BA425" s="1" t="s">
        <v>285</v>
      </c>
      <c r="BE425" s="1" t="s">
        <v>285</v>
      </c>
      <c r="BI425" s="1" t="s">
        <v>285</v>
      </c>
    </row>
    <row r="426" spans="1:65">
      <c r="B426" s="103" t="s">
        <v>749</v>
      </c>
      <c r="C426" s="1" t="s">
        <v>64</v>
      </c>
      <c r="D426" s="2"/>
      <c r="E426" s="2"/>
      <c r="F426" s="10"/>
      <c r="G426" s="10"/>
      <c r="H426" s="10"/>
      <c r="I426" s="8"/>
      <c r="J426" s="110"/>
      <c r="Q426" s="3"/>
      <c r="U426" s="3">
        <v>25</v>
      </c>
      <c r="X426" s="3">
        <v>22</v>
      </c>
      <c r="Z426" s="3">
        <f>X426-U426</f>
        <v>-3</v>
      </c>
      <c r="AK426" s="1" t="s">
        <v>285</v>
      </c>
      <c r="AN426" s="1" t="s">
        <v>285</v>
      </c>
      <c r="AQ426" s="1" t="s">
        <v>285</v>
      </c>
      <c r="AT426" s="1" t="s">
        <v>285</v>
      </c>
      <c r="AW426" s="1" t="s">
        <v>285</v>
      </c>
      <c r="BA426" s="1" t="s">
        <v>285</v>
      </c>
      <c r="BE426" s="1" t="s">
        <v>285</v>
      </c>
      <c r="BI426" s="1" t="s">
        <v>285</v>
      </c>
    </row>
    <row r="427" spans="1:65">
      <c r="A427" s="6">
        <v>11</v>
      </c>
      <c r="B427" s="103" t="s">
        <v>749</v>
      </c>
      <c r="C427" s="1" t="s">
        <v>57</v>
      </c>
      <c r="D427" s="2"/>
      <c r="E427" s="2"/>
      <c r="F427" s="10"/>
      <c r="G427" s="10"/>
      <c r="H427" s="10"/>
      <c r="I427" s="8"/>
      <c r="J427" s="110"/>
      <c r="AK427" s="1" t="s">
        <v>285</v>
      </c>
      <c r="AN427" s="1" t="s">
        <v>285</v>
      </c>
      <c r="AQ427" s="1" t="s">
        <v>285</v>
      </c>
      <c r="AT427" s="1" t="s">
        <v>285</v>
      </c>
      <c r="AW427" s="1" t="s">
        <v>285</v>
      </c>
      <c r="BA427" s="1" t="s">
        <v>285</v>
      </c>
      <c r="BE427" s="1" t="s">
        <v>285</v>
      </c>
      <c r="BI427" s="1" t="s">
        <v>285</v>
      </c>
    </row>
    <row r="428" spans="1:65">
      <c r="B428" s="103" t="s">
        <v>750</v>
      </c>
      <c r="C428" s="1" t="s">
        <v>913</v>
      </c>
      <c r="D428" s="2"/>
      <c r="E428" s="2"/>
      <c r="F428" s="10"/>
      <c r="G428" s="10"/>
      <c r="H428" s="10"/>
      <c r="J428" s="108"/>
      <c r="Q428" s="3"/>
      <c r="AC428" s="3"/>
      <c r="AY428" s="3">
        <v>28</v>
      </c>
      <c r="AZ428" s="3">
        <v>34.5</v>
      </c>
      <c r="BC428" s="3">
        <v>42</v>
      </c>
      <c r="BD428" s="3">
        <v>44.5</v>
      </c>
      <c r="BG428" s="3">
        <v>30</v>
      </c>
      <c r="BH428" s="3">
        <v>20.5</v>
      </c>
      <c r="BI428" s="1" t="s">
        <v>1003</v>
      </c>
      <c r="BK428" s="3">
        <v>20.5</v>
      </c>
      <c r="BL428" s="3">
        <v>14.5</v>
      </c>
      <c r="BM428" s="1" t="s">
        <v>1101</v>
      </c>
    </row>
    <row r="429" spans="1:65">
      <c r="A429" s="6">
        <v>1</v>
      </c>
      <c r="B429" s="103" t="s">
        <v>750</v>
      </c>
      <c r="C429" s="1" t="s">
        <v>52</v>
      </c>
      <c r="D429" s="2">
        <v>15</v>
      </c>
      <c r="E429" s="2"/>
      <c r="F429" s="10">
        <v>11</v>
      </c>
      <c r="G429" s="10"/>
      <c r="H429" s="10">
        <v>11</v>
      </c>
      <c r="I429" s="8">
        <f>H429-D429</f>
        <v>-4</v>
      </c>
      <c r="J429" s="108"/>
      <c r="L429" s="1" t="s">
        <v>785</v>
      </c>
      <c r="M429" s="3">
        <v>11</v>
      </c>
      <c r="O429" s="3">
        <v>11</v>
      </c>
      <c r="Q429" s="3">
        <f>O429-H429</f>
        <v>0</v>
      </c>
      <c r="U429" s="3">
        <v>13</v>
      </c>
      <c r="W429" s="3"/>
      <c r="X429" s="3">
        <v>11</v>
      </c>
      <c r="Z429" s="3">
        <f>X429-U429</f>
        <v>-2</v>
      </c>
    </row>
    <row r="430" spans="1:65">
      <c r="A430" s="6">
        <v>3</v>
      </c>
      <c r="B430" s="103" t="s">
        <v>750</v>
      </c>
      <c r="C430" s="1" t="s">
        <v>54</v>
      </c>
      <c r="D430" s="2"/>
      <c r="E430" s="2"/>
      <c r="F430" s="10">
        <v>0</v>
      </c>
      <c r="G430" s="10"/>
      <c r="H430" s="10">
        <v>0</v>
      </c>
      <c r="I430" s="10"/>
      <c r="J430" s="108"/>
    </row>
    <row r="431" spans="1:65">
      <c r="A431" s="6">
        <v>4</v>
      </c>
      <c r="B431" s="103" t="s">
        <v>750</v>
      </c>
      <c r="C431" s="1" t="s">
        <v>55</v>
      </c>
      <c r="D431" s="2"/>
      <c r="E431" s="2"/>
      <c r="F431" s="10">
        <v>0</v>
      </c>
      <c r="G431" s="10"/>
      <c r="H431" s="10">
        <v>0</v>
      </c>
      <c r="I431" s="10"/>
      <c r="J431" s="108"/>
    </row>
    <row r="432" spans="1:65">
      <c r="A432" s="6">
        <v>5</v>
      </c>
      <c r="B432" s="103" t="s">
        <v>750</v>
      </c>
      <c r="C432" s="1" t="s">
        <v>56</v>
      </c>
      <c r="D432" s="2"/>
      <c r="E432" s="2"/>
      <c r="F432" s="10">
        <v>0</v>
      </c>
      <c r="G432" s="10"/>
      <c r="H432" s="10">
        <v>0</v>
      </c>
      <c r="I432" s="10"/>
      <c r="J432" s="108"/>
      <c r="U432" s="3">
        <v>13.5</v>
      </c>
      <c r="X432" s="3">
        <v>11</v>
      </c>
      <c r="Z432" s="3">
        <f>X432-U432</f>
        <v>-2.5</v>
      </c>
    </row>
    <row r="433" spans="1:65">
      <c r="A433" s="6">
        <v>2</v>
      </c>
      <c r="B433" s="103" t="s">
        <v>750</v>
      </c>
      <c r="C433" s="1" t="s">
        <v>53</v>
      </c>
      <c r="D433" s="2">
        <v>12</v>
      </c>
      <c r="E433" s="2"/>
      <c r="F433" s="10">
        <v>15</v>
      </c>
      <c r="G433" s="10"/>
      <c r="H433" s="10">
        <v>15</v>
      </c>
      <c r="I433" s="10">
        <f>H433-D433</f>
        <v>3</v>
      </c>
      <c r="J433" s="108"/>
      <c r="L433" s="1" t="s">
        <v>533</v>
      </c>
      <c r="M433" s="3">
        <v>15</v>
      </c>
      <c r="O433" s="3">
        <v>15</v>
      </c>
      <c r="Q433" s="3">
        <f>O433-H433</f>
        <v>0</v>
      </c>
      <c r="U433" s="3">
        <v>14</v>
      </c>
      <c r="X433" s="3">
        <v>11</v>
      </c>
      <c r="Z433" s="3">
        <f>X433-U433</f>
        <v>-3</v>
      </c>
    </row>
    <row r="434" spans="1:65">
      <c r="B434" s="103" t="s">
        <v>750</v>
      </c>
      <c r="C434" s="1" t="s">
        <v>914</v>
      </c>
      <c r="D434" s="2"/>
      <c r="E434" s="2"/>
      <c r="F434" s="10"/>
      <c r="G434" s="10"/>
      <c r="H434" s="10"/>
      <c r="J434" s="108"/>
      <c r="Q434" s="3"/>
      <c r="AC434" s="3"/>
      <c r="AY434" s="3">
        <v>14.5</v>
      </c>
      <c r="AZ434" s="3">
        <v>18.5</v>
      </c>
      <c r="BC434" s="3">
        <v>7.5</v>
      </c>
      <c r="BD434" s="3">
        <v>10.5</v>
      </c>
      <c r="BG434" s="3">
        <v>7.5</v>
      </c>
      <c r="BH434" s="3">
        <v>7</v>
      </c>
      <c r="BI434" s="1" t="s">
        <v>1004</v>
      </c>
      <c r="BK434" s="3">
        <v>7</v>
      </c>
      <c r="BL434" s="3">
        <v>5.5</v>
      </c>
      <c r="BM434" s="1" t="s">
        <v>1004</v>
      </c>
    </row>
    <row r="435" spans="1:65">
      <c r="A435" s="6">
        <v>12</v>
      </c>
      <c r="B435" s="103" t="s">
        <v>750</v>
      </c>
      <c r="C435" s="1" t="s">
        <v>594</v>
      </c>
      <c r="D435" s="2">
        <v>10</v>
      </c>
      <c r="E435" s="2"/>
      <c r="F435" s="10">
        <v>9</v>
      </c>
      <c r="G435" s="10"/>
      <c r="H435" s="10">
        <v>9</v>
      </c>
      <c r="I435" s="8">
        <f>H435-D435</f>
        <v>-1</v>
      </c>
      <c r="J435" s="108"/>
      <c r="M435" s="3">
        <v>9</v>
      </c>
      <c r="O435" s="3">
        <v>9</v>
      </c>
      <c r="Q435" s="3">
        <f>O435-H435</f>
        <v>0</v>
      </c>
      <c r="U435" s="3">
        <v>9</v>
      </c>
      <c r="X435" s="3">
        <v>12</v>
      </c>
      <c r="Z435" s="3">
        <f>X435-U435</f>
        <v>3</v>
      </c>
      <c r="AA435" s="3">
        <v>12</v>
      </c>
      <c r="AC435" s="3">
        <f>AA435-X435</f>
        <v>0</v>
      </c>
      <c r="AD435" s="24">
        <v>30</v>
      </c>
      <c r="AG435" s="3">
        <v>30</v>
      </c>
      <c r="AI435" s="3">
        <f>AG435-AD435</f>
        <v>0</v>
      </c>
      <c r="AJ435" s="3">
        <v>35</v>
      </c>
      <c r="AL435" s="3">
        <f>AJ435-AG435</f>
        <v>5</v>
      </c>
      <c r="AM435" s="3">
        <v>37</v>
      </c>
      <c r="AO435" s="3">
        <f>AM435-AJ435</f>
        <v>2</v>
      </c>
      <c r="AP435" s="3">
        <v>35</v>
      </c>
      <c r="AS435" s="3">
        <v>33</v>
      </c>
      <c r="AV435" s="3">
        <v>35</v>
      </c>
      <c r="AY435" s="3">
        <v>35</v>
      </c>
      <c r="AZ435" s="3">
        <v>38.5</v>
      </c>
      <c r="BC435" s="3">
        <v>35</v>
      </c>
      <c r="BD435" s="3">
        <v>37</v>
      </c>
      <c r="BG435" s="3">
        <v>35</v>
      </c>
      <c r="BH435" s="3">
        <v>37.5</v>
      </c>
      <c r="BI435" s="1" t="s">
        <v>999</v>
      </c>
      <c r="BK435" s="3">
        <v>37.5</v>
      </c>
      <c r="BL435" s="3">
        <v>29</v>
      </c>
      <c r="BM435" s="1" t="s">
        <v>1095</v>
      </c>
    </row>
    <row r="436" spans="1:65">
      <c r="B436" s="103" t="s">
        <v>750</v>
      </c>
      <c r="C436" s="1" t="s">
        <v>857</v>
      </c>
      <c r="D436" s="2"/>
      <c r="E436" s="2"/>
      <c r="F436" s="10"/>
      <c r="G436" s="10"/>
      <c r="H436" s="10"/>
      <c r="I436" s="8"/>
      <c r="J436" s="108"/>
      <c r="Q436" s="3"/>
      <c r="AC436" s="3"/>
      <c r="AI436" s="3"/>
      <c r="AL436" s="3"/>
      <c r="AO436" s="3"/>
      <c r="BL436" s="3">
        <v>30</v>
      </c>
      <c r="BM436" s="1" t="s">
        <v>1096</v>
      </c>
    </row>
    <row r="437" spans="1:65">
      <c r="A437" s="6">
        <v>14</v>
      </c>
      <c r="B437" s="103" t="s">
        <v>750</v>
      </c>
      <c r="C437" s="1" t="s">
        <v>58</v>
      </c>
      <c r="D437" s="2">
        <v>10</v>
      </c>
      <c r="E437" s="2"/>
      <c r="F437" s="10">
        <v>20</v>
      </c>
      <c r="G437" s="10"/>
      <c r="H437" s="10">
        <v>20</v>
      </c>
      <c r="I437" s="9">
        <f>H437-D437</f>
        <v>10</v>
      </c>
      <c r="J437" s="108"/>
      <c r="L437" s="1" t="s">
        <v>302</v>
      </c>
      <c r="M437" s="3">
        <v>20</v>
      </c>
      <c r="O437" s="3">
        <v>20</v>
      </c>
      <c r="Q437" s="3">
        <f>O437-H437</f>
        <v>0</v>
      </c>
      <c r="U437" s="3">
        <v>15</v>
      </c>
      <c r="X437" s="3">
        <v>22</v>
      </c>
      <c r="Z437" s="3">
        <f>X437-U437</f>
        <v>7</v>
      </c>
      <c r="AA437" s="3">
        <v>22</v>
      </c>
      <c r="AC437" s="3">
        <f>AA437-X437</f>
        <v>0</v>
      </c>
      <c r="AD437" s="24">
        <v>31.5</v>
      </c>
      <c r="AG437" s="3">
        <v>32.5</v>
      </c>
      <c r="AI437" s="3">
        <f>AG437-AD437</f>
        <v>1</v>
      </c>
      <c r="AJ437" s="3">
        <v>38.5</v>
      </c>
      <c r="AL437" s="3">
        <f>AJ437-AG437</f>
        <v>6</v>
      </c>
      <c r="AM437" s="3">
        <v>43.5</v>
      </c>
      <c r="AO437" s="3">
        <f>AM437-AJ437</f>
        <v>5</v>
      </c>
      <c r="AP437" s="3">
        <v>37</v>
      </c>
      <c r="AS437" s="3">
        <v>38</v>
      </c>
      <c r="AV437" s="3">
        <v>39</v>
      </c>
      <c r="AY437" s="3">
        <v>39.5</v>
      </c>
      <c r="AZ437" s="3">
        <v>46</v>
      </c>
      <c r="BC437" s="3">
        <v>39.5</v>
      </c>
      <c r="BD437" s="3">
        <v>41.5</v>
      </c>
      <c r="BG437" s="3">
        <v>39.5</v>
      </c>
      <c r="BH437" s="3">
        <v>41.5</v>
      </c>
      <c r="BI437" s="1" t="s">
        <v>999</v>
      </c>
      <c r="BK437" s="3">
        <v>41.5</v>
      </c>
      <c r="BL437" s="3">
        <v>33.5</v>
      </c>
      <c r="BM437" s="1" t="s">
        <v>1095</v>
      </c>
    </row>
    <row r="438" spans="1:65">
      <c r="B438" s="103" t="s">
        <v>750</v>
      </c>
      <c r="C438" s="1" t="s">
        <v>289</v>
      </c>
      <c r="D438" s="2"/>
      <c r="E438" s="2"/>
      <c r="F438" s="10"/>
      <c r="G438" s="10"/>
      <c r="H438" s="10"/>
      <c r="J438" s="108"/>
      <c r="Q438" s="3"/>
      <c r="U438" s="3">
        <v>44</v>
      </c>
      <c r="X438" s="3">
        <v>44</v>
      </c>
      <c r="Z438" s="3">
        <f>X438-U438</f>
        <v>0</v>
      </c>
      <c r="AA438" s="3">
        <v>46</v>
      </c>
      <c r="AC438" s="3">
        <f>AA438-X438</f>
        <v>2</v>
      </c>
      <c r="AD438" s="24">
        <v>48</v>
      </c>
      <c r="AG438" s="3">
        <v>45</v>
      </c>
      <c r="AI438" s="3">
        <f>AG438-AD438</f>
        <v>-3</v>
      </c>
      <c r="AJ438" s="3">
        <v>44.5</v>
      </c>
      <c r="AL438" s="3">
        <f>AJ438-AG438</f>
        <v>-0.5</v>
      </c>
      <c r="AM438" s="3">
        <v>45.5</v>
      </c>
      <c r="AO438" s="3">
        <f>AM438-AJ438</f>
        <v>1</v>
      </c>
      <c r="AP438" s="3">
        <v>28</v>
      </c>
      <c r="AS438" s="3">
        <v>27</v>
      </c>
      <c r="AV438" s="3">
        <v>28</v>
      </c>
      <c r="AY438" s="3">
        <v>28.5</v>
      </c>
      <c r="AZ438" s="3">
        <v>34.5</v>
      </c>
      <c r="BC438" s="3">
        <v>28.5</v>
      </c>
      <c r="BD438" s="3">
        <v>32.5</v>
      </c>
      <c r="BG438" s="3">
        <v>26.5</v>
      </c>
      <c r="BH438" s="3">
        <v>14</v>
      </c>
      <c r="BI438" s="1" t="s">
        <v>999</v>
      </c>
      <c r="BK438" s="3">
        <v>14</v>
      </c>
      <c r="BL438" s="3">
        <v>11</v>
      </c>
      <c r="BM438" s="1" t="s">
        <v>1100</v>
      </c>
    </row>
    <row r="439" spans="1:65">
      <c r="B439" s="103" t="s">
        <v>750</v>
      </c>
      <c r="C439" s="1" t="s">
        <v>290</v>
      </c>
      <c r="D439" s="2"/>
      <c r="E439" s="2"/>
      <c r="F439" s="10"/>
      <c r="G439" s="10"/>
      <c r="H439" s="10"/>
      <c r="J439" s="108"/>
      <c r="Q439" s="3"/>
      <c r="U439" s="3">
        <v>42</v>
      </c>
      <c r="X439" s="3">
        <v>40</v>
      </c>
      <c r="Z439" s="3">
        <f>X439-U439</f>
        <v>-2</v>
      </c>
      <c r="AD439" s="24">
        <v>43</v>
      </c>
      <c r="AG439" s="3">
        <v>40</v>
      </c>
      <c r="AI439" s="3">
        <f>AG439-AD439</f>
        <v>-3</v>
      </c>
      <c r="AJ439" s="3">
        <v>45</v>
      </c>
      <c r="AL439" s="3">
        <f>AJ439-AG439</f>
        <v>5</v>
      </c>
      <c r="AM439" s="3">
        <v>48</v>
      </c>
      <c r="AO439" s="3">
        <f>AM439-AJ439</f>
        <v>3</v>
      </c>
      <c r="AP439" s="3">
        <v>34</v>
      </c>
      <c r="AS439" s="3">
        <v>36</v>
      </c>
      <c r="AV439" s="3">
        <v>41</v>
      </c>
      <c r="AY439" s="3">
        <v>41</v>
      </c>
      <c r="AZ439" s="3">
        <v>47.5</v>
      </c>
      <c r="BC439" s="3">
        <v>41</v>
      </c>
      <c r="BD439" s="3">
        <v>43.5</v>
      </c>
      <c r="BG439" s="3">
        <v>41</v>
      </c>
      <c r="BI439" s="1" t="s">
        <v>1002</v>
      </c>
      <c r="BM439" s="1" t="s">
        <v>1102</v>
      </c>
    </row>
    <row r="440" spans="1:65">
      <c r="B440" s="103" t="s">
        <v>750</v>
      </c>
      <c r="C440" s="1" t="s">
        <v>64</v>
      </c>
      <c r="D440" s="2"/>
      <c r="E440" s="2"/>
      <c r="F440" s="10"/>
      <c r="G440" s="10"/>
      <c r="H440" s="10"/>
      <c r="J440" s="108"/>
      <c r="Q440" s="3"/>
      <c r="U440" s="3">
        <v>15</v>
      </c>
      <c r="X440" s="3">
        <v>20</v>
      </c>
      <c r="Z440" s="3">
        <f>X440-U440</f>
        <v>5</v>
      </c>
      <c r="AA440" s="3">
        <v>20</v>
      </c>
      <c r="AC440" s="3">
        <f>AA440-X440</f>
        <v>0</v>
      </c>
      <c r="AD440" s="24">
        <v>30</v>
      </c>
      <c r="AG440" s="3">
        <v>34</v>
      </c>
      <c r="AI440" s="3">
        <f>AG440-AD440</f>
        <v>4</v>
      </c>
      <c r="AJ440" s="3">
        <v>34</v>
      </c>
      <c r="AL440" s="3">
        <f>AJ440-AG440</f>
        <v>0</v>
      </c>
      <c r="AM440" s="3">
        <v>40</v>
      </c>
      <c r="AO440" s="3">
        <f>AM440-AJ440</f>
        <v>6</v>
      </c>
      <c r="AP440" s="3">
        <v>38</v>
      </c>
      <c r="AS440" s="3">
        <v>39</v>
      </c>
      <c r="AV440" s="3">
        <v>39</v>
      </c>
      <c r="AY440" s="3">
        <v>39.5</v>
      </c>
      <c r="AZ440" s="3">
        <v>47.5</v>
      </c>
      <c r="BC440" s="3">
        <v>39.5</v>
      </c>
      <c r="BD440" s="3">
        <v>42.5</v>
      </c>
      <c r="BG440" s="3">
        <v>39.5</v>
      </c>
      <c r="BH440" s="3">
        <v>40.5</v>
      </c>
      <c r="BI440" s="1" t="s">
        <v>1000</v>
      </c>
      <c r="BK440" s="3">
        <v>40.5</v>
      </c>
      <c r="BL440" s="3">
        <v>36.5</v>
      </c>
      <c r="BM440" s="1" t="s">
        <v>1097</v>
      </c>
    </row>
    <row r="441" spans="1:65">
      <c r="B441" s="103" t="s">
        <v>750</v>
      </c>
      <c r="C441" s="1" t="s">
        <v>855</v>
      </c>
      <c r="D441" s="2"/>
      <c r="E441" s="2"/>
      <c r="F441" s="10"/>
      <c r="G441" s="10"/>
      <c r="H441" s="10"/>
      <c r="J441" s="108"/>
      <c r="Q441" s="3"/>
      <c r="AC441" s="3"/>
      <c r="AI441" s="3"/>
      <c r="AL441" s="3"/>
      <c r="AO441" s="3"/>
      <c r="AY441" s="3">
        <v>40</v>
      </c>
      <c r="AZ441" s="3">
        <v>48</v>
      </c>
      <c r="BC441" s="3">
        <v>38.5</v>
      </c>
      <c r="BD441" s="3">
        <v>40</v>
      </c>
      <c r="BG441" s="3">
        <v>38.5</v>
      </c>
      <c r="BH441" s="3">
        <v>42.5</v>
      </c>
      <c r="BI441" s="1" t="s">
        <v>999</v>
      </c>
      <c r="BK441" s="3">
        <v>42.5</v>
      </c>
      <c r="BL441" s="3">
        <v>39.5</v>
      </c>
      <c r="BM441" s="1" t="s">
        <v>1098</v>
      </c>
    </row>
    <row r="442" spans="1:65">
      <c r="B442" s="103" t="s">
        <v>750</v>
      </c>
      <c r="C442" s="1" t="s">
        <v>286</v>
      </c>
      <c r="D442" s="2"/>
      <c r="E442" s="2"/>
      <c r="F442" s="10"/>
      <c r="G442" s="10"/>
      <c r="H442" s="10"/>
      <c r="J442" s="108"/>
      <c r="Q442" s="3"/>
      <c r="U442" s="3">
        <v>15</v>
      </c>
      <c r="X442" s="3">
        <v>20</v>
      </c>
      <c r="Z442" s="3">
        <f>X442-U442</f>
        <v>5</v>
      </c>
      <c r="AA442" s="3">
        <v>20</v>
      </c>
      <c r="AC442" s="3">
        <f>AA442-X442</f>
        <v>0</v>
      </c>
      <c r="AD442" s="24">
        <v>34</v>
      </c>
      <c r="AG442" s="3">
        <v>35</v>
      </c>
      <c r="AI442" s="3">
        <f>AG442-AD442</f>
        <v>1</v>
      </c>
      <c r="AJ442" s="3">
        <v>38</v>
      </c>
      <c r="AL442" s="3">
        <f>AJ442-AG442</f>
        <v>3</v>
      </c>
      <c r="AM442" s="3">
        <v>38.5</v>
      </c>
      <c r="AO442" s="3">
        <f>AM442-AJ442</f>
        <v>0.5</v>
      </c>
      <c r="AP442" s="3">
        <v>38</v>
      </c>
      <c r="AS442" s="3">
        <v>37</v>
      </c>
      <c r="AV442" s="3">
        <v>38</v>
      </c>
      <c r="AY442" s="3">
        <v>38</v>
      </c>
      <c r="AZ442" s="3">
        <v>46.5</v>
      </c>
      <c r="BC442" s="3">
        <v>38</v>
      </c>
      <c r="BD442" s="3">
        <v>39.5</v>
      </c>
      <c r="BG442" s="3">
        <v>38.5</v>
      </c>
      <c r="BH442" s="3">
        <v>43.5</v>
      </c>
      <c r="BI442" s="1" t="s">
        <v>999</v>
      </c>
      <c r="BK442" s="3">
        <v>43.5</v>
      </c>
      <c r="BL442" s="3">
        <v>40.5</v>
      </c>
      <c r="BM442" s="1" t="s">
        <v>1098</v>
      </c>
    </row>
    <row r="443" spans="1:65">
      <c r="B443" s="103" t="s">
        <v>750</v>
      </c>
      <c r="C443" s="1" t="s">
        <v>288</v>
      </c>
      <c r="D443" s="2"/>
      <c r="E443" s="2"/>
      <c r="F443" s="10"/>
      <c r="G443" s="10"/>
      <c r="H443" s="10"/>
      <c r="J443" s="108"/>
      <c r="Q443" s="3"/>
      <c r="U443" s="3">
        <v>15</v>
      </c>
      <c r="X443" s="3">
        <v>20</v>
      </c>
      <c r="Z443" s="3">
        <f>X443-U443</f>
        <v>5</v>
      </c>
      <c r="AA443" s="3">
        <v>20</v>
      </c>
      <c r="AC443" s="3">
        <f>AA443-X443</f>
        <v>0</v>
      </c>
      <c r="AD443" s="24">
        <v>33</v>
      </c>
      <c r="AG443" s="3">
        <v>31</v>
      </c>
      <c r="AI443" s="3">
        <f>AG443-AD443</f>
        <v>-2</v>
      </c>
      <c r="AJ443" s="3">
        <v>36.5</v>
      </c>
      <c r="AL443" s="3">
        <f>AJ443-AG443</f>
        <v>5.5</v>
      </c>
      <c r="AM443" s="3">
        <v>41.5</v>
      </c>
      <c r="AO443" s="3">
        <f>AM443-AJ443</f>
        <v>5</v>
      </c>
      <c r="AP443" s="3">
        <v>40</v>
      </c>
      <c r="AS443" s="3">
        <v>41</v>
      </c>
      <c r="AV443" s="3">
        <v>41</v>
      </c>
      <c r="AY443" s="3">
        <v>41.5</v>
      </c>
      <c r="AZ443" s="3">
        <v>49.5</v>
      </c>
      <c r="BC443" s="3">
        <v>41.5</v>
      </c>
      <c r="BD443" s="3">
        <v>43</v>
      </c>
      <c r="BG443" s="3">
        <v>41</v>
      </c>
      <c r="BH443" s="3">
        <v>42.5</v>
      </c>
      <c r="BI443" s="1" t="s">
        <v>1001</v>
      </c>
      <c r="BK443" s="3">
        <v>42.5</v>
      </c>
      <c r="BL443" s="3">
        <v>39</v>
      </c>
      <c r="BM443" s="1" t="s">
        <v>1098</v>
      </c>
    </row>
    <row r="444" spans="1:65">
      <c r="A444" s="6">
        <v>11</v>
      </c>
      <c r="B444" s="103" t="s">
        <v>750</v>
      </c>
      <c r="C444" s="1" t="s">
        <v>57</v>
      </c>
      <c r="D444" s="2"/>
      <c r="E444" s="2"/>
      <c r="F444" s="10">
        <v>16</v>
      </c>
      <c r="G444" s="10"/>
      <c r="H444" s="10">
        <v>16</v>
      </c>
      <c r="I444" s="10"/>
      <c r="J444" s="108"/>
      <c r="M444" s="3">
        <v>16</v>
      </c>
      <c r="O444" s="3">
        <v>16</v>
      </c>
      <c r="Q444" s="3">
        <f>O444-H444</f>
        <v>0</v>
      </c>
      <c r="U444" s="3">
        <v>16</v>
      </c>
      <c r="X444" s="3">
        <v>9</v>
      </c>
      <c r="Z444" s="3">
        <f>X444-U444</f>
        <v>-7</v>
      </c>
    </row>
    <row r="445" spans="1:65">
      <c r="B445" s="103" t="s">
        <v>750</v>
      </c>
      <c r="C445" s="1" t="s">
        <v>287</v>
      </c>
      <c r="D445" s="2"/>
      <c r="E445" s="2"/>
      <c r="F445" s="10"/>
      <c r="G445" s="10"/>
      <c r="H445" s="10"/>
      <c r="J445" s="108"/>
      <c r="Q445" s="3"/>
      <c r="U445" s="3">
        <v>15</v>
      </c>
      <c r="X445" s="3">
        <v>9</v>
      </c>
      <c r="Z445" s="3">
        <f>X445-U445</f>
        <v>-6</v>
      </c>
      <c r="AA445" s="3">
        <v>8</v>
      </c>
      <c r="AC445" s="3">
        <f>AA445-X445</f>
        <v>-1</v>
      </c>
      <c r="BD445" s="3">
        <v>36.5</v>
      </c>
      <c r="BG445" s="3">
        <v>36.5</v>
      </c>
      <c r="BH445" s="3">
        <v>37</v>
      </c>
      <c r="BI445" s="1" t="s">
        <v>999</v>
      </c>
      <c r="BK445" s="3">
        <v>37</v>
      </c>
      <c r="BL445" s="3">
        <v>33</v>
      </c>
      <c r="BM445" s="1" t="s">
        <v>1099</v>
      </c>
    </row>
    <row r="446" spans="1:65">
      <c r="A446" s="6">
        <v>1</v>
      </c>
      <c r="B446" s="103" t="s">
        <v>751</v>
      </c>
      <c r="C446" s="1" t="s">
        <v>52</v>
      </c>
      <c r="D446" s="2">
        <v>7.3</v>
      </c>
      <c r="E446" s="2"/>
      <c r="F446" s="8">
        <v>9.1</v>
      </c>
      <c r="G446" s="8"/>
      <c r="H446" s="8">
        <v>9.1</v>
      </c>
      <c r="I446" s="8">
        <f>H446-D446</f>
        <v>1.7999999999999998</v>
      </c>
      <c r="K446" s="3"/>
      <c r="M446" s="3">
        <v>13.37</v>
      </c>
      <c r="O446" s="3">
        <v>13.37</v>
      </c>
      <c r="P446" s="1" t="s">
        <v>250</v>
      </c>
      <c r="Q446" s="3">
        <f>O446-H446</f>
        <v>4.2699999999999996</v>
      </c>
    </row>
    <row r="447" spans="1:65">
      <c r="A447" s="6">
        <v>3</v>
      </c>
      <c r="B447" s="103" t="s">
        <v>751</v>
      </c>
      <c r="C447" s="1" t="s">
        <v>54</v>
      </c>
      <c r="D447" s="2">
        <v>10</v>
      </c>
      <c r="E447" s="2"/>
      <c r="F447" s="8">
        <v>0</v>
      </c>
      <c r="G447" s="8"/>
      <c r="H447" s="8">
        <v>0</v>
      </c>
      <c r="I447" s="8"/>
      <c r="P447" s="1" t="s">
        <v>181</v>
      </c>
    </row>
    <row r="448" spans="1:65">
      <c r="A448" s="6">
        <v>4</v>
      </c>
      <c r="B448" s="103" t="s">
        <v>751</v>
      </c>
      <c r="C448" s="1" t="s">
        <v>55</v>
      </c>
      <c r="D448" s="2"/>
      <c r="E448" s="2"/>
      <c r="F448" s="8">
        <v>0</v>
      </c>
      <c r="G448" s="8"/>
      <c r="H448" s="8">
        <v>0</v>
      </c>
      <c r="I448" s="8"/>
      <c r="P448" s="1" t="s">
        <v>181</v>
      </c>
    </row>
    <row r="449" spans="1:60">
      <c r="A449" s="6">
        <v>5</v>
      </c>
      <c r="B449" s="103" t="s">
        <v>751</v>
      </c>
      <c r="C449" s="1" t="s">
        <v>56</v>
      </c>
      <c r="D449" s="2"/>
      <c r="E449" s="2"/>
      <c r="F449" s="8">
        <v>5.5</v>
      </c>
      <c r="G449" s="8"/>
      <c r="H449" s="8">
        <v>5.5</v>
      </c>
      <c r="I449" s="8"/>
      <c r="P449" s="1" t="s">
        <v>182</v>
      </c>
    </row>
    <row r="450" spans="1:60">
      <c r="A450" s="6">
        <v>2</v>
      </c>
      <c r="B450" s="103" t="s">
        <v>751</v>
      </c>
      <c r="C450" s="1" t="s">
        <v>53</v>
      </c>
      <c r="D450" s="2">
        <v>7.8</v>
      </c>
      <c r="E450" s="2"/>
      <c r="F450" s="8">
        <v>8.3000000000000007</v>
      </c>
      <c r="G450" s="8"/>
      <c r="H450" s="8">
        <v>8.3000000000000007</v>
      </c>
      <c r="I450" s="10">
        <f>H450-D450</f>
        <v>0.50000000000000089</v>
      </c>
      <c r="K450" s="3"/>
      <c r="M450" s="3">
        <v>10.23</v>
      </c>
      <c r="O450" s="3">
        <v>10.23</v>
      </c>
      <c r="Q450" s="3">
        <f>O450-H450</f>
        <v>1.9299999999999997</v>
      </c>
      <c r="R450" s="3">
        <v>12</v>
      </c>
      <c r="S450" s="1" t="s">
        <v>608</v>
      </c>
      <c r="T450" s="3">
        <f>R450-O450</f>
        <v>1.7699999999999996</v>
      </c>
      <c r="U450" s="3">
        <v>12</v>
      </c>
      <c r="W450" s="3">
        <f>U450-R450</f>
        <v>0</v>
      </c>
    </row>
    <row r="451" spans="1:60">
      <c r="B451" s="103" t="s">
        <v>751</v>
      </c>
      <c r="C451" s="1" t="s">
        <v>1021</v>
      </c>
      <c r="D451" s="2"/>
      <c r="E451" s="2"/>
      <c r="F451" s="8"/>
      <c r="G451" s="8"/>
      <c r="H451" s="8"/>
      <c r="I451" s="8"/>
      <c r="K451" s="3"/>
      <c r="T451" s="3"/>
      <c r="W451" s="3"/>
      <c r="AC451" s="3"/>
      <c r="AI451" s="3"/>
      <c r="AL451" s="3"/>
      <c r="AO451" s="3"/>
      <c r="BH451" s="3">
        <v>1971.52</v>
      </c>
    </row>
    <row r="452" spans="1:60">
      <c r="B452" s="103" t="s">
        <v>751</v>
      </c>
      <c r="C452" s="1" t="s">
        <v>1022</v>
      </c>
      <c r="D452" s="2"/>
      <c r="E452" s="2"/>
      <c r="F452" s="8"/>
      <c r="G452" s="8"/>
      <c r="H452" s="8"/>
      <c r="I452" s="8"/>
      <c r="K452" s="3"/>
      <c r="T452" s="3"/>
      <c r="W452" s="3"/>
      <c r="AC452" s="3"/>
      <c r="AI452" s="3"/>
      <c r="AL452" s="3"/>
      <c r="AO452" s="3"/>
      <c r="BH452" s="3">
        <v>478.06</v>
      </c>
    </row>
    <row r="453" spans="1:60">
      <c r="B453" s="103" t="s">
        <v>751</v>
      </c>
      <c r="C453" s="1" t="s">
        <v>158</v>
      </c>
      <c r="D453" s="2"/>
      <c r="E453" s="2"/>
      <c r="F453" s="8"/>
      <c r="G453" s="8"/>
      <c r="H453" s="8"/>
      <c r="I453" s="8"/>
      <c r="K453" s="3"/>
      <c r="T453" s="3"/>
      <c r="W453" s="3"/>
      <c r="AC453" s="3"/>
      <c r="AJ453" s="3">
        <v>2.39</v>
      </c>
      <c r="AS453" s="3">
        <v>3.21</v>
      </c>
      <c r="BD453" s="3">
        <v>5.12</v>
      </c>
      <c r="BE453" s="1" t="s">
        <v>862</v>
      </c>
    </row>
    <row r="454" spans="1:60">
      <c r="B454" s="103" t="s">
        <v>751</v>
      </c>
      <c r="C454" s="1" t="s">
        <v>597</v>
      </c>
      <c r="D454" s="2"/>
      <c r="E454" s="2"/>
      <c r="F454" s="8"/>
      <c r="G454" s="8"/>
      <c r="H454" s="8"/>
      <c r="I454" s="8"/>
      <c r="K454" s="3"/>
      <c r="T454" s="3"/>
      <c r="W454" s="3"/>
      <c r="X454" s="3">
        <v>13.9</v>
      </c>
      <c r="AA454" s="3">
        <v>14.3</v>
      </c>
      <c r="AC454" s="3">
        <f>AA454-X454</f>
        <v>0.40000000000000036</v>
      </c>
      <c r="AD454" s="24">
        <v>14.3</v>
      </c>
      <c r="AS454" s="3">
        <v>43.54</v>
      </c>
      <c r="AZ454" s="3">
        <v>12.42</v>
      </c>
      <c r="BA454" s="1" t="s">
        <v>903</v>
      </c>
      <c r="BH454" s="3">
        <v>11.76</v>
      </c>
    </row>
    <row r="455" spans="1:60">
      <c r="B455" s="103" t="s">
        <v>751</v>
      </c>
      <c r="C455" s="1" t="s">
        <v>600</v>
      </c>
      <c r="D455" s="2"/>
      <c r="E455" s="2"/>
      <c r="F455" s="8"/>
      <c r="G455" s="8"/>
      <c r="H455" s="8"/>
      <c r="I455" s="8"/>
      <c r="K455" s="3"/>
      <c r="T455" s="3"/>
      <c r="W455" s="3"/>
      <c r="AC455" s="3"/>
      <c r="AZ455" s="3">
        <v>15.43</v>
      </c>
      <c r="BA455" s="1" t="s">
        <v>903</v>
      </c>
      <c r="BH455" s="3">
        <v>14.26</v>
      </c>
    </row>
    <row r="456" spans="1:60">
      <c r="B456" s="103" t="s">
        <v>751</v>
      </c>
      <c r="C456" s="1" t="s">
        <v>595</v>
      </c>
      <c r="D456" s="2"/>
      <c r="E456" s="2"/>
      <c r="F456" s="8"/>
      <c r="G456" s="8"/>
      <c r="H456" s="8"/>
      <c r="I456" s="8"/>
      <c r="K456" s="3"/>
      <c r="M456" s="3">
        <v>3.85</v>
      </c>
      <c r="O456" s="3">
        <v>3.85</v>
      </c>
      <c r="R456" s="3">
        <v>3.85</v>
      </c>
      <c r="S456" s="1" t="s">
        <v>608</v>
      </c>
      <c r="T456" s="3">
        <f>R456-O456</f>
        <v>0</v>
      </c>
      <c r="U456" s="3">
        <v>3.85</v>
      </c>
      <c r="V456" s="1" t="s">
        <v>790</v>
      </c>
      <c r="W456" s="3">
        <f>U456-R456</f>
        <v>0</v>
      </c>
      <c r="X456" s="3">
        <v>5.7</v>
      </c>
      <c r="AA456" s="3">
        <v>5.9</v>
      </c>
      <c r="AC456" s="3">
        <f>AA456-X456</f>
        <v>0.20000000000000018</v>
      </c>
      <c r="AD456" s="24">
        <v>5.9</v>
      </c>
      <c r="AG456" s="3">
        <v>9.1999999999999993</v>
      </c>
      <c r="AI456" s="3">
        <f>AG456-AD456</f>
        <v>3.2999999999999989</v>
      </c>
      <c r="AJ456" s="3">
        <v>23.54</v>
      </c>
      <c r="AL456" s="3">
        <f>AJ456-AG456</f>
        <v>14.34</v>
      </c>
      <c r="AM456" s="3">
        <v>2.5</v>
      </c>
      <c r="AO456" s="3">
        <f>AM456-AJ456</f>
        <v>-21.04</v>
      </c>
      <c r="AP456" s="3">
        <v>21.02</v>
      </c>
      <c r="AS456" s="3">
        <v>14.36</v>
      </c>
      <c r="AV456" s="3">
        <v>12.31</v>
      </c>
      <c r="AZ456" s="3">
        <v>2.56</v>
      </c>
      <c r="BA456" s="1" t="s">
        <v>903</v>
      </c>
      <c r="BD456" s="3">
        <v>135.66</v>
      </c>
      <c r="BE456" s="1" t="s">
        <v>852</v>
      </c>
    </row>
    <row r="457" spans="1:60">
      <c r="B457" s="103" t="s">
        <v>751</v>
      </c>
      <c r="C457" s="1" t="s">
        <v>700</v>
      </c>
      <c r="D457" s="2"/>
      <c r="E457" s="2"/>
      <c r="F457" s="8"/>
      <c r="G457" s="8"/>
      <c r="H457" s="8"/>
      <c r="I457" s="8"/>
      <c r="K457" s="3"/>
      <c r="T457" s="3"/>
      <c r="W457" s="3"/>
      <c r="X457" s="3">
        <f>((4.5-3.6)/2)+3.6</f>
        <v>4.05</v>
      </c>
      <c r="Y457" s="1" t="s">
        <v>484</v>
      </c>
      <c r="AA457" s="3">
        <f>((4.6-3.7)/2)+3.7</f>
        <v>4.1500000000000004</v>
      </c>
      <c r="AB457" s="1" t="s">
        <v>483</v>
      </c>
      <c r="AC457" s="3">
        <f>AA457-X457</f>
        <v>0.10000000000000053</v>
      </c>
      <c r="AD457" s="3">
        <f>((4.6-3.7)/2)+3.7</f>
        <v>4.1500000000000004</v>
      </c>
      <c r="AE457" s="1" t="s">
        <v>483</v>
      </c>
      <c r="AM457" s="3">
        <v>2.93</v>
      </c>
      <c r="AP457" s="3">
        <v>2.82</v>
      </c>
      <c r="AZ457" s="3">
        <v>2.71</v>
      </c>
      <c r="BA457" s="1" t="s">
        <v>903</v>
      </c>
    </row>
    <row r="458" spans="1:60">
      <c r="B458" s="103" t="s">
        <v>751</v>
      </c>
      <c r="C458" s="1" t="s">
        <v>596</v>
      </c>
      <c r="D458" s="2"/>
      <c r="E458" s="2"/>
      <c r="F458" s="8"/>
      <c r="G458" s="8"/>
      <c r="H458" s="8"/>
      <c r="I458" s="8"/>
      <c r="K458" s="3"/>
      <c r="T458" s="3"/>
      <c r="W458" s="3"/>
      <c r="X458" s="3">
        <v>3.1</v>
      </c>
      <c r="AA458" s="3">
        <v>3.1</v>
      </c>
      <c r="AC458" s="3">
        <f>AA458-X458</f>
        <v>0</v>
      </c>
      <c r="AD458" s="24">
        <v>3.1</v>
      </c>
    </row>
    <row r="459" spans="1:60">
      <c r="A459" s="6">
        <v>12</v>
      </c>
      <c r="B459" s="103" t="s">
        <v>751</v>
      </c>
      <c r="C459" s="1" t="s">
        <v>594</v>
      </c>
      <c r="D459" s="2">
        <v>4.2</v>
      </c>
      <c r="E459" s="2"/>
      <c r="F459" s="8">
        <v>3.6</v>
      </c>
      <c r="G459" s="8"/>
      <c r="H459" s="8">
        <v>3.6</v>
      </c>
      <c r="I459" s="8">
        <f>H459-D459</f>
        <v>-0.60000000000000009</v>
      </c>
      <c r="K459" s="3"/>
      <c r="M459" s="3">
        <v>4.08</v>
      </c>
      <c r="O459" s="3">
        <v>4.08</v>
      </c>
      <c r="Q459" s="3">
        <f>O459-H459</f>
        <v>0.48</v>
      </c>
      <c r="R459" s="3">
        <v>4</v>
      </c>
      <c r="S459" s="1" t="s">
        <v>608</v>
      </c>
      <c r="T459" s="3">
        <f>R459-O459</f>
        <v>-8.0000000000000071E-2</v>
      </c>
      <c r="U459" s="3">
        <v>4</v>
      </c>
      <c r="W459" s="3">
        <f>U459-R459</f>
        <v>0</v>
      </c>
      <c r="X459" s="3">
        <v>3.9</v>
      </c>
      <c r="AA459" s="3">
        <v>4</v>
      </c>
      <c r="AC459" s="3">
        <f>AA459-X459</f>
        <v>0.10000000000000009</v>
      </c>
      <c r="AD459" s="24">
        <v>4</v>
      </c>
      <c r="AG459" s="3">
        <v>4.7</v>
      </c>
      <c r="AI459" s="3">
        <f>AG459-AD459</f>
        <v>0.70000000000000018</v>
      </c>
      <c r="AJ459" s="3">
        <v>9.6300000000000008</v>
      </c>
      <c r="AL459" s="3">
        <f>AJ459-AG459</f>
        <v>4.9300000000000006</v>
      </c>
      <c r="AM459" s="3">
        <v>8</v>
      </c>
      <c r="AN459" s="1" t="s">
        <v>835</v>
      </c>
      <c r="AO459" s="3">
        <f>AM459-AJ459</f>
        <v>-1.6300000000000008</v>
      </c>
      <c r="AP459" s="3">
        <v>9.52</v>
      </c>
      <c r="AS459" s="3">
        <v>8.68</v>
      </c>
      <c r="AV459" s="3">
        <v>7.15</v>
      </c>
      <c r="AZ459" s="3">
        <v>2.78</v>
      </c>
      <c r="BA459" s="1" t="s">
        <v>903</v>
      </c>
      <c r="BD459" s="3">
        <v>93.38</v>
      </c>
      <c r="BE459" s="1" t="s">
        <v>852</v>
      </c>
      <c r="BH459" s="3">
        <v>3.1</v>
      </c>
    </row>
    <row r="460" spans="1:60">
      <c r="B460" s="103" t="s">
        <v>751</v>
      </c>
      <c r="C460" s="1" t="s">
        <v>372</v>
      </c>
      <c r="D460" s="2"/>
      <c r="E460" s="2"/>
      <c r="F460" s="8"/>
      <c r="G460" s="8"/>
      <c r="H460" s="8"/>
      <c r="I460" s="8"/>
      <c r="K460" s="3"/>
      <c r="T460" s="3"/>
      <c r="W460" s="3"/>
      <c r="AC460" s="3"/>
      <c r="AI460" s="3"/>
      <c r="AL460" s="3"/>
      <c r="AO460" s="3"/>
      <c r="AZ460" s="3" t="s">
        <v>895</v>
      </c>
      <c r="BA460" s="1" t="s">
        <v>904</v>
      </c>
      <c r="BH460" s="3">
        <v>123.58</v>
      </c>
    </row>
    <row r="461" spans="1:60">
      <c r="A461" s="6">
        <v>14</v>
      </c>
      <c r="B461" s="103" t="s">
        <v>751</v>
      </c>
      <c r="C461" s="1" t="s">
        <v>58</v>
      </c>
      <c r="D461" s="2">
        <v>11.8</v>
      </c>
      <c r="E461" s="2"/>
      <c r="F461" s="8">
        <v>10.9</v>
      </c>
      <c r="G461" s="8"/>
      <c r="H461" s="8">
        <v>10.9</v>
      </c>
      <c r="I461" s="8">
        <f>H461-D461</f>
        <v>-0.90000000000000036</v>
      </c>
      <c r="K461" s="3"/>
      <c r="M461" s="3">
        <v>10.83</v>
      </c>
      <c r="O461" s="3">
        <v>10.83</v>
      </c>
      <c r="Q461" s="3">
        <f>O461-H461</f>
        <v>-7.0000000000000284E-2</v>
      </c>
      <c r="R461" s="3">
        <v>11</v>
      </c>
      <c r="S461" s="1" t="s">
        <v>608</v>
      </c>
      <c r="T461" s="3">
        <f>R461-O461</f>
        <v>0.16999999999999993</v>
      </c>
      <c r="U461" s="3">
        <v>11</v>
      </c>
      <c r="W461" s="3">
        <f>U461-R461</f>
        <v>0</v>
      </c>
      <c r="X461" s="3">
        <v>9.6</v>
      </c>
      <c r="AA461" s="3">
        <v>9.9</v>
      </c>
      <c r="AC461" s="3">
        <f>AA461-X461</f>
        <v>0.30000000000000071</v>
      </c>
      <c r="AD461" s="24">
        <v>9.9</v>
      </c>
      <c r="AG461" s="3">
        <v>5.0999999999999996</v>
      </c>
      <c r="AI461" s="3">
        <f>AG461-AD461</f>
        <v>-4.8000000000000007</v>
      </c>
      <c r="AJ461" s="3">
        <v>7.27</v>
      </c>
      <c r="AL461" s="3">
        <f>AJ461-AG461</f>
        <v>2.17</v>
      </c>
      <c r="AM461" s="3">
        <v>5.35</v>
      </c>
      <c r="AO461" s="3">
        <f>AM461-AJ461</f>
        <v>-1.92</v>
      </c>
      <c r="AP461" s="3">
        <v>8.41</v>
      </c>
      <c r="AS461" s="3">
        <v>10.11</v>
      </c>
      <c r="AV461" s="3">
        <v>9.16</v>
      </c>
      <c r="AZ461" s="3" t="s">
        <v>897</v>
      </c>
      <c r="BA461" s="1" t="s">
        <v>904</v>
      </c>
      <c r="BD461" s="3">
        <v>101.34</v>
      </c>
      <c r="BE461" s="1" t="s">
        <v>852</v>
      </c>
      <c r="BH461" s="3">
        <v>23.15</v>
      </c>
    </row>
    <row r="462" spans="1:60">
      <c r="B462" s="103" t="s">
        <v>751</v>
      </c>
      <c r="C462" s="1" t="s">
        <v>868</v>
      </c>
      <c r="D462" s="2"/>
      <c r="E462" s="2"/>
      <c r="F462" s="8"/>
      <c r="G462" s="8"/>
      <c r="H462" s="8"/>
      <c r="I462" s="8"/>
      <c r="K462" s="3"/>
      <c r="T462" s="3"/>
      <c r="W462" s="3"/>
      <c r="AC462" s="3"/>
      <c r="AI462" s="3"/>
      <c r="AL462" s="3"/>
      <c r="BH462" s="3">
        <v>21.84</v>
      </c>
    </row>
    <row r="463" spans="1:60">
      <c r="B463" s="103" t="s">
        <v>751</v>
      </c>
      <c r="C463" s="1" t="s">
        <v>607</v>
      </c>
      <c r="D463" s="2"/>
      <c r="E463" s="2"/>
      <c r="F463" s="8"/>
      <c r="G463" s="8"/>
      <c r="H463" s="8"/>
      <c r="I463" s="8"/>
      <c r="K463" s="3"/>
      <c r="T463" s="3"/>
      <c r="W463" s="3"/>
      <c r="AC463" s="3"/>
      <c r="AI463" s="3"/>
      <c r="AL463" s="3"/>
      <c r="AM463" s="3">
        <v>16.2</v>
      </c>
      <c r="AZ463" s="3" t="s">
        <v>898</v>
      </c>
      <c r="BA463" s="1" t="s">
        <v>904</v>
      </c>
      <c r="BH463" s="3">
        <v>271.27</v>
      </c>
    </row>
    <row r="464" spans="1:60">
      <c r="B464" s="103" t="s">
        <v>751</v>
      </c>
      <c r="C464" s="1" t="s">
        <v>854</v>
      </c>
      <c r="D464" s="2"/>
      <c r="E464" s="2"/>
      <c r="F464" s="8"/>
      <c r="G464" s="8"/>
      <c r="H464" s="8"/>
      <c r="I464" s="8"/>
      <c r="K464" s="3"/>
      <c r="T464" s="3"/>
      <c r="W464" s="3"/>
      <c r="AC464" s="3"/>
      <c r="AI464" s="3"/>
      <c r="AL464" s="3"/>
      <c r="AO464" s="3"/>
      <c r="AZ464" s="3" t="s">
        <v>896</v>
      </c>
      <c r="BA464" s="1" t="s">
        <v>904</v>
      </c>
    </row>
    <row r="465" spans="2:60">
      <c r="B465" s="103" t="s">
        <v>751</v>
      </c>
      <c r="C465" s="1" t="s">
        <v>291</v>
      </c>
      <c r="D465" s="2"/>
      <c r="E465" s="2"/>
      <c r="F465" s="8"/>
      <c r="G465" s="8"/>
      <c r="H465" s="8"/>
      <c r="I465" s="8"/>
      <c r="K465" s="3"/>
      <c r="T465" s="3"/>
      <c r="W465" s="3"/>
      <c r="AC465" s="3"/>
      <c r="AI465" s="3"/>
      <c r="AL465" s="3"/>
      <c r="BH465" s="3">
        <v>10.93</v>
      </c>
    </row>
    <row r="466" spans="2:60">
      <c r="B466" s="103" t="s">
        <v>751</v>
      </c>
      <c r="C466" s="1" t="s">
        <v>857</v>
      </c>
      <c r="D466" s="2"/>
      <c r="E466" s="2"/>
      <c r="F466" s="8"/>
      <c r="G466" s="8"/>
      <c r="H466" s="8"/>
      <c r="I466" s="8"/>
      <c r="K466" s="3"/>
      <c r="T466" s="3"/>
      <c r="W466" s="3"/>
      <c r="AC466" s="3"/>
      <c r="AI466" s="3"/>
      <c r="AL466" s="3"/>
      <c r="AO466" s="3"/>
      <c r="BH466" s="3">
        <v>241.89</v>
      </c>
    </row>
    <row r="467" spans="2:60">
      <c r="B467" s="103" t="s">
        <v>751</v>
      </c>
      <c r="C467" s="1" t="s">
        <v>957</v>
      </c>
      <c r="D467" s="2"/>
      <c r="E467" s="2"/>
      <c r="F467" s="8"/>
      <c r="G467" s="8"/>
      <c r="H467" s="8"/>
      <c r="I467" s="8"/>
      <c r="K467" s="3"/>
      <c r="T467" s="3"/>
      <c r="W467" s="3"/>
      <c r="AC467" s="3"/>
      <c r="AI467" s="3"/>
      <c r="AL467" s="3"/>
      <c r="AO467" s="3"/>
      <c r="BD467" s="3">
        <v>6.85</v>
      </c>
    </row>
    <row r="468" spans="2:60">
      <c r="B468" s="103" t="s">
        <v>751</v>
      </c>
      <c r="C468" s="1" t="s">
        <v>859</v>
      </c>
      <c r="D468" s="2"/>
      <c r="E468" s="2"/>
      <c r="F468" s="8"/>
      <c r="G468" s="8"/>
      <c r="H468" s="8"/>
      <c r="I468" s="8"/>
      <c r="K468" s="3"/>
      <c r="T468" s="3"/>
      <c r="W468" s="3"/>
      <c r="AC468" s="3"/>
      <c r="AI468" s="3"/>
      <c r="AL468" s="3"/>
      <c r="AM468" s="3">
        <v>16.2</v>
      </c>
      <c r="AS468" s="3">
        <v>10.35</v>
      </c>
      <c r="BD468" s="3">
        <v>7.5</v>
      </c>
      <c r="BE468" s="1" t="s">
        <v>862</v>
      </c>
    </row>
    <row r="469" spans="2:60">
      <c r="B469" s="103" t="s">
        <v>751</v>
      </c>
      <c r="C469" s="1" t="s">
        <v>871</v>
      </c>
      <c r="D469" s="2"/>
      <c r="E469" s="2"/>
      <c r="F469" s="8"/>
      <c r="G469" s="8"/>
      <c r="H469" s="8"/>
      <c r="I469" s="8"/>
      <c r="K469" s="3"/>
      <c r="T469" s="3"/>
      <c r="W469" s="3"/>
      <c r="AC469" s="3"/>
      <c r="AI469" s="3"/>
      <c r="AL469" s="3"/>
      <c r="AO469" s="3"/>
      <c r="BH469" s="3">
        <v>9.0500000000000007</v>
      </c>
    </row>
    <row r="470" spans="2:60">
      <c r="B470" s="103" t="s">
        <v>751</v>
      </c>
      <c r="C470" s="1" t="s">
        <v>958</v>
      </c>
      <c r="D470" s="2"/>
      <c r="E470" s="2"/>
      <c r="F470" s="8"/>
      <c r="G470" s="8"/>
      <c r="H470" s="8"/>
      <c r="I470" s="8"/>
      <c r="K470" s="3"/>
      <c r="T470" s="3"/>
      <c r="W470" s="3"/>
      <c r="AC470" s="3"/>
      <c r="AI470" s="3"/>
      <c r="AL470" s="3"/>
      <c r="AO470" s="3"/>
      <c r="BD470" s="3">
        <v>13.21</v>
      </c>
    </row>
    <row r="471" spans="2:60">
      <c r="B471" s="103" t="s">
        <v>751</v>
      </c>
      <c r="C471" s="1" t="s">
        <v>956</v>
      </c>
      <c r="D471" s="2"/>
      <c r="E471" s="2"/>
      <c r="F471" s="8"/>
      <c r="G471" s="8"/>
      <c r="H471" s="8"/>
      <c r="I471" s="8"/>
      <c r="K471" s="3"/>
      <c r="T471" s="3"/>
      <c r="W471" s="3"/>
      <c r="AC471" s="3"/>
      <c r="AI471" s="3"/>
      <c r="AL471" s="3"/>
      <c r="AO471" s="3"/>
      <c r="BD471" s="3">
        <v>11</v>
      </c>
      <c r="BE471" s="1" t="s">
        <v>862</v>
      </c>
    </row>
    <row r="472" spans="2:60">
      <c r="B472" s="103" t="s">
        <v>751</v>
      </c>
      <c r="C472" s="1" t="s">
        <v>289</v>
      </c>
      <c r="D472" s="2"/>
      <c r="E472" s="2"/>
      <c r="F472" s="8"/>
      <c r="G472" s="8"/>
      <c r="H472" s="8"/>
      <c r="I472" s="8"/>
      <c r="K472" s="3"/>
      <c r="M472" s="3">
        <v>2.94</v>
      </c>
      <c r="O472" s="3">
        <v>2.94</v>
      </c>
      <c r="R472" s="3">
        <v>3</v>
      </c>
      <c r="S472" s="1" t="s">
        <v>608</v>
      </c>
      <c r="T472" s="3">
        <f>R472-O472</f>
        <v>6.0000000000000053E-2</v>
      </c>
      <c r="U472" s="3">
        <v>3</v>
      </c>
      <c r="V472" s="1" t="s">
        <v>790</v>
      </c>
      <c r="W472" s="3">
        <f>U472-R472</f>
        <v>0</v>
      </c>
      <c r="X472" s="3">
        <v>0.3</v>
      </c>
      <c r="AA472" s="3">
        <v>0.3</v>
      </c>
      <c r="AC472" s="3">
        <f>AA472-X472</f>
        <v>0</v>
      </c>
      <c r="AS472" s="3">
        <v>14.6</v>
      </c>
      <c r="BD472" s="3">
        <v>29.29</v>
      </c>
      <c r="BE472" s="1" t="s">
        <v>852</v>
      </c>
    </row>
    <row r="473" spans="2:60">
      <c r="B473" s="103" t="s">
        <v>751</v>
      </c>
      <c r="C473" s="1" t="s">
        <v>1015</v>
      </c>
      <c r="D473" s="2"/>
      <c r="E473" s="2"/>
      <c r="F473" s="8"/>
      <c r="G473" s="8"/>
      <c r="H473" s="8"/>
      <c r="I473" s="8"/>
      <c r="K473" s="3"/>
      <c r="T473" s="3"/>
      <c r="W473" s="3"/>
      <c r="AC473" s="3"/>
      <c r="AI473" s="3"/>
      <c r="AL473" s="3"/>
      <c r="AO473" s="3"/>
      <c r="BH473" s="3">
        <v>119.93</v>
      </c>
    </row>
    <row r="474" spans="2:60">
      <c r="B474" s="103" t="s">
        <v>751</v>
      </c>
      <c r="C474" s="1" t="s">
        <v>160</v>
      </c>
      <c r="D474" s="2"/>
      <c r="E474" s="2"/>
      <c r="F474" s="8"/>
      <c r="G474" s="8"/>
      <c r="H474" s="8"/>
      <c r="I474" s="8"/>
      <c r="K474" s="3"/>
      <c r="M474" s="3">
        <v>4.28</v>
      </c>
      <c r="O474" s="3">
        <v>4.28</v>
      </c>
      <c r="AJ474" s="3">
        <v>2.91</v>
      </c>
      <c r="AS474" s="3">
        <v>3.57</v>
      </c>
    </row>
    <row r="475" spans="2:60">
      <c r="B475" s="103" t="s">
        <v>751</v>
      </c>
      <c r="C475" s="1" t="s">
        <v>290</v>
      </c>
      <c r="D475" s="2"/>
      <c r="E475" s="2"/>
      <c r="F475" s="8"/>
      <c r="G475" s="8"/>
      <c r="H475" s="8"/>
      <c r="I475" s="8"/>
      <c r="K475" s="3"/>
      <c r="M475" s="3">
        <v>2.94</v>
      </c>
      <c r="O475" s="3">
        <v>2.94</v>
      </c>
      <c r="R475" s="3">
        <v>3</v>
      </c>
      <c r="S475" s="1" t="s">
        <v>608</v>
      </c>
      <c r="T475" s="3">
        <f>R475-O475</f>
        <v>6.0000000000000053E-2</v>
      </c>
      <c r="U475" s="3">
        <v>3</v>
      </c>
      <c r="V475" s="1" t="s">
        <v>790</v>
      </c>
      <c r="W475" s="3">
        <f>U475-R475</f>
        <v>0</v>
      </c>
      <c r="X475" s="3">
        <v>17.100000000000001</v>
      </c>
      <c r="AA475" s="3">
        <v>17.600000000000001</v>
      </c>
      <c r="AC475" s="3">
        <f>AA475-X475</f>
        <v>0.5</v>
      </c>
      <c r="AD475" s="24">
        <v>17.600000000000001</v>
      </c>
      <c r="AV475" s="3">
        <v>26.58</v>
      </c>
      <c r="BD475" s="3">
        <v>18.86</v>
      </c>
      <c r="BE475" s="1" t="s">
        <v>852</v>
      </c>
    </row>
    <row r="476" spans="2:60">
      <c r="B476" s="103" t="s">
        <v>751</v>
      </c>
      <c r="C476" s="1" t="s">
        <v>64</v>
      </c>
      <c r="D476" s="2"/>
      <c r="E476" s="2"/>
      <c r="F476" s="8"/>
      <c r="G476" s="8"/>
      <c r="H476" s="8"/>
      <c r="I476" s="8"/>
      <c r="K476" s="3"/>
      <c r="M476" s="3">
        <v>10.44</v>
      </c>
      <c r="O476" s="3">
        <v>10.44</v>
      </c>
      <c r="R476" s="3">
        <v>10</v>
      </c>
      <c r="S476" s="1" t="s">
        <v>608</v>
      </c>
      <c r="T476" s="3">
        <f>R476-O476</f>
        <v>-0.4399999999999995</v>
      </c>
      <c r="U476" s="3">
        <v>10</v>
      </c>
      <c r="W476" s="3">
        <f>U476-R476</f>
        <v>0</v>
      </c>
      <c r="X476" s="3">
        <v>10</v>
      </c>
      <c r="AA476" s="3">
        <v>10.3</v>
      </c>
      <c r="AC476" s="3">
        <f>AA476-X476</f>
        <v>0.30000000000000071</v>
      </c>
      <c r="AD476" s="24">
        <v>10.3</v>
      </c>
      <c r="AG476" s="3">
        <v>6.4</v>
      </c>
      <c r="AI476" s="3">
        <f>AG476-AD476</f>
        <v>-3.9000000000000004</v>
      </c>
      <c r="AJ476" s="3">
        <v>9.56</v>
      </c>
      <c r="AL476" s="3">
        <f>AJ476-AG476</f>
        <v>3.16</v>
      </c>
      <c r="AM476" s="3">
        <v>6.24</v>
      </c>
      <c r="AO476" s="3">
        <f>AM476-AJ476</f>
        <v>-3.3200000000000003</v>
      </c>
      <c r="AP476" s="3">
        <v>9.4600000000000009</v>
      </c>
      <c r="AS476" s="3">
        <v>12.87</v>
      </c>
      <c r="AV476" s="3">
        <v>10.220000000000001</v>
      </c>
      <c r="AZ476" s="3" t="s">
        <v>899</v>
      </c>
      <c r="BA476" s="1" t="s">
        <v>904</v>
      </c>
      <c r="BD476" s="3">
        <v>93.52</v>
      </c>
      <c r="BE476" s="1" t="s">
        <v>852</v>
      </c>
      <c r="BH476" s="3">
        <v>48.42</v>
      </c>
    </row>
    <row r="477" spans="2:60">
      <c r="B477" s="103" t="s">
        <v>751</v>
      </c>
      <c r="C477" s="1" t="s">
        <v>286</v>
      </c>
      <c r="D477" s="2"/>
      <c r="E477" s="2"/>
      <c r="F477" s="8"/>
      <c r="G477" s="8"/>
      <c r="H477" s="8"/>
      <c r="I477" s="8"/>
      <c r="K477" s="3"/>
      <c r="M477" s="3">
        <v>14.41</v>
      </c>
      <c r="O477" s="3">
        <v>14.41</v>
      </c>
      <c r="R477" s="3">
        <v>14</v>
      </c>
      <c r="S477" s="1" t="s">
        <v>608</v>
      </c>
      <c r="T477" s="3">
        <f>R477-O477</f>
        <v>-0.41000000000000014</v>
      </c>
      <c r="U477" s="3">
        <v>14</v>
      </c>
      <c r="W477" s="3">
        <f>U477-R477</f>
        <v>0</v>
      </c>
      <c r="X477" s="3">
        <v>10.199999999999999</v>
      </c>
      <c r="AA477" s="3">
        <v>10.5</v>
      </c>
      <c r="AC477" s="3">
        <f>AA477-X477</f>
        <v>0.30000000000000071</v>
      </c>
      <c r="AD477" s="24">
        <v>10.5</v>
      </c>
      <c r="AG477" s="3">
        <v>6</v>
      </c>
      <c r="AI477" s="3">
        <f>AG477-AD477</f>
        <v>-4.5</v>
      </c>
      <c r="AJ477" s="3">
        <v>8.6999999999999993</v>
      </c>
      <c r="AL477" s="3">
        <f>AJ477-AG477</f>
        <v>2.6999999999999993</v>
      </c>
      <c r="AM477" s="3">
        <v>6.28</v>
      </c>
      <c r="AO477" s="3">
        <f>AM477-AJ477</f>
        <v>-2.419999999999999</v>
      </c>
      <c r="AP477" s="3">
        <v>9.7899999999999991</v>
      </c>
      <c r="AS477" s="3">
        <v>13.99</v>
      </c>
      <c r="AV477" s="3">
        <v>9.9600000000000009</v>
      </c>
      <c r="AZ477" s="3" t="s">
        <v>900</v>
      </c>
      <c r="BA477" s="1" t="s">
        <v>904</v>
      </c>
      <c r="BD477" s="3">
        <v>86.2</v>
      </c>
      <c r="BE477" s="1" t="s">
        <v>852</v>
      </c>
      <c r="BH477" s="3">
        <v>136.26</v>
      </c>
    </row>
    <row r="478" spans="2:60">
      <c r="B478" s="103" t="s">
        <v>751</v>
      </c>
      <c r="C478" s="1" t="s">
        <v>288</v>
      </c>
      <c r="D478" s="2"/>
      <c r="E478" s="2"/>
      <c r="F478" s="8"/>
      <c r="G478" s="8"/>
      <c r="H478" s="8"/>
      <c r="I478" s="8"/>
      <c r="K478" s="3"/>
      <c r="M478" s="3">
        <v>19.61</v>
      </c>
      <c r="O478" s="3">
        <v>19.61</v>
      </c>
      <c r="R478" s="3">
        <v>19</v>
      </c>
      <c r="S478" s="1" t="s">
        <v>608</v>
      </c>
      <c r="T478" s="3">
        <f>R478-O478</f>
        <v>-0.60999999999999943</v>
      </c>
      <c r="U478" s="3">
        <v>19</v>
      </c>
      <c r="W478" s="3">
        <f>U478-R478</f>
        <v>0</v>
      </c>
      <c r="X478" s="3">
        <v>10.1</v>
      </c>
      <c r="AA478" s="3">
        <v>10.4</v>
      </c>
      <c r="AC478" s="3">
        <f>AA478-X478</f>
        <v>0.30000000000000071</v>
      </c>
      <c r="AD478" s="24">
        <v>10.4</v>
      </c>
      <c r="AG478" s="3">
        <v>5.6</v>
      </c>
      <c r="AI478" s="3">
        <f>AG478-AD478</f>
        <v>-4.8000000000000007</v>
      </c>
      <c r="AJ478" s="3">
        <v>8.27</v>
      </c>
      <c r="AL478" s="3">
        <f>AJ478-AG478</f>
        <v>2.67</v>
      </c>
      <c r="AM478" s="3">
        <v>6.49</v>
      </c>
      <c r="AO478" s="3">
        <f>AM478-AJ478</f>
        <v>-1.7799999999999994</v>
      </c>
      <c r="AP478" s="3">
        <v>8.9499999999999993</v>
      </c>
      <c r="AS478" s="3">
        <v>17.32</v>
      </c>
      <c r="AV478" s="3">
        <v>9.18</v>
      </c>
      <c r="AZ478" s="3" t="s">
        <v>901</v>
      </c>
      <c r="BA478" s="1" t="s">
        <v>904</v>
      </c>
      <c r="BD478" s="3">
        <v>106.7</v>
      </c>
      <c r="BE478" s="1" t="s">
        <v>852</v>
      </c>
      <c r="BH478" s="3">
        <v>150.26</v>
      </c>
    </row>
    <row r="479" spans="2:60">
      <c r="B479" s="103" t="s">
        <v>751</v>
      </c>
      <c r="C479" s="1" t="s">
        <v>1016</v>
      </c>
      <c r="D479" s="2"/>
      <c r="E479" s="2"/>
      <c r="F479" s="8"/>
      <c r="G479" s="8"/>
      <c r="H479" s="8"/>
      <c r="I479" s="8"/>
      <c r="K479" s="3"/>
      <c r="T479" s="3"/>
      <c r="W479" s="3"/>
      <c r="AC479" s="3"/>
      <c r="AI479" s="3"/>
      <c r="AL479" s="3"/>
      <c r="AO479" s="3"/>
      <c r="BH479" s="3">
        <v>166.43</v>
      </c>
    </row>
    <row r="480" spans="2:60">
      <c r="B480" s="103" t="s">
        <v>751</v>
      </c>
      <c r="C480" s="1" t="s">
        <v>1017</v>
      </c>
      <c r="D480" s="2"/>
      <c r="E480" s="2"/>
      <c r="F480" s="8"/>
      <c r="G480" s="8"/>
      <c r="H480" s="8"/>
      <c r="I480" s="8"/>
      <c r="K480" s="3"/>
      <c r="T480" s="3"/>
      <c r="W480" s="3"/>
      <c r="AC480" s="3"/>
      <c r="AI480" s="3"/>
      <c r="AL480" s="3"/>
      <c r="AO480" s="3"/>
      <c r="BH480" s="3">
        <v>33</v>
      </c>
    </row>
    <row r="481" spans="1:61">
      <c r="B481" s="103" t="s">
        <v>751</v>
      </c>
      <c r="C481" s="1" t="s">
        <v>1018</v>
      </c>
      <c r="D481" s="2"/>
      <c r="E481" s="2"/>
      <c r="F481" s="8"/>
      <c r="G481" s="8"/>
      <c r="H481" s="8"/>
      <c r="I481" s="8"/>
      <c r="K481" s="3"/>
      <c r="T481" s="3"/>
      <c r="W481" s="3"/>
      <c r="AC481" s="3"/>
      <c r="AI481" s="3"/>
      <c r="AL481" s="3"/>
      <c r="AO481" s="3"/>
      <c r="BH481" s="3">
        <v>30.92</v>
      </c>
    </row>
    <row r="482" spans="1:61">
      <c r="B482" s="103" t="s">
        <v>751</v>
      </c>
      <c r="C482" s="1" t="s">
        <v>878</v>
      </c>
      <c r="D482" s="2"/>
      <c r="E482" s="2"/>
      <c r="F482" s="8"/>
      <c r="G482" s="8"/>
      <c r="H482" s="8"/>
      <c r="I482" s="8"/>
      <c r="K482" s="3"/>
      <c r="T482" s="3"/>
      <c r="W482" s="3"/>
      <c r="AC482" s="3"/>
      <c r="AI482" s="3"/>
      <c r="AL482" s="3"/>
      <c r="AO482" s="3"/>
      <c r="BH482" s="3">
        <v>90.39</v>
      </c>
    </row>
    <row r="483" spans="1:61">
      <c r="B483" s="103" t="s">
        <v>751</v>
      </c>
      <c r="C483" s="1" t="s">
        <v>1019</v>
      </c>
      <c r="D483" s="2"/>
      <c r="E483" s="2"/>
      <c r="F483" s="8"/>
      <c r="G483" s="8"/>
      <c r="H483" s="8"/>
      <c r="I483" s="8"/>
      <c r="K483" s="3"/>
      <c r="T483" s="3"/>
      <c r="W483" s="3"/>
      <c r="AC483" s="3"/>
      <c r="AI483" s="3"/>
      <c r="AL483" s="3"/>
      <c r="AO483" s="3"/>
      <c r="BH483" s="3">
        <v>175.8</v>
      </c>
    </row>
    <row r="484" spans="1:61">
      <c r="A484" s="6">
        <v>11</v>
      </c>
      <c r="B484" s="103" t="s">
        <v>751</v>
      </c>
      <c r="C484" s="1" t="s">
        <v>57</v>
      </c>
      <c r="D484" s="2">
        <v>8.8000000000000007</v>
      </c>
      <c r="E484" s="2"/>
      <c r="F484" s="8">
        <v>10.7</v>
      </c>
      <c r="G484" s="8"/>
      <c r="H484" s="8">
        <v>10.7</v>
      </c>
      <c r="I484" s="8">
        <f>H484-D484</f>
        <v>1.8999999999999986</v>
      </c>
      <c r="K484" s="3"/>
      <c r="M484" s="3">
        <v>10.48</v>
      </c>
      <c r="O484" s="3">
        <v>10.48</v>
      </c>
      <c r="Q484" s="3">
        <f>O484-H484</f>
        <v>-0.21999999999999886</v>
      </c>
      <c r="R484" s="3">
        <v>11</v>
      </c>
      <c r="S484" s="1" t="s">
        <v>608</v>
      </c>
      <c r="T484" s="3">
        <f>R484-O484</f>
        <v>0.51999999999999957</v>
      </c>
      <c r="U484" s="3">
        <v>11</v>
      </c>
      <c r="V484" s="1" t="s">
        <v>790</v>
      </c>
      <c r="W484" s="3">
        <f>U484-R484</f>
        <v>0</v>
      </c>
    </row>
    <row r="485" spans="1:61">
      <c r="B485" s="103" t="s">
        <v>751</v>
      </c>
      <c r="C485" s="1" t="s">
        <v>287</v>
      </c>
      <c r="D485" s="2"/>
      <c r="E485" s="2"/>
      <c r="F485" s="8"/>
      <c r="G485" s="8"/>
      <c r="H485" s="8"/>
      <c r="I485" s="8"/>
      <c r="K485" s="3"/>
      <c r="M485" s="3">
        <v>10.71</v>
      </c>
      <c r="O485" s="3">
        <v>10.71</v>
      </c>
      <c r="R485" s="3">
        <v>10</v>
      </c>
      <c r="S485" s="1" t="s">
        <v>608</v>
      </c>
      <c r="T485" s="3">
        <f>R485-O485</f>
        <v>-0.71000000000000085</v>
      </c>
      <c r="U485" s="3">
        <v>10</v>
      </c>
      <c r="V485" s="1" t="s">
        <v>790</v>
      </c>
      <c r="W485" s="3">
        <f>U485-R485</f>
        <v>0</v>
      </c>
      <c r="X485" s="3">
        <v>11.3</v>
      </c>
      <c r="AA485" s="3">
        <v>11.6</v>
      </c>
      <c r="AC485" s="3">
        <f>AA485-X485</f>
        <v>0.29999999999999893</v>
      </c>
      <c r="AD485" s="24">
        <v>11.6</v>
      </c>
      <c r="AG485" s="3">
        <v>6.3</v>
      </c>
      <c r="AI485" s="3">
        <f>AG485-AD485</f>
        <v>-5.3</v>
      </c>
      <c r="AJ485" s="3">
        <v>8.75</v>
      </c>
      <c r="AL485" s="3">
        <f>AJ485-AG485</f>
        <v>2.4500000000000002</v>
      </c>
      <c r="AM485" s="3">
        <v>6.17</v>
      </c>
      <c r="AO485" s="3">
        <f>AM485-AJ485</f>
        <v>-2.58</v>
      </c>
      <c r="AP485" s="3">
        <v>9.56</v>
      </c>
      <c r="AS485" s="3">
        <v>11.18</v>
      </c>
      <c r="AV485" s="3">
        <v>9.42</v>
      </c>
      <c r="AZ485" s="3" t="s">
        <v>902</v>
      </c>
      <c r="BA485" s="1" t="s">
        <v>904</v>
      </c>
      <c r="BD485" s="3">
        <v>93.33</v>
      </c>
      <c r="BE485" s="1" t="s">
        <v>852</v>
      </c>
      <c r="BH485" s="3">
        <v>129.24</v>
      </c>
    </row>
    <row r="486" spans="1:61">
      <c r="B486" s="103" t="s">
        <v>751</v>
      </c>
      <c r="C486" s="1" t="s">
        <v>872</v>
      </c>
      <c r="D486" s="2"/>
      <c r="E486" s="2"/>
      <c r="F486" s="8"/>
      <c r="G486" s="8"/>
      <c r="H486" s="8"/>
      <c r="I486" s="8"/>
      <c r="K486" s="3"/>
      <c r="T486" s="3"/>
      <c r="W486" s="3"/>
      <c r="AC486" s="3"/>
      <c r="AI486" s="3"/>
      <c r="AL486" s="3"/>
      <c r="AO486" s="3"/>
      <c r="AZ486" s="3">
        <v>1917.16</v>
      </c>
      <c r="BA486" s="1" t="s">
        <v>904</v>
      </c>
      <c r="BH486" s="3">
        <v>4252.2</v>
      </c>
    </row>
    <row r="487" spans="1:61">
      <c r="B487" s="103" t="s">
        <v>751</v>
      </c>
      <c r="C487" s="1" t="s">
        <v>1020</v>
      </c>
      <c r="D487" s="2"/>
      <c r="E487" s="2"/>
      <c r="F487" s="8"/>
      <c r="G487" s="8"/>
      <c r="H487" s="8"/>
      <c r="I487" s="8"/>
      <c r="K487" s="3"/>
      <c r="T487" s="3"/>
      <c r="W487" s="3"/>
      <c r="AC487" s="3"/>
      <c r="AI487" s="3"/>
      <c r="AL487" s="3"/>
      <c r="AO487" s="3"/>
      <c r="BH487" s="3">
        <v>114.44</v>
      </c>
    </row>
    <row r="488" spans="1:61">
      <c r="A488" s="6">
        <v>1</v>
      </c>
      <c r="B488" s="103" t="s">
        <v>564</v>
      </c>
      <c r="C488" s="1" t="s">
        <v>52</v>
      </c>
      <c r="D488" s="2">
        <v>1.61</v>
      </c>
      <c r="E488" s="2"/>
      <c r="F488" s="8">
        <v>2.04</v>
      </c>
      <c r="G488" s="8"/>
      <c r="H488" s="8">
        <v>2.04</v>
      </c>
      <c r="I488" s="8">
        <f>H488-D488</f>
        <v>0.42999999999999994</v>
      </c>
      <c r="M488" s="3">
        <v>2.16</v>
      </c>
      <c r="O488" s="3">
        <v>2.16</v>
      </c>
      <c r="Q488" s="3">
        <f>O488-H488</f>
        <v>0.12000000000000011</v>
      </c>
      <c r="R488" s="3">
        <v>2.2400000000000002</v>
      </c>
      <c r="T488" s="2">
        <f>R488-O488</f>
        <v>8.0000000000000071E-2</v>
      </c>
      <c r="U488" s="3">
        <v>2.48</v>
      </c>
      <c r="W488" s="3">
        <f>U488-R488</f>
        <v>0.23999999999999977</v>
      </c>
      <c r="X488" s="3">
        <v>2.96</v>
      </c>
      <c r="Z488" s="3">
        <f>X488-U488</f>
        <v>0.48</v>
      </c>
      <c r="AA488" s="3">
        <v>4.3600000000000003</v>
      </c>
      <c r="AC488" s="3">
        <f t="shared" ref="AC488:AC495" si="4">AA488-X488</f>
        <v>1.4000000000000004</v>
      </c>
      <c r="AM488" s="3" t="s">
        <v>344</v>
      </c>
    </row>
    <row r="489" spans="1:61">
      <c r="A489" s="6">
        <v>3</v>
      </c>
      <c r="B489" s="103" t="s">
        <v>564</v>
      </c>
      <c r="C489" s="1" t="s">
        <v>54</v>
      </c>
      <c r="D489" s="2">
        <v>3.72</v>
      </c>
      <c r="E489" s="2"/>
      <c r="F489" s="8">
        <v>3.83</v>
      </c>
      <c r="G489" s="8"/>
      <c r="H489" s="8">
        <v>3.83</v>
      </c>
      <c r="I489" s="8">
        <f>H489-D489</f>
        <v>0.10999999999999988</v>
      </c>
      <c r="R489" s="3">
        <v>4.62</v>
      </c>
      <c r="U489" s="3">
        <v>3.06</v>
      </c>
      <c r="W489" s="3">
        <f>U489-R489</f>
        <v>-1.56</v>
      </c>
      <c r="X489" s="3">
        <v>4.57</v>
      </c>
      <c r="Z489" s="3">
        <f>X489-U489</f>
        <v>1.5100000000000002</v>
      </c>
      <c r="AA489" s="3">
        <v>4.47</v>
      </c>
      <c r="AC489" s="3">
        <f t="shared" si="4"/>
        <v>-0.10000000000000053</v>
      </c>
    </row>
    <row r="490" spans="1:61">
      <c r="A490" s="6">
        <v>4</v>
      </c>
      <c r="B490" s="103" t="s">
        <v>564</v>
      </c>
      <c r="C490" s="1" t="s">
        <v>55</v>
      </c>
      <c r="D490" s="2">
        <v>9.69</v>
      </c>
      <c r="E490" s="2"/>
      <c r="F490" s="8">
        <v>10.61</v>
      </c>
      <c r="G490" s="8"/>
      <c r="H490" s="8">
        <v>10.61</v>
      </c>
      <c r="I490" s="8">
        <f>H490-D490</f>
        <v>0.91999999999999993</v>
      </c>
      <c r="M490" s="3">
        <v>18.96</v>
      </c>
      <c r="O490" s="3">
        <v>18.96</v>
      </c>
      <c r="Q490" s="3">
        <f>O490-H490</f>
        <v>8.3500000000000014</v>
      </c>
      <c r="R490" s="3">
        <v>18.11</v>
      </c>
      <c r="T490" s="3">
        <f>R490-O490</f>
        <v>-0.85000000000000142</v>
      </c>
      <c r="X490" s="3">
        <v>17.5</v>
      </c>
      <c r="AA490" s="3">
        <v>8.57</v>
      </c>
      <c r="AC490" s="1">
        <f t="shared" si="4"/>
        <v>-8.93</v>
      </c>
    </row>
    <row r="491" spans="1:61">
      <c r="A491" s="6">
        <v>5</v>
      </c>
      <c r="B491" s="103" t="s">
        <v>564</v>
      </c>
      <c r="C491" s="1" t="s">
        <v>56</v>
      </c>
      <c r="D491" s="2">
        <v>13.48</v>
      </c>
      <c r="E491" s="2"/>
      <c r="F491" s="8">
        <v>21.74</v>
      </c>
      <c r="G491" s="8"/>
      <c r="H491" s="8">
        <v>21.74</v>
      </c>
      <c r="I491" s="8">
        <f>H491-D491</f>
        <v>8.259999999999998</v>
      </c>
      <c r="L491" s="1" t="s">
        <v>708</v>
      </c>
      <c r="M491" s="3">
        <v>11.97</v>
      </c>
      <c r="O491" s="3">
        <v>11.97</v>
      </c>
      <c r="Q491" s="3">
        <f>O491-H491</f>
        <v>-9.7699999999999978</v>
      </c>
      <c r="R491" s="3">
        <v>29.87</v>
      </c>
      <c r="T491" s="3">
        <f>R491-O491</f>
        <v>17.899999999999999</v>
      </c>
      <c r="U491" s="3">
        <v>10.37</v>
      </c>
      <c r="W491" s="3">
        <f>U491-R491</f>
        <v>-19.5</v>
      </c>
      <c r="X491" s="3">
        <v>10.53</v>
      </c>
      <c r="Z491" s="3">
        <f>X491-U491</f>
        <v>0.16000000000000014</v>
      </c>
      <c r="AA491" s="3">
        <v>7.58</v>
      </c>
      <c r="AC491" s="1">
        <f t="shared" si="4"/>
        <v>-2.9499999999999993</v>
      </c>
    </row>
    <row r="492" spans="1:61">
      <c r="A492" s="6">
        <v>2</v>
      </c>
      <c r="B492" s="103" t="s">
        <v>564</v>
      </c>
      <c r="C492" s="1" t="s">
        <v>53</v>
      </c>
      <c r="D492" s="2">
        <v>2.38</v>
      </c>
      <c r="E492" s="2"/>
      <c r="F492" s="8">
        <v>2.92</v>
      </c>
      <c r="G492" s="8"/>
      <c r="H492" s="8">
        <v>2.92</v>
      </c>
      <c r="I492" s="8">
        <f>H492-D492</f>
        <v>0.54</v>
      </c>
      <c r="M492" s="3">
        <v>2.73</v>
      </c>
      <c r="O492" s="3">
        <v>2.73</v>
      </c>
      <c r="Q492" s="3">
        <f>O492-H492</f>
        <v>-0.18999999999999995</v>
      </c>
      <c r="R492" s="3">
        <v>2.16</v>
      </c>
      <c r="T492" s="3">
        <f>R492-O492</f>
        <v>-0.56999999999999984</v>
      </c>
      <c r="U492" s="3">
        <v>2.2999999999999998</v>
      </c>
      <c r="W492" s="3">
        <f>U492-R492</f>
        <v>0.13999999999999968</v>
      </c>
      <c r="X492" s="3">
        <v>3.34</v>
      </c>
      <c r="Z492" s="3">
        <f>X492-U492</f>
        <v>1.04</v>
      </c>
      <c r="AA492" s="3">
        <v>5.09</v>
      </c>
      <c r="AC492" s="3">
        <f t="shared" si="4"/>
        <v>1.75</v>
      </c>
    </row>
    <row r="493" spans="1:61">
      <c r="B493" s="103" t="s">
        <v>564</v>
      </c>
      <c r="C493" s="1" t="s">
        <v>158</v>
      </c>
      <c r="D493" s="2"/>
      <c r="E493" s="2"/>
      <c r="F493" s="8"/>
      <c r="G493" s="8"/>
      <c r="H493" s="8"/>
      <c r="M493" s="3">
        <v>1.98</v>
      </c>
      <c r="O493" s="3">
        <v>1.98</v>
      </c>
      <c r="R493" s="3">
        <v>1.91</v>
      </c>
      <c r="T493" s="3">
        <f>R493-O493</f>
        <v>-7.0000000000000062E-2</v>
      </c>
      <c r="X493" s="3">
        <v>1.96</v>
      </c>
      <c r="AA493" s="3">
        <v>2.14</v>
      </c>
      <c r="AC493" s="3">
        <f t="shared" si="4"/>
        <v>0.18000000000000016</v>
      </c>
      <c r="AD493" s="24">
        <v>2.21</v>
      </c>
      <c r="AG493" s="1">
        <v>2.1800000000000002</v>
      </c>
      <c r="AJ493" s="3">
        <v>2.0699999999999998</v>
      </c>
      <c r="AM493" s="3">
        <v>1.45</v>
      </c>
      <c r="AP493" s="3">
        <v>1.34</v>
      </c>
      <c r="AS493" s="3">
        <v>1.48</v>
      </c>
      <c r="AV493" s="3">
        <v>1.47</v>
      </c>
      <c r="AZ493" s="3">
        <v>1.43</v>
      </c>
      <c r="BA493" s="1" t="s">
        <v>852</v>
      </c>
      <c r="BD493" s="3">
        <v>1.7</v>
      </c>
      <c r="BE493" s="1" t="s">
        <v>852</v>
      </c>
      <c r="BH493" s="3">
        <v>2.02</v>
      </c>
      <c r="BI493" s="1" t="s">
        <v>852</v>
      </c>
    </row>
    <row r="494" spans="1:61">
      <c r="B494" s="103" t="s">
        <v>564</v>
      </c>
      <c r="C494" s="1" t="s">
        <v>597</v>
      </c>
      <c r="D494" s="2"/>
      <c r="E494" s="2"/>
      <c r="F494" s="8"/>
      <c r="G494" s="8"/>
      <c r="H494" s="8"/>
      <c r="T494" s="3"/>
      <c r="U494" s="3">
        <v>4.4000000000000004</v>
      </c>
      <c r="X494" s="3">
        <v>4.399</v>
      </c>
      <c r="Z494" s="3">
        <f>X494-U494</f>
        <v>-1.000000000000334E-3</v>
      </c>
      <c r="AA494" s="3">
        <v>5.71</v>
      </c>
      <c r="AC494" s="3">
        <f t="shared" si="4"/>
        <v>1.3109999999999999</v>
      </c>
      <c r="AD494" s="24">
        <v>6.5</v>
      </c>
      <c r="AG494" s="3">
        <v>9.84</v>
      </c>
      <c r="AJ494" s="3">
        <v>8.1999999999999993</v>
      </c>
      <c r="AM494" s="3">
        <v>8.1999999999999993</v>
      </c>
      <c r="AP494" s="3">
        <v>8.5</v>
      </c>
      <c r="AS494" s="3">
        <v>10.39</v>
      </c>
      <c r="AV494" s="3">
        <v>9.56</v>
      </c>
      <c r="BD494" s="3">
        <v>8.89</v>
      </c>
      <c r="BE494" s="1" t="s">
        <v>852</v>
      </c>
      <c r="BH494" s="3">
        <v>9.3000000000000007</v>
      </c>
      <c r="BI494" s="1" t="s">
        <v>852</v>
      </c>
    </row>
    <row r="495" spans="1:61">
      <c r="B495" s="103" t="s">
        <v>564</v>
      </c>
      <c r="C495" s="1" t="s">
        <v>600</v>
      </c>
      <c r="D495" s="2"/>
      <c r="E495" s="2"/>
      <c r="F495" s="8"/>
      <c r="G495" s="8"/>
      <c r="H495" s="8"/>
      <c r="T495" s="3"/>
      <c r="U495" s="3">
        <v>6.1</v>
      </c>
      <c r="X495" s="3">
        <v>6.024</v>
      </c>
      <c r="Z495" s="3">
        <f>X495-U495</f>
        <v>-7.5999999999999623E-2</v>
      </c>
      <c r="AA495" s="3">
        <v>7.65</v>
      </c>
      <c r="AC495" s="3">
        <f t="shared" si="4"/>
        <v>1.6260000000000003</v>
      </c>
      <c r="AD495" s="24">
        <v>7.8</v>
      </c>
      <c r="AG495" s="3">
        <v>11.48</v>
      </c>
      <c r="AJ495" s="3">
        <v>11.48</v>
      </c>
      <c r="AM495" s="3">
        <v>9</v>
      </c>
      <c r="AP495" s="3">
        <v>10</v>
      </c>
      <c r="AS495" s="3">
        <v>14.85</v>
      </c>
      <c r="AV495" s="3">
        <v>11.76</v>
      </c>
      <c r="BD495" s="3">
        <v>10.37</v>
      </c>
      <c r="BE495" s="1" t="s">
        <v>852</v>
      </c>
      <c r="BH495" s="3">
        <v>9.3000000000000007</v>
      </c>
      <c r="BI495" s="1" t="s">
        <v>852</v>
      </c>
    </row>
    <row r="496" spans="1:61">
      <c r="B496" s="103" t="s">
        <v>564</v>
      </c>
      <c r="C496" s="1" t="s">
        <v>242</v>
      </c>
      <c r="D496" s="2"/>
      <c r="E496" s="2"/>
      <c r="F496" s="8"/>
      <c r="G496" s="8"/>
      <c r="H496" s="8"/>
      <c r="AA496" s="3">
        <v>4.8499999999999996</v>
      </c>
      <c r="AM496" s="3">
        <v>4.25</v>
      </c>
      <c r="AP496" s="3">
        <v>4.25</v>
      </c>
    </row>
    <row r="497" spans="1:61">
      <c r="B497" s="103" t="s">
        <v>564</v>
      </c>
      <c r="C497" s="1" t="s">
        <v>282</v>
      </c>
      <c r="D497" s="2"/>
      <c r="E497" s="2"/>
      <c r="F497" s="8"/>
      <c r="G497" s="8"/>
      <c r="H497" s="8"/>
      <c r="X497" s="3">
        <v>3.6419999999999999</v>
      </c>
      <c r="AS497" s="3">
        <v>5.2</v>
      </c>
      <c r="AV497" s="3">
        <v>5.59</v>
      </c>
    </row>
    <row r="498" spans="1:61">
      <c r="B498" s="103" t="s">
        <v>564</v>
      </c>
      <c r="C498" s="1" t="s">
        <v>595</v>
      </c>
      <c r="D498" s="2"/>
      <c r="E498" s="2"/>
      <c r="F498" s="8"/>
      <c r="G498" s="8"/>
      <c r="H498" s="8"/>
      <c r="M498" s="3">
        <v>1.72</v>
      </c>
      <c r="O498" s="3">
        <v>1.72</v>
      </c>
      <c r="R498" s="3">
        <v>1.64</v>
      </c>
      <c r="T498" s="3">
        <f>R498-O498</f>
        <v>-8.0000000000000071E-2</v>
      </c>
      <c r="U498" s="3">
        <v>1.27</v>
      </c>
      <c r="W498" s="3">
        <f>U498-R498</f>
        <v>-0.36999999999999988</v>
      </c>
      <c r="X498" s="3">
        <v>1.59</v>
      </c>
      <c r="Z498" s="3">
        <f>X498-U498</f>
        <v>0.32000000000000006</v>
      </c>
      <c r="AA498" s="3">
        <v>2.12</v>
      </c>
      <c r="AC498" s="3">
        <f>AA498-X498</f>
        <v>0.53</v>
      </c>
      <c r="AD498" s="24">
        <v>1.89</v>
      </c>
      <c r="AG498" s="3">
        <v>2.13</v>
      </c>
      <c r="AI498" s="3">
        <f>AG498-AD498</f>
        <v>0.24</v>
      </c>
      <c r="AJ498" s="3">
        <v>2.2999999999999998</v>
      </c>
      <c r="AL498" s="3">
        <f>AJ498-AG498</f>
        <v>0.16999999999999993</v>
      </c>
      <c r="AM498" s="3">
        <v>2.38</v>
      </c>
      <c r="AO498" s="3">
        <f>AM498-AJ498</f>
        <v>8.0000000000000071E-2</v>
      </c>
      <c r="AP498" s="3">
        <v>2.82</v>
      </c>
      <c r="AS498" s="3">
        <v>2.82</v>
      </c>
      <c r="AV498" s="3">
        <v>3.24</v>
      </c>
      <c r="AZ498" s="3">
        <v>3.71</v>
      </c>
      <c r="BA498" s="1" t="s">
        <v>852</v>
      </c>
      <c r="BD498" s="3">
        <v>2.96</v>
      </c>
      <c r="BE498" s="1" t="s">
        <v>852</v>
      </c>
      <c r="BH498" s="3">
        <v>3.49</v>
      </c>
      <c r="BI498" s="1" t="s">
        <v>852</v>
      </c>
    </row>
    <row r="499" spans="1:61">
      <c r="B499" s="103" t="s">
        <v>564</v>
      </c>
      <c r="C499" s="1" t="s">
        <v>596</v>
      </c>
      <c r="D499" s="2"/>
      <c r="E499" s="2"/>
      <c r="F499" s="8"/>
      <c r="G499" s="8"/>
      <c r="H499" s="8"/>
      <c r="M499" s="3">
        <v>2.0699999999999998</v>
      </c>
      <c r="O499" s="3">
        <v>2.0699999999999998</v>
      </c>
      <c r="R499" s="3">
        <v>2.15</v>
      </c>
      <c r="T499" s="3">
        <f>R499-O499</f>
        <v>8.0000000000000071E-2</v>
      </c>
      <c r="U499" s="3">
        <v>1.71</v>
      </c>
      <c r="W499" s="3">
        <f>U499-R499</f>
        <v>-0.43999999999999995</v>
      </c>
      <c r="X499" s="3">
        <v>1.9570000000000001</v>
      </c>
      <c r="Z499" s="3">
        <f>X499-U499</f>
        <v>0.24700000000000011</v>
      </c>
      <c r="AA499" s="3">
        <v>3.18</v>
      </c>
      <c r="AC499" s="3">
        <f>AA499-X499</f>
        <v>1.2230000000000001</v>
      </c>
      <c r="AD499" s="24">
        <v>2.2000000000000002</v>
      </c>
      <c r="AG499" s="3">
        <v>2.46</v>
      </c>
      <c r="AJ499" s="3">
        <v>2.2999999999999998</v>
      </c>
      <c r="AM499" s="3">
        <v>2.15</v>
      </c>
      <c r="AP499" s="3">
        <v>2.25</v>
      </c>
      <c r="AS499" s="3">
        <v>2.67</v>
      </c>
      <c r="AV499" s="3">
        <v>3.93</v>
      </c>
      <c r="AZ499" s="3">
        <v>3.26</v>
      </c>
      <c r="BA499" s="1" t="s">
        <v>852</v>
      </c>
      <c r="BD499" s="3">
        <v>1.82</v>
      </c>
      <c r="BE499" s="1" t="s">
        <v>852</v>
      </c>
      <c r="BH499" s="3">
        <v>8.4499999999999993</v>
      </c>
      <c r="BI499" s="1" t="s">
        <v>852</v>
      </c>
    </row>
    <row r="500" spans="1:61" ht="9.6" customHeight="1">
      <c r="A500" s="6">
        <v>12</v>
      </c>
      <c r="B500" s="103" t="s">
        <v>564</v>
      </c>
      <c r="C500" s="1" t="s">
        <v>594</v>
      </c>
      <c r="D500" s="2">
        <v>1.61</v>
      </c>
      <c r="E500" s="2"/>
      <c r="F500" s="8">
        <v>1.53</v>
      </c>
      <c r="G500" s="8"/>
      <c r="H500" s="8">
        <v>1.53</v>
      </c>
      <c r="I500" s="9">
        <f>H500-D500</f>
        <v>-8.0000000000000071E-2</v>
      </c>
      <c r="M500" s="3">
        <v>1.6</v>
      </c>
      <c r="O500" s="3">
        <v>1.6</v>
      </c>
      <c r="Q500" s="3">
        <f>O500-H500</f>
        <v>7.0000000000000062E-2</v>
      </c>
      <c r="R500" s="3">
        <v>1.65</v>
      </c>
      <c r="T500" s="3">
        <f>R500-O500</f>
        <v>4.9999999999999822E-2</v>
      </c>
      <c r="U500" s="3">
        <v>1.1299999999999999</v>
      </c>
      <c r="W500" s="3">
        <f>U500-R500</f>
        <v>-0.52</v>
      </c>
      <c r="X500" s="3">
        <v>1.958</v>
      </c>
      <c r="Z500" s="3">
        <f>X500-U500</f>
        <v>0.82800000000000007</v>
      </c>
      <c r="AA500" s="3">
        <v>2.93</v>
      </c>
      <c r="AC500" s="3">
        <f>AA500-X500</f>
        <v>0.9720000000000002</v>
      </c>
      <c r="AD500" s="24">
        <v>1.25</v>
      </c>
      <c r="AG500" s="3">
        <v>2.2999999999999998</v>
      </c>
      <c r="AI500" s="3">
        <f>AG500-AD500</f>
        <v>1.0499999999999998</v>
      </c>
      <c r="AJ500" s="3">
        <v>2.13</v>
      </c>
      <c r="AL500" s="3">
        <f>AJ500-AG500</f>
        <v>-0.16999999999999993</v>
      </c>
      <c r="AM500" s="3">
        <v>1.9</v>
      </c>
      <c r="AO500" s="3">
        <f>AM500-AJ500</f>
        <v>-0.22999999999999998</v>
      </c>
      <c r="AP500" s="3">
        <v>1.6</v>
      </c>
      <c r="AS500" s="3">
        <v>2.13</v>
      </c>
      <c r="AV500" s="3">
        <v>3.46</v>
      </c>
      <c r="AZ500" s="3">
        <v>2.19</v>
      </c>
      <c r="BA500" s="1" t="s">
        <v>852</v>
      </c>
      <c r="BD500" s="3">
        <v>1.61</v>
      </c>
      <c r="BE500" s="1" t="s">
        <v>852</v>
      </c>
      <c r="BH500" s="3">
        <v>2.33</v>
      </c>
      <c r="BI500" s="1" t="s">
        <v>852</v>
      </c>
    </row>
    <row r="501" spans="1:61">
      <c r="B501" s="103" t="s">
        <v>564</v>
      </c>
      <c r="C501" s="1" t="s">
        <v>372</v>
      </c>
      <c r="D501" s="2"/>
      <c r="E501" s="2"/>
      <c r="F501" s="8"/>
      <c r="G501" s="8"/>
      <c r="H501" s="8"/>
      <c r="Q501" s="3"/>
      <c r="T501" s="3"/>
      <c r="W501" s="3"/>
      <c r="AC501" s="3"/>
      <c r="AI501" s="3"/>
      <c r="AL501" s="3"/>
      <c r="AO501" s="3"/>
      <c r="AZ501" s="3">
        <v>2</v>
      </c>
      <c r="BA501" s="1" t="s">
        <v>852</v>
      </c>
      <c r="BD501" s="3">
        <v>2.2599999999999998</v>
      </c>
      <c r="BE501" s="1" t="s">
        <v>852</v>
      </c>
      <c r="BH501" s="3">
        <v>5.64</v>
      </c>
      <c r="BI501" s="1" t="s">
        <v>852</v>
      </c>
    </row>
    <row r="502" spans="1:61">
      <c r="A502" s="6">
        <v>14</v>
      </c>
      <c r="B502" s="103" t="s">
        <v>564</v>
      </c>
      <c r="C502" s="1" t="s">
        <v>58</v>
      </c>
      <c r="D502" s="2">
        <v>6.35</v>
      </c>
      <c r="E502" s="2"/>
      <c r="F502" s="8">
        <v>4.75</v>
      </c>
      <c r="G502" s="8"/>
      <c r="H502" s="8">
        <v>4.75</v>
      </c>
      <c r="I502" s="9">
        <f>H502-D502</f>
        <v>-1.5999999999999996</v>
      </c>
      <c r="M502" s="3">
        <v>4.16</v>
      </c>
      <c r="O502" s="3">
        <v>4.16</v>
      </c>
      <c r="Q502" s="3">
        <f>O502-H502</f>
        <v>-0.58999999999999986</v>
      </c>
      <c r="R502" s="3">
        <v>3.44</v>
      </c>
      <c r="T502" s="3">
        <f>R502-O502</f>
        <v>-0.7200000000000002</v>
      </c>
      <c r="U502" s="3">
        <v>3.51</v>
      </c>
      <c r="W502" s="3">
        <f>U502-R502</f>
        <v>6.999999999999984E-2</v>
      </c>
      <c r="X502" s="3">
        <v>5.83</v>
      </c>
      <c r="Z502" s="3">
        <f>X502-U502</f>
        <v>2.3200000000000003</v>
      </c>
      <c r="AA502" s="3">
        <v>7.65</v>
      </c>
      <c r="AC502" s="3">
        <f>AA502-X502</f>
        <v>1.8200000000000003</v>
      </c>
      <c r="AD502" s="24">
        <v>4.3499999999999996</v>
      </c>
      <c r="AG502" s="3">
        <v>3.28</v>
      </c>
      <c r="AI502" s="3">
        <f>AG502-AD502</f>
        <v>-1.0699999999999998</v>
      </c>
      <c r="AJ502" s="3">
        <v>2.95</v>
      </c>
      <c r="AL502" s="3">
        <f>AJ502-AG502</f>
        <v>-0.32999999999999963</v>
      </c>
      <c r="AM502" s="3">
        <v>2.7</v>
      </c>
      <c r="AO502" s="3">
        <f>AM502-AJ502</f>
        <v>-0.25</v>
      </c>
      <c r="AP502" s="3">
        <v>2.7</v>
      </c>
      <c r="AS502" s="3">
        <v>3.87</v>
      </c>
      <c r="AZ502" s="3">
        <v>3.66</v>
      </c>
      <c r="BA502" s="1" t="s">
        <v>852</v>
      </c>
      <c r="BD502" s="3">
        <v>3.2</v>
      </c>
      <c r="BE502" s="1" t="s">
        <v>852</v>
      </c>
      <c r="BH502" s="3">
        <v>3.61</v>
      </c>
      <c r="BI502" s="1" t="s">
        <v>852</v>
      </c>
    </row>
    <row r="503" spans="1:61" ht="9.6" customHeight="1">
      <c r="B503" s="103" t="s">
        <v>564</v>
      </c>
      <c r="C503" s="1" t="s">
        <v>856</v>
      </c>
      <c r="D503" s="2"/>
      <c r="E503" s="2"/>
      <c r="F503" s="8"/>
      <c r="G503" s="8"/>
      <c r="H503" s="8"/>
      <c r="Q503" s="3"/>
      <c r="T503" s="3"/>
      <c r="W503" s="3"/>
      <c r="AC503" s="3"/>
      <c r="AI503" s="3"/>
      <c r="AL503" s="3"/>
      <c r="AO503" s="3"/>
      <c r="BD503" s="3">
        <v>2.92</v>
      </c>
      <c r="BE503" s="1" t="s">
        <v>852</v>
      </c>
      <c r="BH503" s="3">
        <v>3.61</v>
      </c>
      <c r="BI503" s="1" t="s">
        <v>852</v>
      </c>
    </row>
    <row r="504" spans="1:61">
      <c r="B504" s="103" t="s">
        <v>564</v>
      </c>
      <c r="C504" s="1" t="s">
        <v>868</v>
      </c>
      <c r="D504" s="2"/>
      <c r="E504" s="2"/>
      <c r="F504" s="8"/>
      <c r="G504" s="8"/>
      <c r="H504" s="8"/>
      <c r="Q504" s="3"/>
      <c r="T504" s="3"/>
      <c r="W504" s="3"/>
      <c r="AC504" s="3"/>
      <c r="AI504" s="3"/>
      <c r="AL504" s="3"/>
      <c r="AO504" s="3"/>
      <c r="AZ504" s="3">
        <v>1.79</v>
      </c>
      <c r="BA504" s="1" t="s">
        <v>852</v>
      </c>
      <c r="BD504" s="3">
        <v>1.66</v>
      </c>
      <c r="BE504" s="1" t="s">
        <v>852</v>
      </c>
      <c r="BH504" s="3">
        <v>2.44</v>
      </c>
      <c r="BI504" s="1" t="s">
        <v>852</v>
      </c>
    </row>
    <row r="505" spans="1:61">
      <c r="B505" s="103" t="s">
        <v>564</v>
      </c>
      <c r="C505" s="1" t="s">
        <v>607</v>
      </c>
      <c r="D505" s="2"/>
      <c r="E505" s="2"/>
      <c r="F505" s="8"/>
      <c r="G505" s="8"/>
      <c r="H505" s="8"/>
      <c r="M505" s="3">
        <v>9.6300000000000008</v>
      </c>
      <c r="O505" s="3">
        <v>9.6300000000000008</v>
      </c>
      <c r="R505" s="3">
        <v>7.47</v>
      </c>
      <c r="T505" s="3">
        <f>R505-O505</f>
        <v>-2.160000000000001</v>
      </c>
      <c r="U505" s="3">
        <v>8.5399999999999991</v>
      </c>
      <c r="W505" s="3">
        <f>U505-R505</f>
        <v>1.0699999999999994</v>
      </c>
      <c r="X505" s="3">
        <v>8.7799999999999994</v>
      </c>
      <c r="Z505" s="3">
        <f>X505-U505</f>
        <v>0.24000000000000021</v>
      </c>
      <c r="AA505" s="3">
        <v>18.940000000000001</v>
      </c>
      <c r="AC505" s="3">
        <f>AA505-X505</f>
        <v>10.160000000000002</v>
      </c>
      <c r="AD505" s="24">
        <v>10.5</v>
      </c>
      <c r="AG505" s="3">
        <v>9.5</v>
      </c>
      <c r="AJ505" s="3">
        <v>13.11</v>
      </c>
      <c r="AM505" s="3">
        <v>12.9</v>
      </c>
      <c r="AP505" s="3">
        <v>12.67</v>
      </c>
      <c r="AS505" s="3">
        <v>13.36</v>
      </c>
      <c r="AV505" s="3">
        <v>11.4</v>
      </c>
      <c r="AZ505" s="3">
        <v>10</v>
      </c>
      <c r="BA505" s="1" t="s">
        <v>852</v>
      </c>
      <c r="BH505" s="3">
        <v>7.01</v>
      </c>
      <c r="BI505" s="1" t="s">
        <v>852</v>
      </c>
    </row>
    <row r="506" spans="1:61">
      <c r="B506" s="103" t="s">
        <v>564</v>
      </c>
      <c r="C506" s="1" t="s">
        <v>975</v>
      </c>
      <c r="D506" s="2"/>
      <c r="E506" s="2"/>
      <c r="F506" s="8"/>
      <c r="G506" s="8"/>
      <c r="H506" s="8"/>
      <c r="Q506" s="3"/>
      <c r="T506" s="3"/>
      <c r="W506" s="3"/>
      <c r="AC506" s="3"/>
      <c r="AI506" s="3"/>
      <c r="AL506" s="3"/>
      <c r="AO506" s="3"/>
      <c r="BD506" s="3">
        <v>6.98</v>
      </c>
      <c r="BE506" s="1" t="s">
        <v>852</v>
      </c>
    </row>
    <row r="507" spans="1:61">
      <c r="B507" s="103" t="s">
        <v>564</v>
      </c>
      <c r="C507" s="1" t="s">
        <v>869</v>
      </c>
      <c r="D507" s="2"/>
      <c r="E507" s="2"/>
      <c r="F507" s="8"/>
      <c r="G507" s="8"/>
      <c r="H507" s="8"/>
      <c r="Q507" s="3"/>
      <c r="T507" s="3"/>
      <c r="W507" s="3"/>
      <c r="AC507" s="3"/>
      <c r="AI507" s="3"/>
      <c r="AL507" s="3"/>
      <c r="AO507" s="3"/>
      <c r="BD507" s="3">
        <v>7.1</v>
      </c>
      <c r="BE507" s="1" t="s">
        <v>852</v>
      </c>
    </row>
    <row r="508" spans="1:61">
      <c r="B508" s="103" t="s">
        <v>564</v>
      </c>
      <c r="C508" s="1" t="s">
        <v>291</v>
      </c>
      <c r="D508" s="2"/>
      <c r="E508" s="2"/>
      <c r="F508" s="8"/>
      <c r="G508" s="8"/>
      <c r="H508" s="8"/>
      <c r="T508" s="3"/>
      <c r="BD508" s="3">
        <v>7.41</v>
      </c>
      <c r="BE508" s="1" t="s">
        <v>852</v>
      </c>
      <c r="BH508" s="3">
        <v>9.3000000000000007</v>
      </c>
      <c r="BI508" s="1" t="s">
        <v>852</v>
      </c>
    </row>
    <row r="509" spans="1:61">
      <c r="B509" s="103" t="s">
        <v>564</v>
      </c>
      <c r="C509" s="1" t="s">
        <v>291</v>
      </c>
      <c r="D509" s="2"/>
      <c r="E509" s="2"/>
      <c r="F509" s="8"/>
      <c r="G509" s="8"/>
      <c r="H509" s="8"/>
      <c r="M509" s="3">
        <v>5.87</v>
      </c>
      <c r="O509" s="3">
        <v>5.87</v>
      </c>
      <c r="R509" s="3">
        <v>11.76</v>
      </c>
      <c r="T509" s="3">
        <f>R509-O509</f>
        <v>5.89</v>
      </c>
      <c r="U509" s="3">
        <v>11.73</v>
      </c>
      <c r="W509" s="3">
        <f>U509-R509</f>
        <v>-2.9999999999999361E-2</v>
      </c>
      <c r="X509" s="3">
        <v>10</v>
      </c>
      <c r="Z509" s="3">
        <f>X509-U509</f>
        <v>-1.7300000000000004</v>
      </c>
      <c r="AA509" s="3">
        <v>7.82</v>
      </c>
      <c r="AC509" s="3">
        <f>AA509-X509</f>
        <v>-2.1799999999999997</v>
      </c>
      <c r="AG509" s="3">
        <v>11.64</v>
      </c>
      <c r="AJ509" s="3">
        <v>11.47</v>
      </c>
      <c r="AM509" s="3">
        <v>11.29</v>
      </c>
      <c r="AP509" s="3">
        <v>7.08</v>
      </c>
      <c r="AS509" s="3">
        <v>6.68</v>
      </c>
      <c r="AV509" s="3">
        <v>6.62</v>
      </c>
      <c r="AZ509" s="3">
        <v>6.43</v>
      </c>
      <c r="BA509" s="1" t="s">
        <v>852</v>
      </c>
    </row>
    <row r="510" spans="1:61">
      <c r="B510" s="103" t="s">
        <v>564</v>
      </c>
      <c r="C510" s="1" t="s">
        <v>857</v>
      </c>
      <c r="D510" s="2"/>
      <c r="E510" s="2"/>
      <c r="F510" s="8"/>
      <c r="G510" s="8"/>
      <c r="H510" s="8"/>
      <c r="Q510" s="3"/>
      <c r="T510" s="3"/>
      <c r="W510" s="3"/>
      <c r="AC510" s="3"/>
      <c r="AI510" s="3"/>
      <c r="AL510" s="3"/>
      <c r="AO510" s="3"/>
      <c r="AZ510" s="3">
        <v>1.71</v>
      </c>
      <c r="BA510" s="1" t="s">
        <v>852</v>
      </c>
      <c r="BD510" s="3">
        <v>1.61</v>
      </c>
      <c r="BE510" s="1" t="s">
        <v>852</v>
      </c>
      <c r="BH510" s="3">
        <v>2.2400000000000002</v>
      </c>
      <c r="BI510" s="1" t="s">
        <v>852</v>
      </c>
    </row>
    <row r="511" spans="1:61">
      <c r="B511" s="103" t="s">
        <v>564</v>
      </c>
      <c r="C511" s="1" t="s">
        <v>386</v>
      </c>
      <c r="D511" s="2"/>
      <c r="E511" s="2"/>
      <c r="F511" s="8"/>
      <c r="G511" s="8"/>
      <c r="H511" s="8"/>
      <c r="M511" s="3">
        <v>22.03</v>
      </c>
      <c r="O511" s="3">
        <v>22.03</v>
      </c>
      <c r="R511" s="3">
        <v>11.76</v>
      </c>
      <c r="T511" s="3">
        <f>R511-O511</f>
        <v>-10.270000000000001</v>
      </c>
      <c r="U511" s="3">
        <v>10.26</v>
      </c>
      <c r="X511" s="3">
        <v>12</v>
      </c>
      <c r="Z511" s="3">
        <f>X511-U511</f>
        <v>1.7400000000000002</v>
      </c>
      <c r="AG511" s="3">
        <v>9.5</v>
      </c>
      <c r="AJ511" s="3">
        <v>13.11</v>
      </c>
      <c r="AM511" s="3">
        <v>12.9</v>
      </c>
      <c r="AP511" s="3">
        <v>12.67</v>
      </c>
      <c r="AS511" s="3">
        <v>13.36</v>
      </c>
      <c r="AV511" s="3">
        <v>11.4</v>
      </c>
      <c r="AZ511" s="3">
        <v>10</v>
      </c>
      <c r="BA511" s="1" t="s">
        <v>852</v>
      </c>
      <c r="BD511" s="3">
        <v>8.52</v>
      </c>
      <c r="BE511" s="1" t="s">
        <v>852</v>
      </c>
      <c r="BH511" s="3">
        <v>9.3000000000000007</v>
      </c>
      <c r="BI511" s="1" t="s">
        <v>852</v>
      </c>
    </row>
    <row r="512" spans="1:61">
      <c r="B512" s="103" t="s">
        <v>564</v>
      </c>
      <c r="C512" s="1" t="s">
        <v>289</v>
      </c>
      <c r="D512" s="2"/>
      <c r="E512" s="2"/>
      <c r="F512" s="8"/>
      <c r="G512" s="8"/>
      <c r="H512" s="8"/>
      <c r="M512" s="3">
        <v>2.86</v>
      </c>
      <c r="O512" s="3">
        <v>2.86</v>
      </c>
      <c r="R512" s="3">
        <v>1.5</v>
      </c>
      <c r="T512" s="3">
        <f>R512-O512</f>
        <v>-1.3599999999999999</v>
      </c>
      <c r="X512" s="3">
        <v>3.12</v>
      </c>
      <c r="AA512" s="3">
        <v>2.4500000000000002</v>
      </c>
      <c r="AC512" s="3">
        <f>AA512-X512</f>
        <v>-0.66999999999999993</v>
      </c>
      <c r="AD512" s="24">
        <v>2.4500000000000002</v>
      </c>
      <c r="AG512" s="3">
        <v>2.4500000000000002</v>
      </c>
      <c r="AI512" s="3">
        <f>AG512-AD512</f>
        <v>0</v>
      </c>
      <c r="AJ512" s="3">
        <v>2.4500000000000002</v>
      </c>
      <c r="AL512" s="3">
        <f>AJ512-AG512</f>
        <v>0</v>
      </c>
      <c r="AS512" s="3">
        <v>1.04</v>
      </c>
      <c r="AV512" s="3">
        <v>1.18</v>
      </c>
      <c r="AZ512" s="3">
        <v>1.43</v>
      </c>
      <c r="BA512" s="1" t="s">
        <v>852</v>
      </c>
      <c r="BD512" s="3">
        <v>1.78</v>
      </c>
      <c r="BE512" s="1" t="s">
        <v>852</v>
      </c>
      <c r="BH512" s="3">
        <v>2.79</v>
      </c>
      <c r="BI512" s="1" t="s">
        <v>852</v>
      </c>
    </row>
    <row r="513" spans="1:61">
      <c r="B513" s="103" t="s">
        <v>564</v>
      </c>
      <c r="C513" s="1" t="s">
        <v>160</v>
      </c>
      <c r="D513" s="2"/>
      <c r="E513" s="2"/>
      <c r="F513" s="8"/>
      <c r="G513" s="8"/>
      <c r="H513" s="8"/>
      <c r="M513" s="3">
        <v>3.5</v>
      </c>
      <c r="O513" s="3">
        <v>3.5</v>
      </c>
      <c r="R513" s="3">
        <v>2.35</v>
      </c>
      <c r="T513" s="3">
        <f>R513-O513</f>
        <v>-1.1499999999999999</v>
      </c>
      <c r="X513" s="3">
        <v>2.44</v>
      </c>
      <c r="AA513" s="3">
        <v>2.54</v>
      </c>
      <c r="AC513" s="3">
        <f>AA513-X513</f>
        <v>0.10000000000000009</v>
      </c>
      <c r="AD513" s="24">
        <v>3.01</v>
      </c>
      <c r="AG513" s="3">
        <v>2.87</v>
      </c>
      <c r="AJ513" s="3">
        <v>2.4900000000000002</v>
      </c>
      <c r="AM513" s="3">
        <v>1.94</v>
      </c>
      <c r="AP513" s="3">
        <v>2.5299999999999998</v>
      </c>
      <c r="AS513" s="3">
        <v>4.01</v>
      </c>
      <c r="AV513" s="3">
        <v>2.65</v>
      </c>
    </row>
    <row r="514" spans="1:61">
      <c r="B514" s="103" t="s">
        <v>564</v>
      </c>
      <c r="C514" s="1" t="s">
        <v>238</v>
      </c>
      <c r="D514" s="2"/>
      <c r="E514" s="2"/>
      <c r="F514" s="8"/>
      <c r="G514" s="8"/>
      <c r="H514" s="8"/>
      <c r="AC514" s="3"/>
      <c r="AG514" s="3">
        <v>1.61</v>
      </c>
      <c r="AJ514" s="3">
        <v>1.64</v>
      </c>
      <c r="AM514" s="3">
        <v>0.97</v>
      </c>
      <c r="BD514" s="3">
        <v>1.56</v>
      </c>
      <c r="BE514" s="1" t="s">
        <v>852</v>
      </c>
    </row>
    <row r="515" spans="1:61">
      <c r="B515" s="103" t="s">
        <v>564</v>
      </c>
      <c r="C515" s="1" t="s">
        <v>74</v>
      </c>
      <c r="D515" s="2"/>
      <c r="E515" s="2"/>
      <c r="F515" s="8"/>
      <c r="G515" s="8"/>
      <c r="H515" s="8"/>
      <c r="T515" s="3"/>
      <c r="W515" s="3"/>
      <c r="AC515" s="3"/>
      <c r="AI515" s="3"/>
      <c r="AL515" s="3"/>
      <c r="AP515" s="3">
        <v>1.1200000000000001</v>
      </c>
      <c r="AS515" s="3">
        <v>1.1100000000000001</v>
      </c>
      <c r="AV515" s="3">
        <v>0.81</v>
      </c>
      <c r="AZ515" s="3">
        <v>0.79</v>
      </c>
      <c r="BA515" s="1" t="s">
        <v>852</v>
      </c>
      <c r="BD515" s="3">
        <v>0.74</v>
      </c>
      <c r="BE515" s="1" t="s">
        <v>852</v>
      </c>
      <c r="BH515" s="3">
        <v>1.24</v>
      </c>
      <c r="BI515" s="1" t="s">
        <v>852</v>
      </c>
    </row>
    <row r="516" spans="1:61">
      <c r="B516" s="103" t="s">
        <v>564</v>
      </c>
      <c r="C516" s="1" t="s">
        <v>290</v>
      </c>
      <c r="D516" s="2"/>
      <c r="E516" s="2"/>
      <c r="F516" s="8"/>
      <c r="G516" s="8"/>
      <c r="H516" s="8"/>
      <c r="M516" s="3">
        <v>10.039999999999999</v>
      </c>
      <c r="O516" s="3">
        <v>10.039999999999999</v>
      </c>
      <c r="R516" s="3">
        <v>7</v>
      </c>
      <c r="T516" s="3">
        <f>R516-O516</f>
        <v>-3.0399999999999991</v>
      </c>
      <c r="U516" s="3">
        <v>3.8</v>
      </c>
      <c r="W516" s="3">
        <f>U516-R516</f>
        <v>-3.2</v>
      </c>
      <c r="X516" s="3">
        <v>3.6</v>
      </c>
      <c r="Z516" s="3">
        <f>X516-U516</f>
        <v>-0.19999999999999973</v>
      </c>
      <c r="AA516" s="3">
        <v>7.2</v>
      </c>
      <c r="AC516" s="3">
        <f t="shared" ref="AC516:AC521" si="5">AA516-X516</f>
        <v>3.6</v>
      </c>
      <c r="AD516" s="24">
        <v>7.2</v>
      </c>
      <c r="AG516" s="3">
        <v>7.2</v>
      </c>
      <c r="AI516" s="3">
        <f>AG516-AD516</f>
        <v>0</v>
      </c>
      <c r="AJ516" s="3">
        <v>7.2</v>
      </c>
      <c r="AL516" s="3">
        <f>AJ516-AG516</f>
        <v>0</v>
      </c>
      <c r="AS516" s="3">
        <v>7</v>
      </c>
      <c r="AV516" s="3">
        <v>4.12</v>
      </c>
      <c r="AZ516" s="3">
        <v>2.86</v>
      </c>
      <c r="BA516" s="1" t="s">
        <v>852</v>
      </c>
      <c r="BD516" s="3">
        <v>3.7</v>
      </c>
      <c r="BE516" s="1" t="s">
        <v>852</v>
      </c>
      <c r="BH516" s="3">
        <v>4.03</v>
      </c>
      <c r="BI516" s="1" t="s">
        <v>852</v>
      </c>
    </row>
    <row r="517" spans="1:61">
      <c r="B517" s="103" t="s">
        <v>564</v>
      </c>
      <c r="C517" s="1" t="s">
        <v>64</v>
      </c>
      <c r="D517" s="2"/>
      <c r="E517" s="2"/>
      <c r="F517" s="8"/>
      <c r="G517" s="8"/>
      <c r="H517" s="8"/>
      <c r="M517" s="3">
        <v>5.46</v>
      </c>
      <c r="O517" s="3">
        <v>5.46</v>
      </c>
      <c r="U517" s="3">
        <v>8.82</v>
      </c>
      <c r="X517" s="3">
        <v>5.84</v>
      </c>
      <c r="Z517" s="3">
        <f>X517-U517</f>
        <v>-2.9800000000000004</v>
      </c>
      <c r="AA517" s="3">
        <v>8.4700000000000006</v>
      </c>
      <c r="AC517" s="3">
        <f t="shared" si="5"/>
        <v>2.6300000000000008</v>
      </c>
      <c r="AD517" s="24">
        <v>3.9</v>
      </c>
      <c r="AG517" s="3">
        <v>3.9</v>
      </c>
      <c r="AI517" s="3">
        <f>AG517-AD517</f>
        <v>0</v>
      </c>
      <c r="AJ517" s="3">
        <v>3.9</v>
      </c>
      <c r="AL517" s="3">
        <f>AJ517-AG517</f>
        <v>0</v>
      </c>
      <c r="AM517" s="3">
        <v>3</v>
      </c>
      <c r="AO517" s="3">
        <f>AM517-AJ517</f>
        <v>-0.89999999999999991</v>
      </c>
      <c r="AP517" s="3">
        <v>3.5</v>
      </c>
      <c r="AS517" s="3">
        <v>5.94</v>
      </c>
      <c r="AV517" s="3">
        <v>5.24</v>
      </c>
      <c r="AZ517" s="3">
        <v>3.3</v>
      </c>
      <c r="BA517" s="1" t="s">
        <v>852</v>
      </c>
      <c r="BD517" s="3">
        <v>4.3</v>
      </c>
      <c r="BE517" s="1" t="s">
        <v>852</v>
      </c>
      <c r="BH517" s="3">
        <v>4.8099999999999996</v>
      </c>
      <c r="BI517" s="1" t="s">
        <v>852</v>
      </c>
    </row>
    <row r="518" spans="1:61">
      <c r="B518" s="103" t="s">
        <v>564</v>
      </c>
      <c r="C518" s="1" t="s">
        <v>286</v>
      </c>
      <c r="D518" s="2"/>
      <c r="E518" s="2"/>
      <c r="F518" s="8"/>
      <c r="G518" s="8"/>
      <c r="H518" s="8"/>
      <c r="M518" s="3">
        <v>4.8899999999999997</v>
      </c>
      <c r="O518" s="3">
        <v>4.8899999999999997</v>
      </c>
      <c r="U518" s="3">
        <v>8.09</v>
      </c>
      <c r="X518" s="3">
        <v>6.08</v>
      </c>
      <c r="Z518" s="3">
        <f>X518-U518</f>
        <v>-2.0099999999999998</v>
      </c>
      <c r="AA518" s="3">
        <v>9.01</v>
      </c>
      <c r="AC518" s="3">
        <f t="shared" si="5"/>
        <v>2.9299999999999997</v>
      </c>
      <c r="AD518" s="24">
        <v>3.5</v>
      </c>
      <c r="AG518" s="3">
        <v>3.5</v>
      </c>
      <c r="AI518" s="3">
        <f>AG518-AD518</f>
        <v>0</v>
      </c>
      <c r="AJ518" s="3">
        <v>3.5</v>
      </c>
      <c r="AL518" s="3">
        <f>AJ518-AG518</f>
        <v>0</v>
      </c>
      <c r="AM518" s="3">
        <v>2.65</v>
      </c>
      <c r="AO518" s="3">
        <f>AM518-AJ518</f>
        <v>-0.85000000000000009</v>
      </c>
      <c r="AP518" s="3">
        <v>3.1</v>
      </c>
      <c r="AS518" s="3">
        <v>5.2</v>
      </c>
      <c r="AV518" s="3">
        <v>5.15</v>
      </c>
      <c r="AZ518" s="3">
        <v>3.37</v>
      </c>
      <c r="BA518" s="1" t="s">
        <v>852</v>
      </c>
    </row>
    <row r="519" spans="1:61">
      <c r="B519" s="103" t="s">
        <v>564</v>
      </c>
      <c r="C519" s="1" t="s">
        <v>288</v>
      </c>
      <c r="D519" s="2"/>
      <c r="E519" s="2"/>
      <c r="F519" s="8"/>
      <c r="G519" s="8"/>
      <c r="H519" s="8"/>
      <c r="M519" s="3">
        <v>5.43</v>
      </c>
      <c r="O519" s="3">
        <v>5.43</v>
      </c>
      <c r="U519" s="3">
        <v>8.18</v>
      </c>
      <c r="X519" s="3">
        <v>5.99</v>
      </c>
      <c r="Z519" s="3">
        <f>X519-U519</f>
        <v>-2.1899999999999995</v>
      </c>
      <c r="AA519" s="3">
        <v>8.99</v>
      </c>
      <c r="AC519" s="3">
        <f t="shared" si="5"/>
        <v>3</v>
      </c>
      <c r="AD519" s="24">
        <v>3.3</v>
      </c>
      <c r="AG519" s="3">
        <v>3.3</v>
      </c>
      <c r="AI519" s="3">
        <f>AG519-AD519</f>
        <v>0</v>
      </c>
      <c r="AJ519" s="3">
        <v>3.3</v>
      </c>
      <c r="AL519" s="3">
        <f>AJ519-AG519</f>
        <v>0</v>
      </c>
      <c r="AM519" s="3">
        <v>2.4</v>
      </c>
      <c r="AO519" s="3">
        <f>AM519-AJ519</f>
        <v>-0.89999999999999991</v>
      </c>
      <c r="AP519" s="3">
        <v>3</v>
      </c>
      <c r="AS519" s="3">
        <v>5.28</v>
      </c>
      <c r="AV519" s="3">
        <v>5.59</v>
      </c>
      <c r="AZ519" s="3">
        <v>2.0699999999999998</v>
      </c>
      <c r="BA519" s="1" t="s">
        <v>852</v>
      </c>
      <c r="BD519" s="3">
        <v>2.2200000000000002</v>
      </c>
      <c r="BE519" s="1" t="s">
        <v>852</v>
      </c>
      <c r="BH519" s="3">
        <v>4.1900000000000004</v>
      </c>
      <c r="BI519" s="1" t="s">
        <v>852</v>
      </c>
    </row>
    <row r="520" spans="1:61">
      <c r="A520" s="6">
        <v>11</v>
      </c>
      <c r="B520" s="103" t="s">
        <v>564</v>
      </c>
      <c r="C520" s="1" t="s">
        <v>57</v>
      </c>
      <c r="D520" s="2">
        <v>5.13</v>
      </c>
      <c r="E520" s="2"/>
      <c r="F520" s="8">
        <v>6</v>
      </c>
      <c r="G520" s="8"/>
      <c r="H520" s="8">
        <v>6</v>
      </c>
      <c r="I520" s="8">
        <f>H520-D520</f>
        <v>0.87000000000000011</v>
      </c>
      <c r="M520" s="3">
        <v>7.17</v>
      </c>
      <c r="O520" s="3">
        <v>7.17</v>
      </c>
      <c r="Q520" s="3">
        <f>O520-H520</f>
        <v>1.17</v>
      </c>
      <c r="R520" s="3">
        <v>6.5</v>
      </c>
      <c r="T520" s="3">
        <f>R520-O520</f>
        <v>-0.66999999999999993</v>
      </c>
      <c r="U520" s="3">
        <v>8.19</v>
      </c>
      <c r="W520" s="3">
        <f>U520-R520</f>
        <v>1.6899999999999995</v>
      </c>
      <c r="X520" s="3">
        <v>6.88</v>
      </c>
      <c r="Z520" s="3">
        <f>X520-U520</f>
        <v>-1.3099999999999996</v>
      </c>
      <c r="AA520" s="3">
        <v>8.82</v>
      </c>
      <c r="AC520" s="3">
        <f t="shared" si="5"/>
        <v>1.9400000000000004</v>
      </c>
    </row>
    <row r="521" spans="1:61">
      <c r="B521" s="103" t="s">
        <v>564</v>
      </c>
      <c r="C521" s="1" t="s">
        <v>287</v>
      </c>
      <c r="D521" s="2"/>
      <c r="E521" s="2"/>
      <c r="F521" s="8"/>
      <c r="G521" s="8"/>
      <c r="H521" s="8"/>
      <c r="M521" s="3">
        <v>5.52</v>
      </c>
      <c r="O521" s="3">
        <v>5.52</v>
      </c>
      <c r="X521" s="3">
        <v>5.55</v>
      </c>
      <c r="AA521" s="3">
        <v>8.94</v>
      </c>
      <c r="AC521" s="3">
        <f t="shared" si="5"/>
        <v>3.3899999999999997</v>
      </c>
      <c r="AD521" s="24">
        <v>3.9</v>
      </c>
      <c r="AG521" s="3">
        <v>3.9</v>
      </c>
      <c r="AI521" s="3">
        <f>AG521-AD521</f>
        <v>0</v>
      </c>
      <c r="AJ521" s="3">
        <v>3.9</v>
      </c>
      <c r="AL521" s="3">
        <f>AJ521-AG521</f>
        <v>0</v>
      </c>
      <c r="AM521" s="3">
        <v>3</v>
      </c>
      <c r="AO521" s="3">
        <f>AM521-AJ521</f>
        <v>-0.89999999999999991</v>
      </c>
      <c r="AP521" s="3">
        <v>3.9</v>
      </c>
      <c r="AS521" s="3">
        <v>7.42</v>
      </c>
      <c r="BD521" s="3">
        <v>4.4400000000000004</v>
      </c>
      <c r="BE521" s="1" t="s">
        <v>852</v>
      </c>
      <c r="BH521" s="3">
        <v>4.96</v>
      </c>
      <c r="BI521" s="1" t="s">
        <v>852</v>
      </c>
    </row>
    <row r="522" spans="1:61">
      <c r="A522" s="6">
        <v>1</v>
      </c>
      <c r="B522" s="103" t="s">
        <v>755</v>
      </c>
      <c r="C522" s="1" t="s">
        <v>52</v>
      </c>
      <c r="D522" s="2">
        <v>10.62</v>
      </c>
      <c r="E522" s="2"/>
      <c r="F522" s="8">
        <v>5.13</v>
      </c>
      <c r="G522" s="8">
        <v>13.75</v>
      </c>
      <c r="H522" s="8">
        <v>13.75</v>
      </c>
      <c r="I522" s="8">
        <f>H522-D522</f>
        <v>3.1300000000000008</v>
      </c>
      <c r="K522" s="3"/>
      <c r="M522" s="3">
        <v>15.22</v>
      </c>
      <c r="O522" s="3">
        <v>15.22</v>
      </c>
      <c r="Q522" s="3">
        <f>O522-H522</f>
        <v>1.4700000000000006</v>
      </c>
      <c r="R522" s="2" t="s">
        <v>501</v>
      </c>
    </row>
    <row r="523" spans="1:61">
      <c r="A523" s="6">
        <v>3</v>
      </c>
      <c r="B523" s="103" t="s">
        <v>755</v>
      </c>
      <c r="C523" s="1" t="s">
        <v>54</v>
      </c>
      <c r="D523" s="2" t="s">
        <v>685</v>
      </c>
      <c r="E523" s="2"/>
      <c r="F523" s="8">
        <v>0</v>
      </c>
      <c r="G523" s="8"/>
      <c r="H523" s="8">
        <v>0</v>
      </c>
      <c r="I523" s="8"/>
      <c r="M523" s="2" t="s">
        <v>502</v>
      </c>
      <c r="N523" s="2"/>
      <c r="O523" s="2" t="s">
        <v>502</v>
      </c>
      <c r="R523" s="2" t="s">
        <v>501</v>
      </c>
    </row>
    <row r="524" spans="1:61">
      <c r="A524" s="6">
        <v>4</v>
      </c>
      <c r="B524" s="103" t="s">
        <v>755</v>
      </c>
      <c r="C524" s="1" t="s">
        <v>55</v>
      </c>
      <c r="D524" s="2" t="s">
        <v>685</v>
      </c>
      <c r="E524" s="2"/>
      <c r="F524" s="8">
        <v>0</v>
      </c>
      <c r="G524" s="8"/>
      <c r="H524" s="8">
        <v>0</v>
      </c>
      <c r="I524" s="8"/>
      <c r="M524" s="2" t="s">
        <v>502</v>
      </c>
      <c r="N524" s="2"/>
      <c r="O524" s="2" t="s">
        <v>502</v>
      </c>
      <c r="R524" s="2" t="s">
        <v>501</v>
      </c>
    </row>
    <row r="525" spans="1:61">
      <c r="A525" s="6">
        <v>5</v>
      </c>
      <c r="B525" s="103" t="s">
        <v>755</v>
      </c>
      <c r="C525" s="1" t="s">
        <v>56</v>
      </c>
      <c r="D525" s="2" t="s">
        <v>685</v>
      </c>
      <c r="E525" s="2"/>
      <c r="F525" s="8">
        <v>0</v>
      </c>
      <c r="G525" s="8"/>
      <c r="H525" s="8">
        <v>0</v>
      </c>
      <c r="I525" s="8"/>
      <c r="M525" s="2" t="s">
        <v>502</v>
      </c>
      <c r="N525" s="2"/>
      <c r="O525" s="2" t="s">
        <v>502</v>
      </c>
      <c r="R525" s="2" t="s">
        <v>501</v>
      </c>
    </row>
    <row r="526" spans="1:61">
      <c r="A526" s="6">
        <v>2</v>
      </c>
      <c r="B526" s="103" t="s">
        <v>755</v>
      </c>
      <c r="C526" s="1" t="s">
        <v>53</v>
      </c>
      <c r="D526" s="2">
        <v>10.62</v>
      </c>
      <c r="E526" s="2"/>
      <c r="F526" s="8">
        <v>10.59</v>
      </c>
      <c r="G526" s="8">
        <v>11</v>
      </c>
      <c r="H526" s="8">
        <v>11</v>
      </c>
      <c r="I526" s="10">
        <f>H526-D526</f>
        <v>0.38000000000000078</v>
      </c>
      <c r="K526" s="3"/>
      <c r="M526" s="3">
        <v>12.22</v>
      </c>
      <c r="O526" s="3">
        <v>12.22</v>
      </c>
      <c r="Q526" s="3">
        <f>O526-H526</f>
        <v>1.2200000000000006</v>
      </c>
      <c r="R526" s="3">
        <v>8.15</v>
      </c>
      <c r="T526" s="3">
        <f>R526-O526</f>
        <v>-4.07</v>
      </c>
      <c r="U526" s="3">
        <v>8.5</v>
      </c>
      <c r="W526" s="3">
        <f>U526-R526</f>
        <v>0.34999999999999964</v>
      </c>
      <c r="X526" s="3">
        <v>13.9</v>
      </c>
      <c r="Z526" s="3">
        <f>X526-U526</f>
        <v>5.4</v>
      </c>
      <c r="AA526" s="3">
        <v>19.8</v>
      </c>
      <c r="AC526" s="3">
        <f>AA526-X526</f>
        <v>5.9</v>
      </c>
    </row>
    <row r="527" spans="1:61">
      <c r="B527" s="103" t="s">
        <v>755</v>
      </c>
      <c r="C527" s="1" t="s">
        <v>597</v>
      </c>
      <c r="D527" s="2"/>
      <c r="E527" s="2"/>
      <c r="F527" s="8"/>
      <c r="G527" s="8"/>
      <c r="H527" s="8"/>
      <c r="Q527" s="3"/>
      <c r="T527" s="3"/>
      <c r="U527" s="3">
        <v>4.9000000000000004</v>
      </c>
      <c r="X527" s="3">
        <v>9.9</v>
      </c>
      <c r="Z527" s="3">
        <f>X527-U527</f>
        <v>5</v>
      </c>
      <c r="AG527" s="3">
        <v>6.6</v>
      </c>
      <c r="AJ527" s="3">
        <v>7.83</v>
      </c>
      <c r="AM527" s="3">
        <v>8.4</v>
      </c>
      <c r="AP527" s="3">
        <v>8.82</v>
      </c>
      <c r="AZ527" s="3">
        <v>10.56</v>
      </c>
      <c r="BA527" s="1" t="s">
        <v>862</v>
      </c>
      <c r="BH527" s="3">
        <v>21.02</v>
      </c>
      <c r="BI527" s="1" t="s">
        <v>862</v>
      </c>
    </row>
    <row r="528" spans="1:61">
      <c r="B528" s="103" t="s">
        <v>755</v>
      </c>
      <c r="C528" s="1" t="s">
        <v>600</v>
      </c>
      <c r="D528" s="2"/>
      <c r="E528" s="2"/>
      <c r="F528" s="8"/>
      <c r="G528" s="8"/>
      <c r="H528" s="8"/>
      <c r="Q528" s="3"/>
      <c r="T528" s="3"/>
      <c r="AM528" s="3">
        <v>24.99</v>
      </c>
    </row>
    <row r="529" spans="1:61">
      <c r="B529" s="103" t="s">
        <v>755</v>
      </c>
      <c r="C529" s="1" t="s">
        <v>1014</v>
      </c>
      <c r="D529" s="2"/>
      <c r="E529" s="2"/>
      <c r="F529" s="8"/>
      <c r="G529" s="8"/>
      <c r="H529" s="8"/>
      <c r="Q529" s="3"/>
      <c r="T529" s="3"/>
      <c r="BH529" s="3">
        <v>12.77</v>
      </c>
      <c r="BI529" s="1" t="s">
        <v>862</v>
      </c>
    </row>
    <row r="530" spans="1:61" ht="9.6" customHeight="1">
      <c r="B530" s="103" t="s">
        <v>755</v>
      </c>
      <c r="C530" s="1" t="s">
        <v>595</v>
      </c>
      <c r="D530" s="2"/>
      <c r="E530" s="2"/>
      <c r="F530" s="8"/>
      <c r="G530" s="8"/>
      <c r="H530" s="8"/>
      <c r="Q530" s="3"/>
      <c r="T530" s="3"/>
      <c r="U530" s="3">
        <v>1.9</v>
      </c>
      <c r="X530" s="3">
        <v>5.03</v>
      </c>
      <c r="Z530" s="3">
        <f>X530-U530</f>
        <v>3.1300000000000003</v>
      </c>
      <c r="AD530" s="24">
        <v>8.2200000000000006</v>
      </c>
      <c r="AG530" s="3">
        <v>2.57</v>
      </c>
      <c r="AI530" s="3">
        <f>AG530-AD530</f>
        <v>-5.65</v>
      </c>
      <c r="AJ530" s="3">
        <v>2.5299999999999998</v>
      </c>
      <c r="AL530" s="3">
        <f>AJ530-AG530</f>
        <v>-4.0000000000000036E-2</v>
      </c>
      <c r="AM530" s="3">
        <v>2.4700000000000002</v>
      </c>
      <c r="AO530" s="3">
        <f>AM530-AJ530</f>
        <v>-5.9999999999999609E-2</v>
      </c>
      <c r="AP530" s="3">
        <v>3.42</v>
      </c>
      <c r="AS530" s="3">
        <v>15.39</v>
      </c>
      <c r="AV530" s="3">
        <v>13.23</v>
      </c>
      <c r="AZ530" s="3">
        <v>2.35</v>
      </c>
      <c r="BA530" s="1" t="s">
        <v>862</v>
      </c>
      <c r="BD530" s="3">
        <v>3.9</v>
      </c>
      <c r="BE530" s="1" t="s">
        <v>862</v>
      </c>
    </row>
    <row r="531" spans="1:61">
      <c r="B531" s="103" t="s">
        <v>755</v>
      </c>
      <c r="C531" s="1" t="s">
        <v>700</v>
      </c>
      <c r="D531" s="2"/>
      <c r="E531" s="2"/>
      <c r="F531" s="8"/>
      <c r="G531" s="8"/>
      <c r="H531" s="8"/>
      <c r="Q531" s="3"/>
      <c r="T531" s="3"/>
      <c r="AG531" s="3">
        <v>2.2799999999999998</v>
      </c>
      <c r="AM531" s="3">
        <v>2.12</v>
      </c>
      <c r="AP531" s="3">
        <v>2.5299999999999998</v>
      </c>
      <c r="AS531" s="3">
        <v>2.15</v>
      </c>
    </row>
    <row r="532" spans="1:61">
      <c r="A532" s="6">
        <v>12</v>
      </c>
      <c r="B532" s="103" t="s">
        <v>755</v>
      </c>
      <c r="C532" s="1" t="s">
        <v>594</v>
      </c>
      <c r="D532" s="2">
        <v>2.8</v>
      </c>
      <c r="E532" s="2"/>
      <c r="F532" s="8">
        <v>3.32</v>
      </c>
      <c r="G532" s="8">
        <v>2.7</v>
      </c>
      <c r="H532" s="8">
        <v>2.7</v>
      </c>
      <c r="I532" s="9">
        <f>H532-D532</f>
        <v>-9.9999999999999645E-2</v>
      </c>
      <c r="K532" s="3"/>
      <c r="M532" s="3">
        <v>3</v>
      </c>
      <c r="O532" s="3">
        <v>3</v>
      </c>
      <c r="Q532" s="3">
        <f>O532-H532</f>
        <v>0.29999999999999982</v>
      </c>
      <c r="R532" s="3">
        <v>2.63</v>
      </c>
      <c r="T532" s="3">
        <f>R532-O532</f>
        <v>-0.37000000000000011</v>
      </c>
      <c r="U532" s="3">
        <v>1.84</v>
      </c>
      <c r="W532" s="3">
        <f>U532-R532</f>
        <v>-0.78999999999999981</v>
      </c>
      <c r="X532" s="3">
        <v>5.55</v>
      </c>
      <c r="Z532" s="3">
        <f>X532-U532</f>
        <v>3.71</v>
      </c>
      <c r="AA532" s="3">
        <v>8.3000000000000007</v>
      </c>
      <c r="AC532" s="3">
        <f>AA532-X532</f>
        <v>2.7500000000000009</v>
      </c>
      <c r="AD532" s="24">
        <v>6.3</v>
      </c>
      <c r="AF532" s="24">
        <f>AD532-AA532</f>
        <v>-2.0000000000000009</v>
      </c>
      <c r="AG532" s="3">
        <v>2.31</v>
      </c>
      <c r="AI532" s="3">
        <f>AG532-AD532</f>
        <v>-3.9899999999999998</v>
      </c>
      <c r="AJ532" s="3">
        <v>2.69</v>
      </c>
      <c r="AL532" s="3">
        <f>AJ532-AG532</f>
        <v>0.37999999999999989</v>
      </c>
      <c r="AM532" s="3">
        <v>2.66</v>
      </c>
      <c r="AO532" s="3">
        <f>AM532-AJ532</f>
        <v>-2.9999999999999805E-2</v>
      </c>
      <c r="AP532" s="3">
        <v>2.17</v>
      </c>
      <c r="AS532" s="3">
        <v>9.74</v>
      </c>
      <c r="AV532" s="3">
        <v>10.32</v>
      </c>
      <c r="AZ532" s="3">
        <v>2.86</v>
      </c>
      <c r="BA532" s="1" t="s">
        <v>862</v>
      </c>
      <c r="BD532" s="3">
        <v>2.9437500000000001</v>
      </c>
      <c r="BE532" s="1" t="s">
        <v>862</v>
      </c>
      <c r="BG532" s="3">
        <v>2.94</v>
      </c>
      <c r="BH532" s="3">
        <v>2.9</v>
      </c>
      <c r="BI532" s="1" t="s">
        <v>862</v>
      </c>
    </row>
    <row r="533" spans="1:61">
      <c r="A533" s="6">
        <v>14</v>
      </c>
      <c r="B533" s="103" t="s">
        <v>755</v>
      </c>
      <c r="C533" s="1" t="s">
        <v>58</v>
      </c>
      <c r="D533" s="2">
        <v>9.77</v>
      </c>
      <c r="E533" s="2"/>
      <c r="F533" s="8">
        <v>0</v>
      </c>
      <c r="G533" s="8">
        <v>8.8000000000000007</v>
      </c>
      <c r="H533" s="8">
        <v>8.8000000000000007</v>
      </c>
      <c r="I533" s="9">
        <f>H533-D533</f>
        <v>-0.96999999999999886</v>
      </c>
      <c r="M533" s="3">
        <v>9.77</v>
      </c>
      <c r="O533" s="3">
        <v>9.77</v>
      </c>
      <c r="Q533" s="3">
        <f>O533-H533</f>
        <v>0.96999999999999886</v>
      </c>
      <c r="R533" s="3">
        <v>7.86</v>
      </c>
      <c r="T533" s="3">
        <f>R533-O533</f>
        <v>-1.9099999999999993</v>
      </c>
      <c r="U533" s="3">
        <v>5.03</v>
      </c>
      <c r="W533" s="3">
        <f>U533-R533</f>
        <v>-2.83</v>
      </c>
      <c r="X533" s="3">
        <v>13.55</v>
      </c>
      <c r="Z533" s="3">
        <f>X533-U533</f>
        <v>8.52</v>
      </c>
      <c r="AA533" s="3">
        <v>24.8</v>
      </c>
      <c r="AC533" s="3">
        <f>AA533-X533</f>
        <v>11.25</v>
      </c>
      <c r="AD533" s="24">
        <v>18.399999999999999</v>
      </c>
      <c r="AF533" s="24">
        <f>AD533-AA533</f>
        <v>-6.4000000000000021</v>
      </c>
      <c r="AG533" s="3">
        <v>5.75</v>
      </c>
      <c r="AI533" s="3">
        <f>AG533-AD533</f>
        <v>-12.649999999999999</v>
      </c>
      <c r="AJ533" s="3">
        <v>5.53</v>
      </c>
      <c r="AL533" s="3">
        <f>AJ533-AG533</f>
        <v>-0.21999999999999975</v>
      </c>
      <c r="AM533" s="3">
        <v>5.35</v>
      </c>
      <c r="AO533" s="3">
        <f>AM533-AJ533</f>
        <v>-0.1800000000000006</v>
      </c>
      <c r="AS533" s="3">
        <v>10.11</v>
      </c>
      <c r="BD533" s="3">
        <v>5.64</v>
      </c>
      <c r="BE533" s="1" t="s">
        <v>862</v>
      </c>
      <c r="BG533" s="3">
        <v>5.64</v>
      </c>
      <c r="BH533" s="3">
        <v>5.65</v>
      </c>
      <c r="BI533" s="1" t="s">
        <v>862</v>
      </c>
    </row>
    <row r="534" spans="1:61">
      <c r="B534" s="103" t="s">
        <v>755</v>
      </c>
      <c r="C534" s="1" t="s">
        <v>868</v>
      </c>
      <c r="D534" s="2"/>
      <c r="E534" s="2"/>
      <c r="F534" s="8"/>
      <c r="G534" s="8"/>
      <c r="H534" s="8"/>
      <c r="Q534" s="3"/>
      <c r="T534" s="3"/>
      <c r="W534" s="3"/>
      <c r="AC534" s="3"/>
      <c r="AF534" s="24"/>
      <c r="AI534" s="3"/>
      <c r="AL534" s="3"/>
      <c r="AO534" s="3"/>
      <c r="BH534" s="3">
        <v>3.1</v>
      </c>
      <c r="BI534" s="1" t="s">
        <v>862</v>
      </c>
    </row>
    <row r="535" spans="1:61">
      <c r="B535" s="103" t="s">
        <v>755</v>
      </c>
      <c r="C535" s="1" t="s">
        <v>607</v>
      </c>
      <c r="D535" s="2"/>
      <c r="E535" s="2"/>
      <c r="F535" s="8"/>
      <c r="G535" s="8"/>
      <c r="H535" s="8"/>
      <c r="Q535" s="3"/>
      <c r="T535" s="3"/>
      <c r="AC535" s="3"/>
      <c r="AF535" s="24"/>
      <c r="AI535" s="3"/>
      <c r="AL535" s="3"/>
      <c r="AM535" s="3">
        <v>12</v>
      </c>
      <c r="BH535" s="3">
        <v>7.68</v>
      </c>
      <c r="BI535" s="1" t="s">
        <v>862</v>
      </c>
    </row>
    <row r="536" spans="1:61">
      <c r="B536" s="103" t="s">
        <v>755</v>
      </c>
      <c r="C536" s="1" t="s">
        <v>291</v>
      </c>
      <c r="D536" s="2"/>
      <c r="E536" s="2"/>
      <c r="F536" s="8"/>
      <c r="G536" s="8"/>
      <c r="H536" s="8"/>
      <c r="Q536" s="3"/>
      <c r="T536" s="3"/>
      <c r="AC536" s="3"/>
      <c r="AF536" s="24"/>
      <c r="AI536" s="3"/>
      <c r="AL536" s="3"/>
      <c r="AM536" s="3">
        <v>2.46</v>
      </c>
    </row>
    <row r="537" spans="1:61">
      <c r="B537" s="103" t="s">
        <v>755</v>
      </c>
      <c r="C537" s="1" t="s">
        <v>959</v>
      </c>
      <c r="D537" s="2"/>
      <c r="E537" s="2"/>
      <c r="F537" s="8"/>
      <c r="G537" s="8"/>
      <c r="H537" s="8"/>
      <c r="Q537" s="3"/>
      <c r="T537" s="3"/>
      <c r="AC537" s="3"/>
      <c r="AF537" s="24"/>
      <c r="AI537" s="3"/>
      <c r="AL537" s="3"/>
      <c r="AO537" s="3"/>
      <c r="BD537" s="3">
        <v>6</v>
      </c>
      <c r="BE537" s="1" t="s">
        <v>862</v>
      </c>
    </row>
    <row r="538" spans="1:61">
      <c r="B538" s="103" t="s">
        <v>755</v>
      </c>
      <c r="C538" s="1" t="s">
        <v>160</v>
      </c>
      <c r="D538" s="2"/>
      <c r="E538" s="2"/>
      <c r="F538" s="8"/>
      <c r="G538" s="8"/>
      <c r="H538" s="8"/>
      <c r="Q538" s="3"/>
      <c r="T538" s="3"/>
      <c r="AC538" s="3"/>
      <c r="AF538" s="24"/>
      <c r="AI538" s="3"/>
      <c r="AJ538" s="3">
        <v>3.05</v>
      </c>
    </row>
    <row r="539" spans="1:61">
      <c r="B539" s="103" t="s">
        <v>755</v>
      </c>
      <c r="C539" s="1" t="s">
        <v>64</v>
      </c>
      <c r="D539" s="2"/>
      <c r="E539" s="2"/>
      <c r="F539" s="8"/>
      <c r="G539" s="8"/>
      <c r="H539" s="8"/>
      <c r="Q539" s="3"/>
      <c r="T539" s="3"/>
      <c r="X539" s="3">
        <v>13.81</v>
      </c>
      <c r="AA539" s="3">
        <v>30.4</v>
      </c>
      <c r="AC539" s="3">
        <f>AA539-X539</f>
        <v>16.589999999999996</v>
      </c>
      <c r="AD539" s="24">
        <v>28.2</v>
      </c>
      <c r="AF539" s="24">
        <f>AD539-AA539</f>
        <v>-2.1999999999999993</v>
      </c>
      <c r="AG539" s="3">
        <v>8.3800000000000008</v>
      </c>
      <c r="AI539" s="3">
        <f>AG539-AD539</f>
        <v>-19.82</v>
      </c>
      <c r="AJ539" s="3">
        <v>6.43</v>
      </c>
      <c r="AL539" s="3">
        <f>AJ539-AG539</f>
        <v>-1.9500000000000011</v>
      </c>
      <c r="AM539" s="3">
        <v>6.96</v>
      </c>
      <c r="AO539" s="3">
        <f>AM539-AJ539</f>
        <v>0.53000000000000025</v>
      </c>
      <c r="AS539" s="3">
        <v>14.42</v>
      </c>
      <c r="BD539" s="3">
        <v>7.2</v>
      </c>
      <c r="BE539" s="1" t="s">
        <v>862</v>
      </c>
    </row>
    <row r="540" spans="1:61">
      <c r="B540" s="103" t="s">
        <v>755</v>
      </c>
      <c r="C540" s="1" t="s">
        <v>286</v>
      </c>
      <c r="D540" s="2"/>
      <c r="E540" s="2"/>
      <c r="F540" s="8"/>
      <c r="G540" s="8"/>
      <c r="H540" s="8"/>
      <c r="Q540" s="3"/>
      <c r="T540" s="3"/>
      <c r="X540" s="3">
        <v>13.36</v>
      </c>
      <c r="AA540" s="3">
        <v>23.8</v>
      </c>
      <c r="AC540" s="3">
        <f>AA540-X540</f>
        <v>10.440000000000001</v>
      </c>
      <c r="AG540" s="3">
        <v>7.12</v>
      </c>
      <c r="AJ540" s="3">
        <v>5.0199999999999996</v>
      </c>
      <c r="AL540" s="3">
        <f>AJ540-AG540</f>
        <v>-2.1000000000000005</v>
      </c>
      <c r="AM540" s="3">
        <v>5.1100000000000003</v>
      </c>
      <c r="AO540" s="3">
        <f>AM540-AJ540</f>
        <v>9.0000000000000746E-2</v>
      </c>
      <c r="AS540" s="3">
        <v>14.88</v>
      </c>
      <c r="BD540" s="3">
        <v>5.7</v>
      </c>
      <c r="BE540" s="1" t="s">
        <v>862</v>
      </c>
    </row>
    <row r="541" spans="1:61">
      <c r="B541" s="103" t="s">
        <v>755</v>
      </c>
      <c r="C541" s="1" t="s">
        <v>288</v>
      </c>
      <c r="D541" s="2"/>
      <c r="E541" s="2"/>
      <c r="F541" s="8"/>
      <c r="G541" s="8"/>
      <c r="H541" s="8"/>
      <c r="Q541" s="3"/>
      <c r="T541" s="3"/>
      <c r="X541" s="3">
        <v>14.11</v>
      </c>
      <c r="AD541" s="24">
        <v>20.399999999999999</v>
      </c>
      <c r="AG541" s="3">
        <v>5.66</v>
      </c>
      <c r="AI541" s="3">
        <f>AG541-AD541</f>
        <v>-14.739999999999998</v>
      </c>
      <c r="AJ541" s="3">
        <v>4.3899999999999997</v>
      </c>
      <c r="AL541" s="3">
        <f>AJ541-AG541</f>
        <v>-1.2700000000000005</v>
      </c>
      <c r="AM541" s="3">
        <v>4.9000000000000004</v>
      </c>
      <c r="AO541" s="3">
        <f>AM541-AJ541</f>
        <v>0.51000000000000068</v>
      </c>
      <c r="AS541" s="3">
        <v>12.24</v>
      </c>
      <c r="BD541" s="3">
        <v>4.99</v>
      </c>
      <c r="BE541" s="1" t="s">
        <v>862</v>
      </c>
    </row>
    <row r="542" spans="1:61">
      <c r="B542" s="103" t="s">
        <v>755</v>
      </c>
      <c r="C542" s="1" t="s">
        <v>875</v>
      </c>
      <c r="D542" s="2"/>
      <c r="E542" s="2"/>
      <c r="F542" s="8"/>
      <c r="G542" s="8"/>
      <c r="H542" s="8"/>
      <c r="Q542" s="3"/>
      <c r="T542" s="3"/>
      <c r="AC542" s="3"/>
      <c r="AF542" s="24"/>
      <c r="AI542" s="3"/>
      <c r="AL542" s="3"/>
      <c r="AO542" s="3"/>
      <c r="BD542" s="3">
        <v>7.35</v>
      </c>
      <c r="BE542" s="1" t="s">
        <v>862</v>
      </c>
    </row>
    <row r="543" spans="1:61">
      <c r="A543" s="6">
        <v>11</v>
      </c>
      <c r="B543" s="103" t="s">
        <v>755</v>
      </c>
      <c r="C543" s="1" t="s">
        <v>57</v>
      </c>
      <c r="D543" s="2">
        <v>10.74</v>
      </c>
      <c r="E543" s="2"/>
      <c r="F543" s="8">
        <v>0</v>
      </c>
      <c r="G543" s="8">
        <v>13.8</v>
      </c>
      <c r="H543" s="8">
        <v>13.8</v>
      </c>
      <c r="I543" s="8">
        <f>H543-D543</f>
        <v>3.0600000000000005</v>
      </c>
      <c r="M543" s="3">
        <v>15.33</v>
      </c>
      <c r="O543" s="3">
        <v>15.33</v>
      </c>
      <c r="Q543" s="3">
        <f>O543-H543</f>
        <v>1.5299999999999994</v>
      </c>
      <c r="R543" s="3">
        <v>11.55</v>
      </c>
      <c r="T543" s="3">
        <f>R543-O543</f>
        <v>-3.7799999999999994</v>
      </c>
      <c r="X543" s="3">
        <v>14.1</v>
      </c>
    </row>
    <row r="544" spans="1:61">
      <c r="B544" s="103" t="s">
        <v>755</v>
      </c>
      <c r="C544" s="1" t="s">
        <v>287</v>
      </c>
      <c r="D544" s="2"/>
      <c r="E544" s="2"/>
      <c r="F544" s="8"/>
      <c r="G544" s="8"/>
      <c r="H544" s="8"/>
      <c r="Q544" s="3"/>
      <c r="T544" s="3"/>
      <c r="X544" s="3">
        <v>14.93</v>
      </c>
      <c r="AA544" s="3">
        <v>23.8</v>
      </c>
      <c r="AC544" s="3">
        <f>AA544-X544</f>
        <v>8.870000000000001</v>
      </c>
      <c r="AD544" s="24">
        <v>19.7</v>
      </c>
      <c r="AF544" s="24">
        <f>AD544-AA544</f>
        <v>-4.1000000000000014</v>
      </c>
      <c r="AG544" s="3">
        <v>7.28</v>
      </c>
      <c r="AI544" s="3">
        <f>AG544-AD544</f>
        <v>-12.419999999999998</v>
      </c>
      <c r="AJ544" s="3">
        <v>5.28</v>
      </c>
      <c r="AL544" s="3">
        <f>AJ544-AG544</f>
        <v>-2</v>
      </c>
      <c r="AM544" s="3">
        <v>4.72</v>
      </c>
      <c r="AO544" s="3">
        <f>AM544-AJ544</f>
        <v>-0.5600000000000005</v>
      </c>
      <c r="AS544" s="3">
        <v>13.87</v>
      </c>
      <c r="BD544" s="3">
        <v>7.18</v>
      </c>
      <c r="BE544" s="1" t="s">
        <v>862</v>
      </c>
    </row>
    <row r="545" spans="1:60">
      <c r="A545" s="6">
        <v>1</v>
      </c>
      <c r="B545" s="103" t="s">
        <v>754</v>
      </c>
      <c r="C545" s="1" t="s">
        <v>52</v>
      </c>
      <c r="D545" s="2"/>
      <c r="E545" s="2"/>
      <c r="F545" s="8"/>
      <c r="G545" s="8"/>
      <c r="H545" s="8"/>
    </row>
    <row r="546" spans="1:60">
      <c r="A546" s="6">
        <v>3</v>
      </c>
      <c r="B546" s="103" t="s">
        <v>754</v>
      </c>
      <c r="C546" s="1" t="s">
        <v>54</v>
      </c>
      <c r="D546" s="2"/>
      <c r="E546" s="2"/>
      <c r="F546" s="8"/>
      <c r="G546" s="8"/>
      <c r="H546" s="8"/>
    </row>
    <row r="547" spans="1:60">
      <c r="A547" s="6">
        <v>4</v>
      </c>
      <c r="B547" s="103" t="s">
        <v>754</v>
      </c>
      <c r="C547" s="1" t="s">
        <v>55</v>
      </c>
      <c r="D547" s="2"/>
      <c r="E547" s="2"/>
      <c r="F547" s="8"/>
      <c r="G547" s="8"/>
      <c r="H547" s="8"/>
    </row>
    <row r="548" spans="1:60">
      <c r="A548" s="6">
        <v>5</v>
      </c>
      <c r="B548" s="103" t="s">
        <v>754</v>
      </c>
      <c r="C548" s="1" t="s">
        <v>56</v>
      </c>
      <c r="D548" s="2"/>
      <c r="E548" s="2"/>
      <c r="F548" s="8"/>
      <c r="G548" s="8"/>
      <c r="H548" s="8"/>
    </row>
    <row r="549" spans="1:60">
      <c r="A549" s="6">
        <v>2</v>
      </c>
      <c r="B549" s="103" t="s">
        <v>754</v>
      </c>
      <c r="C549" s="1" t="s">
        <v>53</v>
      </c>
      <c r="D549" s="2"/>
      <c r="E549" s="2"/>
      <c r="F549" s="8"/>
      <c r="G549" s="8"/>
      <c r="H549" s="8"/>
      <c r="M549" s="3">
        <v>40</v>
      </c>
      <c r="O549" s="3">
        <v>40</v>
      </c>
      <c r="Q549" s="3"/>
    </row>
    <row r="550" spans="1:60">
      <c r="A550" s="6">
        <v>12</v>
      </c>
      <c r="B550" s="103" t="s">
        <v>754</v>
      </c>
      <c r="C550" s="1" t="s">
        <v>594</v>
      </c>
      <c r="D550" s="2"/>
      <c r="E550" s="2"/>
      <c r="F550" s="8"/>
      <c r="G550" s="8"/>
      <c r="H550" s="8"/>
      <c r="M550" s="3">
        <v>18</v>
      </c>
      <c r="O550" s="3">
        <v>18</v>
      </c>
      <c r="Q550" s="3"/>
      <c r="R550" s="3">
        <v>17</v>
      </c>
      <c r="T550" s="3">
        <f>R550-O550</f>
        <v>-1</v>
      </c>
      <c r="U550" s="3">
        <v>17</v>
      </c>
      <c r="W550" s="3">
        <f>U550-R550</f>
        <v>0</v>
      </c>
      <c r="X550" s="3">
        <v>17</v>
      </c>
      <c r="Z550" s="3">
        <f t="shared" ref="Z550:Z555" si="6">X550-U550</f>
        <v>0</v>
      </c>
      <c r="AA550" s="3">
        <v>15</v>
      </c>
      <c r="AC550" s="3">
        <f>AA550-X550</f>
        <v>-2</v>
      </c>
      <c r="AD550" s="24">
        <v>17</v>
      </c>
      <c r="AG550" s="3">
        <v>20</v>
      </c>
      <c r="AI550" s="3">
        <f>AG550-AD550</f>
        <v>3</v>
      </c>
      <c r="AJ550" s="3">
        <v>19.690000000000001</v>
      </c>
      <c r="AL550" s="3">
        <f>AJ550-AG550</f>
        <v>-0.30999999999999872</v>
      </c>
      <c r="AM550" s="3">
        <v>15</v>
      </c>
      <c r="AO550" s="3">
        <f>AM550-AJ550</f>
        <v>-4.6900000000000013</v>
      </c>
      <c r="AP550" s="3">
        <v>11.36</v>
      </c>
      <c r="AS550" s="3">
        <v>11.36</v>
      </c>
      <c r="AV550" s="3">
        <v>14</v>
      </c>
      <c r="AY550" s="3">
        <v>3.62</v>
      </c>
      <c r="AZ550" s="3">
        <v>10.47</v>
      </c>
      <c r="BA550" s="1" t="s">
        <v>852</v>
      </c>
      <c r="BC550" s="3">
        <v>14.4</v>
      </c>
      <c r="BD550" s="3">
        <v>14.4</v>
      </c>
      <c r="BG550" s="3">
        <v>14.4</v>
      </c>
      <c r="BH550" s="3">
        <v>15.2</v>
      </c>
    </row>
    <row r="551" spans="1:60">
      <c r="A551" s="6">
        <v>14</v>
      </c>
      <c r="B551" s="103" t="s">
        <v>754</v>
      </c>
      <c r="C551" s="1" t="s">
        <v>58</v>
      </c>
      <c r="D551" s="2"/>
      <c r="E551" s="2"/>
      <c r="F551" s="8"/>
      <c r="G551" s="8"/>
      <c r="H551" s="8"/>
      <c r="M551" s="3">
        <v>20</v>
      </c>
      <c r="O551" s="3">
        <v>20</v>
      </c>
      <c r="Q551" s="3"/>
      <c r="R551" s="3">
        <v>18</v>
      </c>
      <c r="T551" s="3">
        <f>R551-O551</f>
        <v>-2</v>
      </c>
      <c r="U551" s="3">
        <v>17</v>
      </c>
      <c r="W551" s="3">
        <f>U551-R551</f>
        <v>-1</v>
      </c>
      <c r="X551" s="3">
        <v>18</v>
      </c>
      <c r="Z551" s="3">
        <f t="shared" si="6"/>
        <v>1</v>
      </c>
      <c r="AY551" s="3">
        <v>7.83</v>
      </c>
      <c r="AZ551" s="3">
        <v>12.57</v>
      </c>
      <c r="BA551" s="1" t="s">
        <v>852</v>
      </c>
      <c r="BC551" s="3">
        <v>13.22</v>
      </c>
      <c r="BD551" s="3">
        <v>13.94</v>
      </c>
      <c r="BG551" s="3">
        <v>13.94</v>
      </c>
      <c r="BH551" s="3">
        <v>14.6</v>
      </c>
    </row>
    <row r="552" spans="1:60">
      <c r="B552" s="103" t="s">
        <v>754</v>
      </c>
      <c r="C552" s="1" t="s">
        <v>289</v>
      </c>
      <c r="D552" s="2"/>
      <c r="E552" s="2"/>
      <c r="F552" s="8"/>
      <c r="G552" s="8"/>
      <c r="H552" s="8"/>
      <c r="Q552" s="3"/>
      <c r="R552" s="3">
        <v>38</v>
      </c>
      <c r="T552" s="3"/>
      <c r="U552" s="3">
        <v>34</v>
      </c>
      <c r="W552" s="3">
        <f>U552-R552</f>
        <v>-4</v>
      </c>
      <c r="X552" s="3">
        <v>38</v>
      </c>
      <c r="Z552" s="3">
        <f t="shared" si="6"/>
        <v>4</v>
      </c>
      <c r="AY552" s="3">
        <v>6.93</v>
      </c>
      <c r="AZ552" s="3">
        <v>12.57</v>
      </c>
      <c r="BA552" s="1" t="s">
        <v>852</v>
      </c>
      <c r="BC552" s="3">
        <v>11.2</v>
      </c>
      <c r="BD552" s="3">
        <v>12.04</v>
      </c>
      <c r="BG552" s="3">
        <v>12.04</v>
      </c>
      <c r="BH552" s="3">
        <v>12.84</v>
      </c>
    </row>
    <row r="553" spans="1:60">
      <c r="B553" s="103" t="s">
        <v>754</v>
      </c>
      <c r="C553" s="1" t="s">
        <v>290</v>
      </c>
      <c r="D553" s="2"/>
      <c r="E553" s="2"/>
      <c r="F553" s="8"/>
      <c r="G553" s="8"/>
      <c r="H553" s="8"/>
      <c r="Q553" s="3"/>
      <c r="T553" s="3"/>
      <c r="U553" s="3">
        <v>34</v>
      </c>
      <c r="X553" s="3">
        <v>38</v>
      </c>
      <c r="Z553" s="3">
        <f t="shared" si="6"/>
        <v>4</v>
      </c>
      <c r="BC553" s="3">
        <v>42.14</v>
      </c>
      <c r="BD553" s="3">
        <v>42.14</v>
      </c>
      <c r="BG553" s="3">
        <v>42.14</v>
      </c>
      <c r="BH553" s="3">
        <v>43</v>
      </c>
    </row>
    <row r="554" spans="1:60">
      <c r="B554" s="103" t="s">
        <v>754</v>
      </c>
      <c r="C554" s="1" t="s">
        <v>64</v>
      </c>
      <c r="D554" s="2"/>
      <c r="E554" s="2"/>
      <c r="F554" s="8"/>
      <c r="G554" s="8"/>
      <c r="H554" s="8"/>
      <c r="Q554" s="3"/>
      <c r="R554" s="3">
        <v>61</v>
      </c>
      <c r="T554" s="3"/>
      <c r="U554" s="3">
        <v>55</v>
      </c>
      <c r="W554" s="3">
        <f>U554-R554</f>
        <v>-6</v>
      </c>
      <c r="X554" s="3">
        <v>61</v>
      </c>
      <c r="Z554" s="3">
        <f t="shared" si="6"/>
        <v>6</v>
      </c>
      <c r="AY554" s="3">
        <v>17.22</v>
      </c>
      <c r="AZ554" s="3">
        <v>20.95</v>
      </c>
      <c r="BA554" s="1" t="s">
        <v>852</v>
      </c>
      <c r="BC554" s="3">
        <v>18.600000000000001</v>
      </c>
      <c r="BD554" s="3">
        <v>18.600000000000001</v>
      </c>
      <c r="BG554" s="3">
        <v>18.600000000000001</v>
      </c>
      <c r="BH554" s="3">
        <v>19.7</v>
      </c>
    </row>
    <row r="555" spans="1:60">
      <c r="B555" s="103" t="s">
        <v>754</v>
      </c>
      <c r="C555" s="1" t="s">
        <v>286</v>
      </c>
      <c r="D555" s="2"/>
      <c r="E555" s="2"/>
      <c r="F555" s="8"/>
      <c r="G555" s="8"/>
      <c r="H555" s="8"/>
      <c r="Q555" s="3"/>
      <c r="R555" s="3">
        <v>57</v>
      </c>
      <c r="T555" s="3"/>
      <c r="U555" s="3">
        <v>55</v>
      </c>
      <c r="W555" s="3">
        <f>U555-R555</f>
        <v>-2</v>
      </c>
      <c r="X555" s="3">
        <v>57</v>
      </c>
      <c r="Z555" s="3">
        <f t="shared" si="6"/>
        <v>2</v>
      </c>
      <c r="AY555" s="3">
        <v>17.22</v>
      </c>
      <c r="AZ555" s="3">
        <v>20.95</v>
      </c>
      <c r="BA555" s="1" t="s">
        <v>852</v>
      </c>
      <c r="BC555" s="3">
        <v>18.22</v>
      </c>
      <c r="BD555" s="3">
        <v>18.5</v>
      </c>
      <c r="BG555" s="3">
        <v>18.5</v>
      </c>
      <c r="BH555" s="3">
        <v>18.649999999999999</v>
      </c>
    </row>
    <row r="556" spans="1:60">
      <c r="B556" s="103" t="s">
        <v>754</v>
      </c>
      <c r="C556" s="1" t="s">
        <v>288</v>
      </c>
      <c r="D556" s="2"/>
      <c r="E556" s="2"/>
      <c r="F556" s="8"/>
      <c r="G556" s="8"/>
      <c r="H556" s="8"/>
      <c r="Q556" s="3"/>
      <c r="T556" s="3"/>
      <c r="W556" s="3"/>
      <c r="AY556" s="3">
        <v>17.22</v>
      </c>
      <c r="AZ556" s="3">
        <v>20.95</v>
      </c>
      <c r="BA556" s="1" t="s">
        <v>852</v>
      </c>
      <c r="BC556" s="3">
        <v>18.600000000000001</v>
      </c>
      <c r="BD556" s="3">
        <v>18.600000000000001</v>
      </c>
      <c r="BG556" s="3">
        <v>18.600000000000001</v>
      </c>
      <c r="BH556" s="3">
        <v>18.2</v>
      </c>
    </row>
    <row r="557" spans="1:60">
      <c r="A557" s="6">
        <v>11</v>
      </c>
      <c r="B557" s="103" t="s">
        <v>754</v>
      </c>
      <c r="C557" s="1" t="s">
        <v>57</v>
      </c>
      <c r="D557" s="2"/>
      <c r="E557" s="2"/>
      <c r="F557" s="8"/>
      <c r="G557" s="8"/>
      <c r="H557" s="8"/>
      <c r="M557" s="3">
        <v>38</v>
      </c>
      <c r="O557" s="3">
        <v>38</v>
      </c>
      <c r="Q557" s="3"/>
    </row>
    <row r="558" spans="1:60">
      <c r="A558" s="6">
        <v>1</v>
      </c>
      <c r="B558" s="103" t="s">
        <v>553</v>
      </c>
      <c r="C558" s="1" t="s">
        <v>52</v>
      </c>
      <c r="D558" s="2">
        <v>9</v>
      </c>
      <c r="E558" s="2"/>
      <c r="F558" s="9">
        <v>20</v>
      </c>
      <c r="H558" s="9">
        <v>20</v>
      </c>
      <c r="I558" s="8">
        <f>H558-D558</f>
        <v>11</v>
      </c>
      <c r="L558" s="1" t="s">
        <v>81</v>
      </c>
      <c r="M558" s="3">
        <v>12</v>
      </c>
      <c r="O558" s="3">
        <v>12</v>
      </c>
      <c r="Q558" s="3">
        <f>O558-H558</f>
        <v>-8</v>
      </c>
      <c r="R558" s="3">
        <v>26</v>
      </c>
      <c r="T558" s="2">
        <f>R558-O558</f>
        <v>14</v>
      </c>
      <c r="U558" s="3">
        <v>26</v>
      </c>
      <c r="W558" s="3">
        <f>U558-R558</f>
        <v>0</v>
      </c>
      <c r="AE558" s="1" t="s">
        <v>285</v>
      </c>
      <c r="AW558" s="1" t="s">
        <v>285</v>
      </c>
    </row>
    <row r="559" spans="1:60">
      <c r="A559" s="6">
        <v>3</v>
      </c>
      <c r="B559" s="103" t="s">
        <v>553</v>
      </c>
      <c r="C559" s="1" t="s">
        <v>54</v>
      </c>
      <c r="D559" s="2">
        <v>10</v>
      </c>
      <c r="E559" s="2"/>
      <c r="F559" s="9">
        <v>0</v>
      </c>
      <c r="H559" s="9">
        <v>0</v>
      </c>
      <c r="AE559" s="1" t="s">
        <v>285</v>
      </c>
      <c r="AW559" s="1" t="s">
        <v>285</v>
      </c>
    </row>
    <row r="560" spans="1:60">
      <c r="A560" s="6">
        <v>4</v>
      </c>
      <c r="B560" s="103" t="s">
        <v>553</v>
      </c>
      <c r="C560" s="1" t="s">
        <v>55</v>
      </c>
      <c r="D560" s="2"/>
      <c r="E560" s="2"/>
      <c r="F560" s="9">
        <v>0</v>
      </c>
      <c r="H560" s="9">
        <v>0</v>
      </c>
      <c r="AE560" s="1" t="s">
        <v>285</v>
      </c>
      <c r="AW560" s="1" t="s">
        <v>285</v>
      </c>
    </row>
    <row r="561" spans="1:61">
      <c r="A561" s="6">
        <v>5</v>
      </c>
      <c r="B561" s="103" t="s">
        <v>553</v>
      </c>
      <c r="C561" s="1" t="s">
        <v>56</v>
      </c>
      <c r="D561" s="2"/>
      <c r="E561" s="2"/>
      <c r="F561" s="9">
        <v>0</v>
      </c>
      <c r="H561" s="9">
        <v>0</v>
      </c>
      <c r="AE561" s="1" t="s">
        <v>285</v>
      </c>
      <c r="AW561" s="1" t="s">
        <v>285</v>
      </c>
    </row>
    <row r="562" spans="1:61">
      <c r="A562" s="6">
        <v>2</v>
      </c>
      <c r="B562" s="103" t="s">
        <v>553</v>
      </c>
      <c r="C562" s="1" t="s">
        <v>53</v>
      </c>
      <c r="D562" s="2">
        <v>9</v>
      </c>
      <c r="E562" s="2"/>
      <c r="F562" s="9">
        <v>18</v>
      </c>
      <c r="H562" s="9">
        <v>18</v>
      </c>
      <c r="I562" s="10">
        <f>H562-D562</f>
        <v>9</v>
      </c>
      <c r="L562" s="1" t="s">
        <v>393</v>
      </c>
      <c r="M562" s="3">
        <v>12</v>
      </c>
      <c r="O562" s="3">
        <v>12</v>
      </c>
      <c r="Q562" s="3">
        <f>O562-H562</f>
        <v>-6</v>
      </c>
      <c r="R562" s="3">
        <v>26</v>
      </c>
      <c r="T562" s="3">
        <f>R562-O562</f>
        <v>14</v>
      </c>
      <c r="U562" s="3">
        <v>26</v>
      </c>
      <c r="W562" s="3">
        <f>U562-R562</f>
        <v>0</v>
      </c>
      <c r="AE562" s="1" t="s">
        <v>285</v>
      </c>
      <c r="AW562" s="1" t="s">
        <v>285</v>
      </c>
    </row>
    <row r="563" spans="1:61">
      <c r="A563" s="6">
        <v>12</v>
      </c>
      <c r="B563" s="103" t="s">
        <v>553</v>
      </c>
      <c r="C563" s="1" t="s">
        <v>594</v>
      </c>
      <c r="D563" s="2">
        <v>15</v>
      </c>
      <c r="E563" s="2"/>
      <c r="F563" s="9">
        <v>19</v>
      </c>
      <c r="H563" s="9">
        <v>19</v>
      </c>
      <c r="I563" s="8">
        <f>H563-D563</f>
        <v>4</v>
      </c>
      <c r="L563" s="1" t="s">
        <v>354</v>
      </c>
      <c r="M563" s="3">
        <v>15</v>
      </c>
      <c r="O563" s="3">
        <v>15</v>
      </c>
      <c r="Q563" s="3">
        <f>O563-H563</f>
        <v>-4</v>
      </c>
      <c r="R563" s="3">
        <v>13</v>
      </c>
      <c r="T563" s="3">
        <f>R563-O563</f>
        <v>-2</v>
      </c>
      <c r="U563" s="3">
        <v>13</v>
      </c>
      <c r="W563" s="3">
        <f>U563-R563</f>
        <v>0</v>
      </c>
      <c r="X563" s="3">
        <v>13</v>
      </c>
      <c r="AA563" s="3">
        <v>13</v>
      </c>
      <c r="AE563" s="1" t="s">
        <v>285</v>
      </c>
      <c r="AG563" s="3">
        <v>15</v>
      </c>
      <c r="AJ563" s="3">
        <v>10</v>
      </c>
      <c r="AL563" s="3">
        <f>AJ563-AG563</f>
        <v>-5</v>
      </c>
      <c r="AM563" s="3">
        <v>13.33</v>
      </c>
      <c r="AO563" s="3">
        <f>AM563-AJ563</f>
        <v>3.33</v>
      </c>
      <c r="AP563" s="3">
        <v>12</v>
      </c>
      <c r="AS563" s="3">
        <v>12</v>
      </c>
      <c r="AW563" s="1" t="s">
        <v>285</v>
      </c>
      <c r="AY563" s="3">
        <f>29.56/13.6</f>
        <v>2.1735294117647057</v>
      </c>
      <c r="AZ563" s="3">
        <f>65.24/13.6</f>
        <v>4.7970588235294116</v>
      </c>
      <c r="BE563" s="1" t="s">
        <v>967</v>
      </c>
      <c r="BI563" s="1" t="s">
        <v>1088</v>
      </c>
    </row>
    <row r="564" spans="1:61">
      <c r="B564" s="103" t="s">
        <v>553</v>
      </c>
      <c r="C564" s="1" t="s">
        <v>406</v>
      </c>
      <c r="D564" s="2"/>
      <c r="E564" s="2"/>
      <c r="T564" s="3"/>
      <c r="W564" s="3"/>
      <c r="X564" s="3">
        <v>15</v>
      </c>
      <c r="AA564" s="3">
        <v>15</v>
      </c>
      <c r="AW564" s="1" t="s">
        <v>285</v>
      </c>
    </row>
    <row r="565" spans="1:61">
      <c r="A565" s="6">
        <v>14</v>
      </c>
      <c r="B565" s="103" t="s">
        <v>553</v>
      </c>
      <c r="C565" s="1" t="s">
        <v>58</v>
      </c>
      <c r="D565" s="2">
        <v>18</v>
      </c>
      <c r="E565" s="2"/>
      <c r="F565" s="9">
        <v>0</v>
      </c>
      <c r="H565" s="9">
        <v>0</v>
      </c>
      <c r="R565" s="3">
        <v>15</v>
      </c>
      <c r="T565" s="3"/>
      <c r="U565" s="3">
        <v>15</v>
      </c>
      <c r="W565" s="3">
        <f>U565-R565</f>
        <v>0</v>
      </c>
      <c r="AE565" s="1" t="s">
        <v>285</v>
      </c>
      <c r="AG565" s="3">
        <v>20</v>
      </c>
      <c r="AJ565" s="3">
        <v>20</v>
      </c>
      <c r="AL565" s="3">
        <f>AJ565-AG565</f>
        <v>0</v>
      </c>
      <c r="AM565" s="3">
        <v>13.33</v>
      </c>
      <c r="AO565" s="3">
        <f>AM565-AJ565</f>
        <v>-6.67</v>
      </c>
      <c r="AP565" s="3">
        <v>16</v>
      </c>
      <c r="AS565" s="3">
        <v>16</v>
      </c>
      <c r="AW565" s="1" t="s">
        <v>285</v>
      </c>
    </row>
    <row r="566" spans="1:61">
      <c r="B566" s="103" t="s">
        <v>553</v>
      </c>
      <c r="C566" s="1" t="s">
        <v>291</v>
      </c>
      <c r="D566" s="2"/>
      <c r="E566" s="2"/>
      <c r="I566" s="8"/>
      <c r="Q566" s="3"/>
      <c r="T566" s="3"/>
      <c r="AM566" s="3">
        <v>14</v>
      </c>
      <c r="AW566" s="1" t="s">
        <v>285</v>
      </c>
    </row>
    <row r="567" spans="1:61">
      <c r="B567" s="103" t="s">
        <v>553</v>
      </c>
      <c r="C567" s="1" t="s">
        <v>289</v>
      </c>
      <c r="D567" s="2"/>
      <c r="E567" s="2"/>
      <c r="R567" s="3">
        <v>32</v>
      </c>
      <c r="T567" s="3"/>
      <c r="U567" s="3">
        <v>22</v>
      </c>
      <c r="W567" s="3">
        <f>U567-R567</f>
        <v>-10</v>
      </c>
      <c r="X567" s="3">
        <v>22</v>
      </c>
      <c r="AA567" s="3">
        <v>22</v>
      </c>
      <c r="AE567" s="1" t="s">
        <v>285</v>
      </c>
      <c r="AG567" s="3">
        <v>25</v>
      </c>
      <c r="AM567" s="3">
        <v>10</v>
      </c>
      <c r="AP567" s="3">
        <v>30</v>
      </c>
      <c r="AS567" s="3">
        <v>30</v>
      </c>
      <c r="AW567" s="1" t="s">
        <v>285</v>
      </c>
    </row>
    <row r="568" spans="1:61">
      <c r="B568" s="103" t="s">
        <v>553</v>
      </c>
      <c r="C568" s="1" t="s">
        <v>290</v>
      </c>
      <c r="D568" s="2"/>
      <c r="E568" s="2"/>
      <c r="T568" s="3"/>
      <c r="W568" s="3"/>
      <c r="AM568" s="3">
        <v>15</v>
      </c>
      <c r="AW568" s="1" t="s">
        <v>285</v>
      </c>
    </row>
    <row r="569" spans="1:61">
      <c r="B569" s="103" t="s">
        <v>553</v>
      </c>
      <c r="C569" s="1" t="s">
        <v>64</v>
      </c>
      <c r="D569" s="2"/>
      <c r="E569" s="2"/>
      <c r="T569" s="3"/>
      <c r="W569" s="3"/>
      <c r="X569" s="3">
        <v>22</v>
      </c>
      <c r="AA569" s="3">
        <v>22</v>
      </c>
      <c r="AG569" s="3">
        <v>28</v>
      </c>
      <c r="AJ569" s="3">
        <v>16</v>
      </c>
      <c r="AL569" s="3">
        <f>AJ569-AG569</f>
        <v>-12</v>
      </c>
      <c r="AM569" s="3">
        <v>14</v>
      </c>
      <c r="AO569" s="3">
        <f>AM569-AJ569</f>
        <v>-2</v>
      </c>
      <c r="AP569" s="3">
        <v>28</v>
      </c>
      <c r="AS569" s="3">
        <v>28</v>
      </c>
      <c r="AW569" s="1" t="s">
        <v>285</v>
      </c>
    </row>
    <row r="570" spans="1:61">
      <c r="B570" s="103" t="s">
        <v>553</v>
      </c>
      <c r="C570" s="1" t="s">
        <v>286</v>
      </c>
      <c r="D570" s="2"/>
      <c r="E570" s="2"/>
      <c r="I570" s="8"/>
      <c r="Q570" s="3"/>
      <c r="T570" s="3"/>
      <c r="AG570" s="3">
        <v>28</v>
      </c>
      <c r="AJ570" s="3">
        <v>16</v>
      </c>
      <c r="AL570" s="3">
        <f>AJ570-AG570</f>
        <v>-12</v>
      </c>
      <c r="AM570" s="3">
        <v>14</v>
      </c>
      <c r="AO570" s="3">
        <f>AM570-AJ570</f>
        <v>-2</v>
      </c>
      <c r="AP570" s="3">
        <v>28</v>
      </c>
      <c r="AS570" s="3">
        <v>28</v>
      </c>
      <c r="AW570" s="1" t="s">
        <v>285</v>
      </c>
    </row>
    <row r="571" spans="1:61">
      <c r="B571" s="103" t="s">
        <v>553</v>
      </c>
      <c r="C571" s="1" t="s">
        <v>288</v>
      </c>
      <c r="D571" s="2"/>
      <c r="E571" s="2"/>
      <c r="I571" s="8"/>
      <c r="Q571" s="3"/>
      <c r="T571" s="3"/>
      <c r="AG571" s="3">
        <v>28</v>
      </c>
      <c r="AJ571" s="3">
        <v>16</v>
      </c>
      <c r="AL571" s="3">
        <f>AJ571-AG571</f>
        <v>-12</v>
      </c>
      <c r="AM571" s="3">
        <v>13</v>
      </c>
      <c r="AO571" s="3">
        <f>AM571-AJ571</f>
        <v>-3</v>
      </c>
      <c r="AP571" s="3">
        <v>28</v>
      </c>
      <c r="AS571" s="3">
        <v>28</v>
      </c>
      <c r="AW571" s="1" t="s">
        <v>285</v>
      </c>
    </row>
    <row r="572" spans="1:61">
      <c r="A572" s="6">
        <v>11</v>
      </c>
      <c r="B572" s="103" t="s">
        <v>553</v>
      </c>
      <c r="C572" s="1" t="s">
        <v>57</v>
      </c>
      <c r="D572" s="2">
        <v>20</v>
      </c>
      <c r="E572" s="2"/>
      <c r="F572" s="9">
        <v>19</v>
      </c>
      <c r="H572" s="9">
        <v>19</v>
      </c>
      <c r="I572" s="8">
        <f>H572-D572</f>
        <v>-1</v>
      </c>
      <c r="M572" s="3">
        <v>15</v>
      </c>
      <c r="O572" s="3">
        <v>15</v>
      </c>
      <c r="Q572" s="3">
        <f>O572-H572</f>
        <v>-4</v>
      </c>
      <c r="R572" s="3">
        <v>40</v>
      </c>
      <c r="T572" s="3">
        <f>R572-O572</f>
        <v>25</v>
      </c>
      <c r="AE572" s="1" t="s">
        <v>285</v>
      </c>
      <c r="AW572" s="1" t="s">
        <v>285</v>
      </c>
    </row>
    <row r="573" spans="1:61">
      <c r="B573" s="103" t="s">
        <v>553</v>
      </c>
      <c r="C573" s="1" t="s">
        <v>287</v>
      </c>
      <c r="D573" s="2"/>
      <c r="E573" s="2"/>
      <c r="I573" s="8"/>
      <c r="Q573" s="3"/>
      <c r="T573" s="3"/>
      <c r="AM573" s="3">
        <v>14</v>
      </c>
      <c r="AP573" s="3">
        <v>28</v>
      </c>
      <c r="AS573" s="3">
        <v>28</v>
      </c>
      <c r="AW573" s="1" t="s">
        <v>285</v>
      </c>
    </row>
    <row r="574" spans="1:61">
      <c r="A574" s="6">
        <v>1</v>
      </c>
      <c r="B574" s="103" t="s">
        <v>508</v>
      </c>
      <c r="C574" s="1" t="s">
        <v>52</v>
      </c>
      <c r="D574" s="2"/>
      <c r="E574" s="2"/>
      <c r="F574" s="10">
        <v>0</v>
      </c>
      <c r="G574" s="10"/>
      <c r="H574" s="10">
        <v>0</v>
      </c>
      <c r="I574" s="10"/>
      <c r="J574" s="108"/>
    </row>
    <row r="575" spans="1:61">
      <c r="A575" s="6">
        <v>3</v>
      </c>
      <c r="B575" s="103" t="s">
        <v>508</v>
      </c>
      <c r="C575" s="1" t="s">
        <v>54</v>
      </c>
      <c r="D575" s="2"/>
      <c r="E575" s="2"/>
      <c r="F575" s="10">
        <v>0</v>
      </c>
      <c r="G575" s="10"/>
      <c r="H575" s="10">
        <v>0</v>
      </c>
      <c r="I575" s="10"/>
      <c r="J575" s="108"/>
    </row>
    <row r="576" spans="1:61">
      <c r="A576" s="6">
        <v>4</v>
      </c>
      <c r="B576" s="103" t="s">
        <v>508</v>
      </c>
      <c r="C576" s="1" t="s">
        <v>55</v>
      </c>
      <c r="D576" s="2"/>
      <c r="E576" s="2"/>
      <c r="F576" s="10">
        <v>0</v>
      </c>
      <c r="G576" s="10"/>
      <c r="H576" s="10">
        <v>0</v>
      </c>
      <c r="I576" s="10"/>
      <c r="J576" s="108"/>
    </row>
    <row r="577" spans="1:61">
      <c r="A577" s="6">
        <v>5</v>
      </c>
      <c r="B577" s="103" t="s">
        <v>508</v>
      </c>
      <c r="C577" s="1" t="s">
        <v>56</v>
      </c>
      <c r="D577" s="2"/>
      <c r="E577" s="2"/>
      <c r="F577" s="10">
        <v>0</v>
      </c>
      <c r="G577" s="10"/>
      <c r="H577" s="10">
        <v>0</v>
      </c>
      <c r="I577" s="10"/>
      <c r="J577" s="108"/>
    </row>
    <row r="578" spans="1:61">
      <c r="A578" s="6">
        <v>2</v>
      </c>
      <c r="B578" s="103" t="s">
        <v>508</v>
      </c>
      <c r="C578" s="1" t="s">
        <v>53</v>
      </c>
      <c r="D578" s="2"/>
      <c r="E578" s="2"/>
      <c r="F578" s="10">
        <v>0</v>
      </c>
      <c r="G578" s="10"/>
      <c r="H578" s="10">
        <v>0</v>
      </c>
      <c r="I578" s="10"/>
      <c r="J578" s="108"/>
    </row>
    <row r="579" spans="1:61">
      <c r="A579" s="6">
        <v>12</v>
      </c>
      <c r="B579" s="103" t="s">
        <v>508</v>
      </c>
      <c r="C579" s="1" t="s">
        <v>594</v>
      </c>
      <c r="D579" s="2"/>
      <c r="E579" s="2"/>
      <c r="F579" s="10">
        <v>0</v>
      </c>
      <c r="G579" s="10"/>
      <c r="H579" s="10">
        <v>0</v>
      </c>
      <c r="I579" s="10"/>
      <c r="J579" s="108"/>
      <c r="M579" s="3">
        <v>12</v>
      </c>
      <c r="O579" s="3">
        <v>12</v>
      </c>
      <c r="R579" s="3">
        <v>19.55</v>
      </c>
      <c r="T579" s="3">
        <f>R579-O579</f>
        <v>7.5500000000000007</v>
      </c>
      <c r="U579" s="3">
        <v>7.8</v>
      </c>
      <c r="W579" s="3">
        <f>U579-R579</f>
        <v>-11.75</v>
      </c>
      <c r="X579" s="3">
        <v>17.899999999999999</v>
      </c>
      <c r="Z579" s="3">
        <f>X579-U579</f>
        <v>10.099999999999998</v>
      </c>
      <c r="AA579" s="3">
        <v>25.6</v>
      </c>
      <c r="AC579" s="3">
        <f>AA579-X579</f>
        <v>7.7000000000000028</v>
      </c>
      <c r="AD579" s="24">
        <v>44.37</v>
      </c>
      <c r="AG579" s="3">
        <v>44.37</v>
      </c>
      <c r="AI579" s="3">
        <f>AG579-AD579</f>
        <v>0</v>
      </c>
      <c r="AJ579" s="3">
        <v>55.91</v>
      </c>
      <c r="AL579" s="3">
        <f>AJ579-AG579</f>
        <v>11.54</v>
      </c>
      <c r="AM579" s="3">
        <v>48.48</v>
      </c>
      <c r="AO579" s="3">
        <f>AM579-AJ579</f>
        <v>-7.43</v>
      </c>
    </row>
    <row r="580" spans="1:61">
      <c r="A580" s="6">
        <v>14</v>
      </c>
      <c r="B580" s="103" t="s">
        <v>508</v>
      </c>
      <c r="C580" s="1" t="s">
        <v>58</v>
      </c>
      <c r="D580" s="2"/>
      <c r="E580" s="2"/>
      <c r="F580" s="10">
        <v>0</v>
      </c>
      <c r="G580" s="10"/>
      <c r="H580" s="10">
        <v>0</v>
      </c>
      <c r="I580" s="10"/>
      <c r="J580" s="108"/>
      <c r="M580" s="3">
        <v>21</v>
      </c>
      <c r="O580" s="3">
        <v>21</v>
      </c>
      <c r="R580" s="3">
        <v>37.049999999999997</v>
      </c>
      <c r="T580" s="3">
        <f>R580-O580</f>
        <v>16.049999999999997</v>
      </c>
      <c r="X580" s="3">
        <v>33.9</v>
      </c>
      <c r="AA580" s="3">
        <v>28</v>
      </c>
      <c r="AC580" s="3">
        <f>AA580-X580</f>
        <v>-5.8999999999999986</v>
      </c>
      <c r="AD580" s="24">
        <v>59.91</v>
      </c>
      <c r="AG580" s="3">
        <v>46.79</v>
      </c>
      <c r="AI580" s="3">
        <f>AG580-AD580</f>
        <v>-13.119999999999997</v>
      </c>
      <c r="AJ580" s="3">
        <v>33.81</v>
      </c>
      <c r="AL580" s="3">
        <f>AJ580-AG580</f>
        <v>-12.979999999999997</v>
      </c>
      <c r="AM580" s="3">
        <v>25.867999999999999</v>
      </c>
      <c r="AO580" s="3">
        <f>AM580-AJ580</f>
        <v>-7.9420000000000037</v>
      </c>
      <c r="AP580" s="3">
        <v>50</v>
      </c>
      <c r="AS580" s="3">
        <v>15.4</v>
      </c>
      <c r="AV580" s="3">
        <v>18.399999999999999</v>
      </c>
      <c r="AZ580" s="3">
        <v>5.27</v>
      </c>
      <c r="BA580" s="1" t="s">
        <v>852</v>
      </c>
      <c r="BD580" s="3">
        <v>9.02</v>
      </c>
      <c r="BE580" s="1" t="s">
        <v>852</v>
      </c>
    </row>
    <row r="581" spans="1:61">
      <c r="B581" s="103" t="s">
        <v>508</v>
      </c>
      <c r="C581" s="1" t="s">
        <v>961</v>
      </c>
      <c r="D581" s="2"/>
      <c r="E581" s="2"/>
      <c r="F581" s="10"/>
      <c r="G581" s="10"/>
      <c r="H581" s="10"/>
      <c r="I581" s="10"/>
      <c r="J581" s="108"/>
      <c r="T581" s="3"/>
      <c r="BH581" s="3">
        <v>29.69</v>
      </c>
      <c r="BI581" s="1" t="s">
        <v>852</v>
      </c>
    </row>
    <row r="582" spans="1:61">
      <c r="B582" s="103" t="s">
        <v>508</v>
      </c>
      <c r="C582" s="1" t="s">
        <v>857</v>
      </c>
      <c r="D582" s="2"/>
      <c r="E582" s="2"/>
      <c r="F582" s="10"/>
      <c r="G582" s="10"/>
      <c r="H582" s="10"/>
      <c r="I582" s="10"/>
      <c r="J582" s="108"/>
      <c r="T582" s="3"/>
      <c r="AZ582" s="3">
        <v>14.17</v>
      </c>
      <c r="BA582" s="1" t="s">
        <v>852</v>
      </c>
      <c r="BD582" s="3">
        <v>9.6999999999999993</v>
      </c>
      <c r="BE582" s="1" t="s">
        <v>852</v>
      </c>
      <c r="BH582" s="3">
        <v>29.69</v>
      </c>
      <c r="BI582" s="1" t="s">
        <v>852</v>
      </c>
    </row>
    <row r="583" spans="1:61" ht="9" customHeight="1">
      <c r="B583" s="103" t="s">
        <v>508</v>
      </c>
      <c r="C583" s="1" t="s">
        <v>289</v>
      </c>
      <c r="D583" s="2"/>
      <c r="E583" s="2"/>
      <c r="F583" s="10"/>
      <c r="G583" s="10"/>
      <c r="H583" s="10"/>
      <c r="I583" s="10"/>
      <c r="J583" s="108"/>
      <c r="T583" s="3"/>
      <c r="AZ583" s="3">
        <v>63.51</v>
      </c>
      <c r="BA583" s="1" t="s">
        <v>852</v>
      </c>
      <c r="BH583" s="3">
        <v>139.62</v>
      </c>
      <c r="BI583" s="1" t="s">
        <v>852</v>
      </c>
    </row>
    <row r="584" spans="1:61">
      <c r="B584" s="103" t="s">
        <v>508</v>
      </c>
      <c r="C584" s="1" t="s">
        <v>290</v>
      </c>
      <c r="D584" s="2"/>
      <c r="E584" s="2"/>
      <c r="F584" s="10"/>
      <c r="G584" s="10"/>
      <c r="H584" s="10"/>
      <c r="I584" s="10"/>
      <c r="J584" s="108"/>
      <c r="T584" s="3"/>
      <c r="BD584" s="3">
        <v>11.15</v>
      </c>
      <c r="BE584" s="1" t="s">
        <v>852</v>
      </c>
    </row>
    <row r="585" spans="1:61">
      <c r="B585" s="103" t="s">
        <v>508</v>
      </c>
      <c r="C585" s="1" t="s">
        <v>64</v>
      </c>
      <c r="D585" s="2"/>
      <c r="E585" s="2"/>
      <c r="F585" s="10"/>
      <c r="G585" s="10"/>
      <c r="H585" s="10"/>
      <c r="I585" s="10"/>
      <c r="J585" s="108"/>
      <c r="M585" s="3">
        <v>26</v>
      </c>
      <c r="O585" s="3">
        <v>26</v>
      </c>
      <c r="R585" s="3">
        <v>60.55</v>
      </c>
      <c r="T585" s="3">
        <f>R585-O585</f>
        <v>34.549999999999997</v>
      </c>
      <c r="X585" s="3">
        <v>55.5</v>
      </c>
      <c r="AA585" s="3">
        <v>38.4</v>
      </c>
      <c r="AC585" s="3">
        <f>AA585-X585</f>
        <v>-17.100000000000001</v>
      </c>
      <c r="AD585" s="24">
        <v>53.98</v>
      </c>
      <c r="AG585" s="3">
        <v>59.91</v>
      </c>
      <c r="AI585" s="3">
        <f>AG585-AD585</f>
        <v>5.93</v>
      </c>
      <c r="AJ585" s="3">
        <v>31.93</v>
      </c>
      <c r="AL585" s="3">
        <f>AJ585-AG585</f>
        <v>-27.979999999999997</v>
      </c>
      <c r="AM585" s="3">
        <v>32.869999999999997</v>
      </c>
      <c r="AO585" s="3">
        <f>AM585-AJ585</f>
        <v>0.93999999999999773</v>
      </c>
      <c r="AP585" s="3">
        <v>110</v>
      </c>
      <c r="AS585" s="3">
        <v>20.9</v>
      </c>
      <c r="AV585" s="3">
        <v>22.5</v>
      </c>
      <c r="AZ585" s="3">
        <v>8.7200000000000006</v>
      </c>
      <c r="BA585" s="1" t="s">
        <v>852</v>
      </c>
      <c r="BD585" s="3">
        <v>9.51</v>
      </c>
      <c r="BE585" s="1" t="s">
        <v>852</v>
      </c>
      <c r="BH585" s="3">
        <v>13.05</v>
      </c>
      <c r="BI585" s="1" t="s">
        <v>852</v>
      </c>
    </row>
    <row r="586" spans="1:61" ht="9.6" customHeight="1">
      <c r="B586" s="103" t="s">
        <v>508</v>
      </c>
      <c r="C586" s="1" t="s">
        <v>286</v>
      </c>
      <c r="D586" s="2"/>
      <c r="E586" s="2"/>
      <c r="F586" s="10"/>
      <c r="G586" s="10"/>
      <c r="H586" s="10"/>
      <c r="I586" s="10"/>
      <c r="J586" s="108"/>
      <c r="M586" s="3">
        <v>33</v>
      </c>
      <c r="O586" s="3">
        <v>33</v>
      </c>
      <c r="R586" s="3">
        <v>90.9</v>
      </c>
      <c r="T586" s="3">
        <f>R586-O586</f>
        <v>57.900000000000006</v>
      </c>
      <c r="X586" s="3">
        <v>83.24</v>
      </c>
      <c r="AA586" s="3">
        <v>52.8</v>
      </c>
      <c r="AC586" s="3">
        <f>AA586-X586</f>
        <v>-30.439999999999998</v>
      </c>
      <c r="AD586" s="24">
        <v>81.02</v>
      </c>
      <c r="AG586" s="3">
        <v>81.02</v>
      </c>
      <c r="AI586" s="3">
        <f>AG586-AD586</f>
        <v>0</v>
      </c>
      <c r="AJ586" s="3">
        <v>33.700000000000003</v>
      </c>
      <c r="AL586" s="3">
        <f>AJ586-AG586</f>
        <v>-47.319999999999993</v>
      </c>
      <c r="AM586" s="3">
        <v>37.771000000000001</v>
      </c>
      <c r="AO586" s="3">
        <f>AM586-AJ586</f>
        <v>4.070999999999998</v>
      </c>
      <c r="AP586" s="3">
        <v>33.700000000000003</v>
      </c>
    </row>
    <row r="587" spans="1:61">
      <c r="B587" s="103" t="s">
        <v>508</v>
      </c>
      <c r="C587" s="1" t="s">
        <v>288</v>
      </c>
      <c r="D587" s="2"/>
      <c r="E587" s="2"/>
      <c r="F587" s="10"/>
      <c r="G587" s="10"/>
      <c r="H587" s="10"/>
      <c r="I587" s="10"/>
      <c r="J587" s="108"/>
      <c r="M587" s="3">
        <v>34</v>
      </c>
      <c r="O587" s="3">
        <v>34</v>
      </c>
      <c r="R587" s="3">
        <v>61</v>
      </c>
      <c r="T587" s="3">
        <f>R587-O587</f>
        <v>27</v>
      </c>
      <c r="X587" s="3">
        <v>55.87</v>
      </c>
      <c r="AA587" s="3">
        <v>41.2</v>
      </c>
      <c r="AC587" s="3">
        <f>AA587-X587</f>
        <v>-14.669999999999995</v>
      </c>
      <c r="AD587" s="24">
        <v>56.43</v>
      </c>
      <c r="AG587" s="3">
        <v>56.43</v>
      </c>
      <c r="AI587" s="3">
        <f>AG587-AD587</f>
        <v>0</v>
      </c>
      <c r="AJ587" s="3">
        <v>32.96</v>
      </c>
      <c r="AL587" s="3">
        <f>AJ587-AG587</f>
        <v>-23.47</v>
      </c>
      <c r="AM587" s="3">
        <v>26.532</v>
      </c>
      <c r="AO587" s="3">
        <f>AM587-AJ587</f>
        <v>-6.4280000000000008</v>
      </c>
      <c r="AP587" s="3">
        <v>255</v>
      </c>
      <c r="AS587" s="3">
        <v>20.2</v>
      </c>
      <c r="AV587" s="3">
        <v>23.5</v>
      </c>
      <c r="AZ587" s="3">
        <v>5.86</v>
      </c>
      <c r="BA587" s="1" t="s">
        <v>852</v>
      </c>
      <c r="BD587" s="3">
        <v>11.61</v>
      </c>
      <c r="BE587" s="1" t="s">
        <v>852</v>
      </c>
      <c r="BH587" s="3">
        <v>11.28</v>
      </c>
      <c r="BI587" s="1" t="s">
        <v>852</v>
      </c>
    </row>
    <row r="588" spans="1:61">
      <c r="A588" s="6">
        <v>11</v>
      </c>
      <c r="B588" s="103" t="s">
        <v>508</v>
      </c>
      <c r="C588" s="1" t="s">
        <v>57</v>
      </c>
      <c r="D588" s="2"/>
      <c r="E588" s="2"/>
      <c r="F588" s="10">
        <v>0</v>
      </c>
      <c r="G588" s="10"/>
      <c r="H588" s="10">
        <v>0</v>
      </c>
      <c r="I588" s="10"/>
      <c r="J588" s="108"/>
    </row>
    <row r="589" spans="1:61" ht="9.6" customHeight="1">
      <c r="B589" s="103" t="s">
        <v>508</v>
      </c>
      <c r="C589" s="1" t="s">
        <v>287</v>
      </c>
      <c r="D589" s="2"/>
      <c r="E589" s="2"/>
      <c r="F589" s="10"/>
      <c r="G589" s="10"/>
      <c r="H589" s="10"/>
      <c r="I589" s="10"/>
      <c r="J589" s="108"/>
      <c r="R589" s="3">
        <v>63.85</v>
      </c>
      <c r="T589" s="3"/>
      <c r="AA589" s="3">
        <v>30.8</v>
      </c>
    </row>
    <row r="590" spans="1:61">
      <c r="A590" s="6">
        <v>1</v>
      </c>
      <c r="B590" s="103" t="s">
        <v>756</v>
      </c>
      <c r="C590" s="1" t="s">
        <v>52</v>
      </c>
      <c r="D590" s="2">
        <v>2.2000000000000002</v>
      </c>
      <c r="E590" s="2"/>
      <c r="F590" s="8">
        <v>0</v>
      </c>
      <c r="G590" s="8"/>
      <c r="H590" s="8">
        <v>0</v>
      </c>
      <c r="I590" s="8"/>
      <c r="K590" s="3"/>
      <c r="P590" s="1" t="s">
        <v>177</v>
      </c>
      <c r="V590" s="1" t="s">
        <v>177</v>
      </c>
      <c r="AE590" s="1" t="s">
        <v>285</v>
      </c>
    </row>
    <row r="591" spans="1:61">
      <c r="A591" s="6">
        <v>3</v>
      </c>
      <c r="B591" s="103" t="s">
        <v>756</v>
      </c>
      <c r="C591" s="1" t="s">
        <v>54</v>
      </c>
      <c r="D591" s="2"/>
      <c r="E591" s="2"/>
      <c r="F591" s="8">
        <v>0</v>
      </c>
      <c r="G591" s="8"/>
      <c r="H591" s="8">
        <v>0</v>
      </c>
      <c r="I591" s="8"/>
      <c r="P591" s="1" t="s">
        <v>177</v>
      </c>
      <c r="V591" s="1" t="s">
        <v>177</v>
      </c>
      <c r="AE591" s="1" t="s">
        <v>285</v>
      </c>
    </row>
    <row r="592" spans="1:61">
      <c r="A592" s="6">
        <v>4</v>
      </c>
      <c r="B592" s="103" t="s">
        <v>756</v>
      </c>
      <c r="C592" s="1" t="s">
        <v>55</v>
      </c>
      <c r="D592" s="2"/>
      <c r="E592" s="2"/>
      <c r="F592" s="8">
        <v>0</v>
      </c>
      <c r="G592" s="8"/>
      <c r="H592" s="8">
        <v>0</v>
      </c>
      <c r="I592" s="8"/>
      <c r="P592" s="1" t="s">
        <v>177</v>
      </c>
      <c r="V592" s="1" t="s">
        <v>177</v>
      </c>
      <c r="AE592" s="1" t="s">
        <v>285</v>
      </c>
    </row>
    <row r="593" spans="1:61">
      <c r="A593" s="6">
        <v>5</v>
      </c>
      <c r="B593" s="103" t="s">
        <v>756</v>
      </c>
      <c r="C593" s="1" t="s">
        <v>56</v>
      </c>
      <c r="D593" s="2"/>
      <c r="E593" s="2"/>
      <c r="F593" s="8">
        <v>0</v>
      </c>
      <c r="G593" s="8"/>
      <c r="H593" s="8">
        <v>0</v>
      </c>
      <c r="I593" s="8"/>
      <c r="P593" s="1" t="s">
        <v>177</v>
      </c>
      <c r="V593" s="1" t="s">
        <v>177</v>
      </c>
      <c r="AE593" s="1" t="s">
        <v>285</v>
      </c>
    </row>
    <row r="594" spans="1:61">
      <c r="A594" s="6">
        <v>2</v>
      </c>
      <c r="B594" s="103" t="s">
        <v>756</v>
      </c>
      <c r="C594" s="1" t="s">
        <v>53</v>
      </c>
      <c r="D594" s="2">
        <v>6.08</v>
      </c>
      <c r="E594" s="2"/>
      <c r="F594" s="8">
        <v>5.33</v>
      </c>
      <c r="G594" s="8"/>
      <c r="H594" s="8">
        <v>5.33</v>
      </c>
      <c r="I594" s="10">
        <f>H594-D594</f>
        <v>-0.75</v>
      </c>
      <c r="K594" s="3"/>
      <c r="M594" s="3">
        <v>0.155</v>
      </c>
      <c r="O594" s="3">
        <v>0.155</v>
      </c>
      <c r="Q594" s="3">
        <f>O594-H594</f>
        <v>-5.1749999999999998</v>
      </c>
      <c r="R594" s="3">
        <v>3.31</v>
      </c>
      <c r="T594" s="3">
        <f>R594-O594</f>
        <v>3.1550000000000002</v>
      </c>
      <c r="U594" s="3">
        <v>19.55</v>
      </c>
      <c r="W594" s="3">
        <f>U594-R594</f>
        <v>16.240000000000002</v>
      </c>
      <c r="AE594" s="1" t="s">
        <v>285</v>
      </c>
    </row>
    <row r="595" spans="1:61">
      <c r="B595" s="103" t="s">
        <v>756</v>
      </c>
      <c r="C595" s="1" t="s">
        <v>597</v>
      </c>
      <c r="D595" s="2"/>
      <c r="E595" s="2"/>
      <c r="F595" s="8"/>
      <c r="G595" s="8"/>
      <c r="H595" s="8"/>
      <c r="K595" s="3"/>
      <c r="Q595" s="3"/>
      <c r="T595" s="3"/>
      <c r="W595" s="3"/>
      <c r="AC595" s="3"/>
      <c r="AG595" s="3">
        <v>10.02</v>
      </c>
      <c r="AJ595" s="3">
        <v>20</v>
      </c>
      <c r="AM595" s="3">
        <v>21</v>
      </c>
    </row>
    <row r="596" spans="1:61">
      <c r="B596" s="103" t="s">
        <v>756</v>
      </c>
      <c r="C596" s="1" t="s">
        <v>595</v>
      </c>
      <c r="D596" s="2"/>
      <c r="E596" s="2"/>
      <c r="F596" s="8"/>
      <c r="G596" s="8"/>
      <c r="H596" s="8"/>
      <c r="K596" s="3"/>
      <c r="Q596" s="3"/>
      <c r="T596" s="3"/>
      <c r="W596" s="3"/>
      <c r="X596" s="3">
        <v>4.49</v>
      </c>
      <c r="AA596" s="3">
        <v>5.68</v>
      </c>
      <c r="AC596" s="3">
        <f>AA596-X596</f>
        <v>1.1899999999999995</v>
      </c>
      <c r="AE596" s="1" t="s">
        <v>285</v>
      </c>
      <c r="AG596" s="3">
        <v>8.41</v>
      </c>
      <c r="AJ596" s="3">
        <v>11.44</v>
      </c>
      <c r="AL596" s="3">
        <f>AJ596-AG596</f>
        <v>3.0299999999999994</v>
      </c>
      <c r="AM596" s="3">
        <v>10.71</v>
      </c>
      <c r="AO596" s="3">
        <f>AM596-AJ596</f>
        <v>-0.72999999999999865</v>
      </c>
      <c r="AP596" s="3">
        <v>14.9</v>
      </c>
      <c r="AS596" s="3">
        <v>14.9</v>
      </c>
      <c r="AV596" s="3">
        <v>19.600000000000001</v>
      </c>
      <c r="AY596" s="3">
        <v>19.600000000000001</v>
      </c>
      <c r="AZ596" s="3">
        <v>15.31</v>
      </c>
      <c r="BA596" s="1" t="s">
        <v>852</v>
      </c>
      <c r="BC596" s="3">
        <v>15.31</v>
      </c>
      <c r="BD596" s="3">
        <v>4.5999999999999996</v>
      </c>
      <c r="BE596" s="1" t="s">
        <v>852</v>
      </c>
      <c r="BG596" s="3">
        <v>4.5999999999999996</v>
      </c>
      <c r="BH596" s="3">
        <v>6.89</v>
      </c>
      <c r="BI596" s="1" t="s">
        <v>852</v>
      </c>
    </row>
    <row r="597" spans="1:61">
      <c r="B597" s="103" t="s">
        <v>756</v>
      </c>
      <c r="C597" s="1" t="s">
        <v>700</v>
      </c>
      <c r="D597" s="2"/>
      <c r="E597" s="2"/>
      <c r="F597" s="8"/>
      <c r="G597" s="8"/>
      <c r="H597" s="8"/>
      <c r="K597" s="3"/>
      <c r="Q597" s="3"/>
      <c r="T597" s="3"/>
      <c r="W597" s="3"/>
      <c r="X597" s="3">
        <v>4.62</v>
      </c>
      <c r="AE597" s="1" t="s">
        <v>285</v>
      </c>
      <c r="BD597" s="3">
        <v>3.81</v>
      </c>
      <c r="BE597" s="1" t="s">
        <v>852</v>
      </c>
    </row>
    <row r="598" spans="1:61">
      <c r="A598" s="6">
        <v>12</v>
      </c>
      <c r="B598" s="103" t="s">
        <v>756</v>
      </c>
      <c r="C598" s="1" t="s">
        <v>594</v>
      </c>
      <c r="D598" s="2">
        <v>1.89</v>
      </c>
      <c r="E598" s="2"/>
      <c r="F598" s="8">
        <v>1.58</v>
      </c>
      <c r="G598" s="8"/>
      <c r="H598" s="8">
        <v>1.58</v>
      </c>
      <c r="I598" s="9">
        <f>H598-D598</f>
        <v>-0.30999999999999983</v>
      </c>
      <c r="K598" s="3"/>
      <c r="M598" s="3">
        <v>0.45800000000000002</v>
      </c>
      <c r="O598" s="3">
        <v>0.45800000000000002</v>
      </c>
      <c r="Q598" s="3">
        <f>O598-H598</f>
        <v>-1.1220000000000001</v>
      </c>
      <c r="R598" s="3">
        <v>0.81100000000000005</v>
      </c>
      <c r="T598" s="3">
        <f>R598-O598</f>
        <v>0.35300000000000004</v>
      </c>
      <c r="U598" s="3">
        <v>3.75</v>
      </c>
      <c r="W598" s="3">
        <f>U598-R598</f>
        <v>2.9390000000000001</v>
      </c>
      <c r="X598" s="3">
        <v>3.45</v>
      </c>
      <c r="Z598" s="3">
        <f>X598-U598</f>
        <v>-0.29999999999999982</v>
      </c>
      <c r="AA598" s="3">
        <v>5.03</v>
      </c>
      <c r="AC598" s="3">
        <f>AA598-X598</f>
        <v>1.58</v>
      </c>
      <c r="AE598" s="1" t="s">
        <v>285</v>
      </c>
      <c r="AG598" s="3">
        <v>8.7799999999999994</v>
      </c>
      <c r="AJ598" s="3">
        <v>6.97</v>
      </c>
      <c r="AL598" s="3">
        <f>AJ598-AG598</f>
        <v>-1.8099999999999996</v>
      </c>
      <c r="AM598" s="3">
        <v>7.52</v>
      </c>
      <c r="AO598" s="3">
        <f>AM598-AJ598</f>
        <v>0.54999999999999982</v>
      </c>
      <c r="AP598" s="3">
        <v>10.8</v>
      </c>
      <c r="AS598" s="3">
        <v>10.7</v>
      </c>
      <c r="AV598" s="3">
        <v>6.86</v>
      </c>
      <c r="AY598" s="3">
        <v>6.86</v>
      </c>
      <c r="AZ598" s="3">
        <v>4.67</v>
      </c>
      <c r="BA598" s="1" t="s">
        <v>852</v>
      </c>
      <c r="BC598" s="3">
        <v>4.67</v>
      </c>
      <c r="BD598" s="3">
        <v>3.09</v>
      </c>
      <c r="BE598" s="1" t="s">
        <v>852</v>
      </c>
      <c r="BG598" s="3">
        <v>3.09</v>
      </c>
      <c r="BH598" s="3">
        <v>6.63</v>
      </c>
      <c r="BI598" s="1" t="s">
        <v>852</v>
      </c>
    </row>
    <row r="599" spans="1:61">
      <c r="B599" s="103" t="s">
        <v>756</v>
      </c>
      <c r="C599" s="1" t="s">
        <v>405</v>
      </c>
      <c r="D599" s="2"/>
      <c r="E599" s="2"/>
      <c r="F599" s="8"/>
      <c r="G599" s="8"/>
      <c r="H599" s="8"/>
      <c r="K599" s="3"/>
      <c r="Q599" s="3"/>
      <c r="T599" s="3"/>
      <c r="W599" s="3"/>
      <c r="AC599" s="3"/>
      <c r="AJ599" s="3">
        <v>39.840000000000003</v>
      </c>
    </row>
    <row r="600" spans="1:61">
      <c r="B600" s="103" t="s">
        <v>756</v>
      </c>
      <c r="C600" s="1" t="s">
        <v>406</v>
      </c>
      <c r="D600" s="2"/>
      <c r="E600" s="2"/>
      <c r="F600" s="8"/>
      <c r="G600" s="8"/>
      <c r="H600" s="8"/>
      <c r="K600" s="3"/>
      <c r="Q600" s="3"/>
      <c r="T600" s="3"/>
      <c r="W600" s="3"/>
      <c r="AC600" s="3"/>
      <c r="AJ600" s="3">
        <v>39.840000000000003</v>
      </c>
    </row>
    <row r="601" spans="1:61">
      <c r="B601" s="103" t="s">
        <v>756</v>
      </c>
      <c r="C601" s="1" t="s">
        <v>372</v>
      </c>
      <c r="D601" s="2"/>
      <c r="E601" s="2"/>
      <c r="F601" s="8"/>
      <c r="G601" s="8"/>
      <c r="H601" s="8"/>
      <c r="K601" s="3"/>
      <c r="Q601" s="3"/>
      <c r="T601" s="3"/>
      <c r="W601" s="3"/>
      <c r="AC601" s="3"/>
      <c r="AL601" s="3"/>
      <c r="AO601" s="3"/>
      <c r="BH601" s="3">
        <v>15.33</v>
      </c>
      <c r="BI601" s="1" t="s">
        <v>852</v>
      </c>
    </row>
    <row r="602" spans="1:61">
      <c r="B602" s="103" t="s">
        <v>756</v>
      </c>
      <c r="C602" s="1" t="s">
        <v>851</v>
      </c>
      <c r="D602" s="2"/>
      <c r="E602" s="2"/>
      <c r="F602" s="8"/>
      <c r="G602" s="8"/>
      <c r="H602" s="8"/>
      <c r="K602" s="3"/>
      <c r="Q602" s="3"/>
      <c r="T602" s="3"/>
      <c r="W602" s="3"/>
      <c r="AC602" s="3"/>
      <c r="AY602" s="3">
        <v>9.75</v>
      </c>
      <c r="AZ602" s="3">
        <v>6.72</v>
      </c>
      <c r="BA602" s="1" t="s">
        <v>852</v>
      </c>
    </row>
    <row r="603" spans="1:61">
      <c r="A603" s="6">
        <v>14</v>
      </c>
      <c r="B603" s="103" t="s">
        <v>756</v>
      </c>
      <c r="C603" s="1" t="s">
        <v>58</v>
      </c>
      <c r="D603" s="2">
        <v>6.96</v>
      </c>
      <c r="E603" s="2"/>
      <c r="F603" s="8">
        <v>5.31</v>
      </c>
      <c r="G603" s="8"/>
      <c r="H603" s="8">
        <v>5.31</v>
      </c>
      <c r="I603" s="9">
        <f>H603-D603</f>
        <v>-1.6500000000000004</v>
      </c>
      <c r="K603" s="3"/>
      <c r="M603" s="3">
        <v>0.19800000000000001</v>
      </c>
      <c r="O603" s="3">
        <v>0.19800000000000001</v>
      </c>
      <c r="Q603" s="3">
        <f>O603-H603</f>
        <v>-5.1119999999999992</v>
      </c>
      <c r="R603" s="3">
        <v>1.5269999999999999</v>
      </c>
      <c r="T603" s="3">
        <f>R603-O603</f>
        <v>1.329</v>
      </c>
      <c r="U603" s="3">
        <v>10.25</v>
      </c>
      <c r="W603" s="3">
        <f>U603-R603</f>
        <v>8.7230000000000008</v>
      </c>
      <c r="X603" s="3">
        <v>5.77</v>
      </c>
      <c r="Z603" s="3">
        <f>X603-U603</f>
        <v>-4.4800000000000004</v>
      </c>
      <c r="AA603" s="3">
        <v>11.43</v>
      </c>
      <c r="AC603" s="3">
        <f>AA603-X603</f>
        <v>5.66</v>
      </c>
      <c r="AE603" s="1" t="s">
        <v>285</v>
      </c>
      <c r="AG603" s="3">
        <v>10.09</v>
      </c>
      <c r="AJ603" s="3">
        <v>7.02</v>
      </c>
      <c r="AL603" s="3">
        <f>AJ603-AG603</f>
        <v>-3.0700000000000003</v>
      </c>
      <c r="AM603" s="3">
        <v>4.9800000000000004</v>
      </c>
      <c r="AO603" s="3">
        <f>AM603-AJ603</f>
        <v>-2.0399999999999991</v>
      </c>
      <c r="AP603" s="3">
        <v>5.2</v>
      </c>
      <c r="AS603" s="3">
        <v>9.25</v>
      </c>
      <c r="AV603" s="3">
        <v>9.75</v>
      </c>
      <c r="BC603" s="3">
        <v>6.72</v>
      </c>
      <c r="BD603" s="3">
        <v>4.18</v>
      </c>
      <c r="BE603" s="1" t="s">
        <v>852</v>
      </c>
      <c r="BG603" s="3">
        <v>4.18</v>
      </c>
      <c r="BH603" s="3">
        <v>10.11</v>
      </c>
      <c r="BI603" s="1" t="s">
        <v>852</v>
      </c>
    </row>
    <row r="604" spans="1:61">
      <c r="B604" s="103" t="s">
        <v>756</v>
      </c>
      <c r="C604" s="1" t="s">
        <v>868</v>
      </c>
      <c r="D604" s="2"/>
      <c r="E604" s="2"/>
      <c r="F604" s="8"/>
      <c r="G604" s="8"/>
      <c r="H604" s="8"/>
      <c r="K604" s="3"/>
      <c r="Q604" s="3"/>
      <c r="T604" s="3"/>
      <c r="W604" s="3"/>
      <c r="AC604" s="3"/>
      <c r="AL604" s="3"/>
      <c r="AO604" s="3"/>
      <c r="BD604" s="3">
        <v>7.58</v>
      </c>
      <c r="BE604" s="1" t="s">
        <v>852</v>
      </c>
      <c r="BG604" s="3">
        <v>7.58</v>
      </c>
      <c r="BH604" s="3">
        <v>16.18</v>
      </c>
      <c r="BI604" s="1" t="s">
        <v>852</v>
      </c>
    </row>
    <row r="605" spans="1:61">
      <c r="B605" s="103" t="s">
        <v>756</v>
      </c>
      <c r="C605" s="1" t="s">
        <v>869</v>
      </c>
      <c r="D605" s="2"/>
      <c r="E605" s="2"/>
      <c r="F605" s="8"/>
      <c r="G605" s="8"/>
      <c r="H605" s="8"/>
      <c r="K605" s="3"/>
      <c r="Q605" s="3"/>
      <c r="T605" s="3"/>
      <c r="W605" s="3"/>
      <c r="AC605" s="3"/>
      <c r="AL605" s="3"/>
      <c r="AO605" s="3"/>
      <c r="BH605" s="3">
        <v>87.33</v>
      </c>
      <c r="BI605" s="1" t="s">
        <v>852</v>
      </c>
    </row>
    <row r="606" spans="1:61">
      <c r="B606" s="103" t="s">
        <v>756</v>
      </c>
      <c r="C606" s="1" t="s">
        <v>289</v>
      </c>
      <c r="D606" s="2"/>
      <c r="E606" s="2"/>
      <c r="F606" s="8"/>
      <c r="G606" s="8"/>
      <c r="H606" s="8"/>
      <c r="K606" s="3"/>
      <c r="Q606" s="3"/>
      <c r="T606" s="3"/>
      <c r="W606" s="3"/>
      <c r="AC606" s="3"/>
      <c r="AL606" s="3"/>
      <c r="AM606" s="3">
        <v>3.12</v>
      </c>
      <c r="AP606" s="3">
        <v>3.4</v>
      </c>
      <c r="BD606" s="3">
        <v>7.34</v>
      </c>
      <c r="BE606" s="1" t="s">
        <v>852</v>
      </c>
    </row>
    <row r="607" spans="1:61">
      <c r="B607" s="103" t="s">
        <v>756</v>
      </c>
      <c r="C607" s="1" t="s">
        <v>290</v>
      </c>
      <c r="D607" s="2"/>
      <c r="E607" s="2"/>
      <c r="F607" s="8"/>
      <c r="G607" s="8"/>
      <c r="H607" s="8"/>
      <c r="K607" s="3"/>
      <c r="Q607" s="3"/>
      <c r="T607" s="3"/>
      <c r="W607" s="3"/>
      <c r="AC607" s="3"/>
      <c r="AJ607" s="3">
        <v>26</v>
      </c>
      <c r="AP607" s="3">
        <v>6.9</v>
      </c>
      <c r="AV607" s="3">
        <v>8.23</v>
      </c>
    </row>
    <row r="608" spans="1:61">
      <c r="B608" s="103" t="s">
        <v>756</v>
      </c>
      <c r="C608" s="1" t="s">
        <v>860</v>
      </c>
      <c r="D608" s="2"/>
      <c r="E608" s="2"/>
      <c r="F608" s="8"/>
      <c r="G608" s="8"/>
      <c r="H608" s="8"/>
      <c r="K608" s="3"/>
      <c r="Q608" s="3"/>
      <c r="T608" s="3"/>
      <c r="W608" s="3"/>
      <c r="AC608" s="3"/>
      <c r="BH608" s="3">
        <v>102.25</v>
      </c>
      <c r="BI608" s="1" t="s">
        <v>852</v>
      </c>
    </row>
    <row r="609" spans="1:61">
      <c r="B609" s="103" t="s">
        <v>756</v>
      </c>
      <c r="C609" s="1" t="s">
        <v>64</v>
      </c>
      <c r="D609" s="2"/>
      <c r="E609" s="2"/>
      <c r="F609" s="8"/>
      <c r="G609" s="8"/>
      <c r="H609" s="8"/>
      <c r="K609" s="3"/>
      <c r="Q609" s="3"/>
      <c r="T609" s="3"/>
      <c r="W609" s="3"/>
      <c r="X609" s="3">
        <v>7.39</v>
      </c>
      <c r="AA609" s="3">
        <v>13.48</v>
      </c>
      <c r="AC609" s="3">
        <f>AA609-X609</f>
        <v>6.0900000000000007</v>
      </c>
      <c r="AE609" s="1" t="s">
        <v>285</v>
      </c>
      <c r="AG609" s="3">
        <v>10.38</v>
      </c>
      <c r="AJ609" s="3">
        <v>7.21</v>
      </c>
      <c r="AL609" s="3">
        <f>AJ609-AG609</f>
        <v>-3.1700000000000008</v>
      </c>
      <c r="AM609" s="3">
        <v>5.56</v>
      </c>
      <c r="AO609" s="3">
        <f>AM609-AJ609</f>
        <v>-1.6500000000000004</v>
      </c>
      <c r="AP609" s="3">
        <v>7.3</v>
      </c>
      <c r="AS609" s="3">
        <v>7.3</v>
      </c>
      <c r="AV609" s="3">
        <v>8.85</v>
      </c>
      <c r="AY609" s="3">
        <v>8.85</v>
      </c>
      <c r="AZ609" s="3">
        <v>5.5</v>
      </c>
      <c r="BA609" s="1" t="s">
        <v>852</v>
      </c>
      <c r="BC609" s="3">
        <v>5.5</v>
      </c>
      <c r="BD609" s="3">
        <v>4.62</v>
      </c>
      <c r="BE609" s="1" t="s">
        <v>852</v>
      </c>
      <c r="BG609" s="3">
        <v>4.62</v>
      </c>
      <c r="BH609" s="3">
        <v>12.74</v>
      </c>
      <c r="BI609" s="1" t="s">
        <v>852</v>
      </c>
    </row>
    <row r="610" spans="1:61">
      <c r="B610" s="103" t="s">
        <v>756</v>
      </c>
      <c r="C610" s="1" t="s">
        <v>286</v>
      </c>
      <c r="D610" s="2"/>
      <c r="E610" s="2"/>
      <c r="F610" s="8"/>
      <c r="G610" s="8"/>
      <c r="H610" s="8"/>
      <c r="K610" s="3"/>
      <c r="Q610" s="3"/>
      <c r="T610" s="3"/>
      <c r="W610" s="3"/>
      <c r="AA610" s="3">
        <v>11.99</v>
      </c>
      <c r="AE610" s="1" t="s">
        <v>285</v>
      </c>
      <c r="AM610" s="3">
        <v>6.11</v>
      </c>
      <c r="AP610" s="3">
        <v>4.5999999999999996</v>
      </c>
      <c r="AS610" s="3">
        <v>9.1999999999999993</v>
      </c>
      <c r="AV610" s="3">
        <v>9.6199999999999992</v>
      </c>
      <c r="AY610" s="3">
        <v>9.6199999999999992</v>
      </c>
      <c r="BD610" s="3">
        <v>4.0999999999999996</v>
      </c>
      <c r="BE610" s="1" t="s">
        <v>852</v>
      </c>
      <c r="BG610" s="3">
        <v>4.0999999999999996</v>
      </c>
      <c r="BH610" s="3">
        <v>8.8800000000000008</v>
      </c>
      <c r="BI610" s="1" t="s">
        <v>852</v>
      </c>
    </row>
    <row r="611" spans="1:61">
      <c r="B611" s="103" t="s">
        <v>756</v>
      </c>
      <c r="C611" s="1" t="s">
        <v>937</v>
      </c>
      <c r="D611" s="2"/>
      <c r="E611" s="2"/>
      <c r="F611" s="8"/>
      <c r="G611" s="8"/>
      <c r="H611" s="8"/>
      <c r="K611" s="3"/>
      <c r="Q611" s="3"/>
      <c r="T611" s="3"/>
      <c r="W611" s="3"/>
      <c r="AC611" s="3"/>
      <c r="AL611" s="3"/>
      <c r="AO611" s="3"/>
      <c r="BD611" s="3">
        <v>10.8</v>
      </c>
      <c r="BE611" s="1" t="s">
        <v>852</v>
      </c>
      <c r="BG611" s="3">
        <v>10.8</v>
      </c>
      <c r="BH611" s="3">
        <v>13.8</v>
      </c>
      <c r="BI611" s="1" t="s">
        <v>852</v>
      </c>
    </row>
    <row r="612" spans="1:61" ht="9.6" customHeight="1">
      <c r="B612" s="103" t="s">
        <v>756</v>
      </c>
      <c r="C612" s="1" t="s">
        <v>288</v>
      </c>
      <c r="D612" s="2"/>
      <c r="E612" s="2"/>
      <c r="F612" s="8"/>
      <c r="G612" s="8"/>
      <c r="H612" s="8"/>
      <c r="K612" s="3"/>
      <c r="Q612" s="3"/>
      <c r="T612" s="3"/>
      <c r="W612" s="3"/>
      <c r="X612" s="3">
        <v>7.03</v>
      </c>
      <c r="AA612" s="3">
        <v>15.44</v>
      </c>
      <c r="AC612" s="3">
        <f>AA612-X612</f>
        <v>8.41</v>
      </c>
      <c r="AE612" s="1" t="s">
        <v>285</v>
      </c>
      <c r="AG612" s="3">
        <v>12.65</v>
      </c>
      <c r="AJ612" s="3">
        <v>6.81</v>
      </c>
      <c r="AL612" s="3">
        <f>AJ612-AG612</f>
        <v>-5.8400000000000007</v>
      </c>
      <c r="AM612" s="3">
        <v>5.3</v>
      </c>
      <c r="AO612" s="3">
        <f>AM612-AJ612</f>
        <v>-1.5099999999999998</v>
      </c>
      <c r="AP612" s="3">
        <v>6</v>
      </c>
      <c r="AS612" s="3">
        <v>10.9</v>
      </c>
      <c r="AV612" s="3">
        <v>8.08</v>
      </c>
      <c r="AY612" s="3">
        <v>8.08</v>
      </c>
      <c r="AZ612" s="3">
        <v>5.32</v>
      </c>
      <c r="BA612" s="1" t="s">
        <v>852</v>
      </c>
      <c r="BC612" s="3">
        <v>5.32</v>
      </c>
      <c r="BD612" s="3">
        <v>4.93</v>
      </c>
      <c r="BE612" s="1" t="s">
        <v>852</v>
      </c>
      <c r="BG612" s="3">
        <v>4.93</v>
      </c>
      <c r="BH612" s="3">
        <v>9.0500000000000007</v>
      </c>
      <c r="BI612" s="1" t="s">
        <v>852</v>
      </c>
    </row>
    <row r="613" spans="1:61" ht="9.6" customHeight="1">
      <c r="B613" s="103" t="s">
        <v>756</v>
      </c>
      <c r="C613" s="1" t="s">
        <v>877</v>
      </c>
      <c r="D613" s="2"/>
      <c r="E613" s="2"/>
      <c r="F613" s="8"/>
      <c r="G613" s="8"/>
      <c r="H613" s="8"/>
      <c r="K613" s="3"/>
      <c r="Q613" s="3"/>
      <c r="T613" s="3"/>
      <c r="W613" s="3"/>
      <c r="AC613" s="3"/>
      <c r="AL613" s="3"/>
      <c r="AO613" s="3"/>
      <c r="BD613" s="3">
        <v>10.97</v>
      </c>
      <c r="BE613" s="1" t="s">
        <v>852</v>
      </c>
      <c r="BH613" s="3">
        <v>15.66</v>
      </c>
      <c r="BI613" s="1" t="s">
        <v>852</v>
      </c>
    </row>
    <row r="614" spans="1:61">
      <c r="B614" s="103" t="s">
        <v>756</v>
      </c>
      <c r="C614" s="1" t="s">
        <v>953</v>
      </c>
      <c r="D614" s="2"/>
      <c r="E614" s="2"/>
      <c r="F614" s="8"/>
      <c r="G614" s="8"/>
      <c r="H614" s="8"/>
      <c r="K614" s="3"/>
      <c r="Q614" s="3"/>
      <c r="T614" s="3"/>
      <c r="W614" s="3"/>
      <c r="AC614" s="3"/>
      <c r="AL614" s="3"/>
      <c r="AO614" s="3"/>
      <c r="BH614" s="3">
        <v>29.2</v>
      </c>
      <c r="BI614" s="1" t="s">
        <v>852</v>
      </c>
    </row>
    <row r="615" spans="1:61">
      <c r="B615" s="103" t="s">
        <v>756</v>
      </c>
      <c r="C615" s="1" t="s">
        <v>938</v>
      </c>
      <c r="D615" s="2"/>
      <c r="E615" s="2"/>
      <c r="F615" s="8"/>
      <c r="G615" s="8"/>
      <c r="H615" s="8"/>
      <c r="K615" s="3"/>
      <c r="Q615" s="3"/>
      <c r="T615" s="3"/>
      <c r="W615" s="3"/>
      <c r="AC615" s="3"/>
      <c r="AL615" s="3"/>
      <c r="AO615" s="3"/>
      <c r="BD615" s="3">
        <v>46.25</v>
      </c>
      <c r="BE615" s="1" t="s">
        <v>852</v>
      </c>
      <c r="BG615" s="3">
        <v>46.25</v>
      </c>
      <c r="BH615" s="3">
        <v>41.41</v>
      </c>
      <c r="BI615" s="1" t="s">
        <v>852</v>
      </c>
    </row>
    <row r="616" spans="1:61">
      <c r="A616" s="6">
        <v>11</v>
      </c>
      <c r="B616" s="103" t="s">
        <v>756</v>
      </c>
      <c r="C616" s="1" t="s">
        <v>57</v>
      </c>
      <c r="D616" s="2">
        <v>7.04</v>
      </c>
      <c r="E616" s="2"/>
      <c r="F616" s="8">
        <v>0</v>
      </c>
      <c r="G616" s="8"/>
      <c r="H616" s="8">
        <v>0</v>
      </c>
      <c r="I616" s="8"/>
      <c r="P616" s="1" t="s">
        <v>177</v>
      </c>
      <c r="V616" s="1" t="s">
        <v>177</v>
      </c>
      <c r="AE616" s="1" t="s">
        <v>285</v>
      </c>
    </row>
    <row r="617" spans="1:61">
      <c r="B617" s="103" t="s">
        <v>756</v>
      </c>
      <c r="C617" s="1" t="s">
        <v>287</v>
      </c>
      <c r="D617" s="2"/>
      <c r="E617" s="2"/>
      <c r="F617" s="8"/>
      <c r="G617" s="8"/>
      <c r="H617" s="8"/>
      <c r="K617" s="3"/>
      <c r="Q617" s="3"/>
      <c r="T617" s="3"/>
      <c r="W617" s="3"/>
      <c r="X617" s="3">
        <v>8.3000000000000007</v>
      </c>
      <c r="AA617" s="3">
        <v>18.420000000000002</v>
      </c>
      <c r="AC617" s="3">
        <f>AA617-X617</f>
        <v>10.120000000000001</v>
      </c>
      <c r="AE617" s="1" t="s">
        <v>285</v>
      </c>
      <c r="AG617" s="3">
        <v>9.26</v>
      </c>
      <c r="AJ617" s="3">
        <v>7.21</v>
      </c>
      <c r="AL617" s="3">
        <f>AJ617-AG617</f>
        <v>-2.0499999999999998</v>
      </c>
      <c r="AM617" s="3">
        <v>5.48</v>
      </c>
      <c r="AO617" s="3">
        <f>AM617-AJ617</f>
        <v>-1.7299999999999995</v>
      </c>
      <c r="AP617" s="3">
        <v>7.7</v>
      </c>
      <c r="AS617" s="3">
        <v>12.2</v>
      </c>
      <c r="AV617" s="3">
        <v>8.5399999999999991</v>
      </c>
      <c r="BC617" s="3">
        <v>7.37</v>
      </c>
      <c r="BD617" s="3">
        <v>4.66</v>
      </c>
      <c r="BE617" s="1" t="s">
        <v>852</v>
      </c>
      <c r="BG617" s="3">
        <v>4.66</v>
      </c>
      <c r="BH617" s="3">
        <v>13.23</v>
      </c>
      <c r="BI617" s="1" t="s">
        <v>852</v>
      </c>
    </row>
    <row r="618" spans="1:61">
      <c r="A618" s="6">
        <v>1</v>
      </c>
      <c r="B618" s="103" t="s">
        <v>503</v>
      </c>
      <c r="C618" s="1" t="s">
        <v>52</v>
      </c>
      <c r="D618" s="2"/>
      <c r="E618" s="2"/>
      <c r="F618" s="8">
        <v>15</v>
      </c>
      <c r="G618" s="8"/>
      <c r="H618" s="8">
        <v>15</v>
      </c>
      <c r="I618" s="8"/>
      <c r="K618" s="3"/>
      <c r="L618" s="1" t="s">
        <v>490</v>
      </c>
      <c r="M618" s="3">
        <v>15</v>
      </c>
      <c r="O618" s="3">
        <v>15</v>
      </c>
      <c r="Q618" s="3">
        <f>O618-H618</f>
        <v>0</v>
      </c>
      <c r="R618" s="3">
        <v>30</v>
      </c>
      <c r="T618" s="2">
        <f>R618-O618</f>
        <v>15</v>
      </c>
      <c r="U618" s="3">
        <v>16</v>
      </c>
      <c r="W618" s="3">
        <f>U618-R618</f>
        <v>-14</v>
      </c>
      <c r="BC618" s="2"/>
      <c r="BD618" s="2"/>
      <c r="BG618" s="2"/>
      <c r="BH618" s="2"/>
    </row>
    <row r="619" spans="1:61">
      <c r="A619" s="6">
        <v>3</v>
      </c>
      <c r="B619" s="103" t="s">
        <v>503</v>
      </c>
      <c r="C619" s="1" t="s">
        <v>54</v>
      </c>
      <c r="D619" s="2"/>
      <c r="E619" s="2"/>
      <c r="F619" s="8">
        <v>0</v>
      </c>
      <c r="G619" s="8"/>
      <c r="H619" s="8">
        <v>0</v>
      </c>
      <c r="I619" s="8"/>
      <c r="K619" s="3"/>
      <c r="BC619" s="2"/>
      <c r="BD619" s="2"/>
      <c r="BG619" s="2"/>
      <c r="BH619" s="2"/>
    </row>
    <row r="620" spans="1:61">
      <c r="A620" s="6">
        <v>4</v>
      </c>
      <c r="B620" s="103" t="s">
        <v>503</v>
      </c>
      <c r="C620" s="1" t="s">
        <v>55</v>
      </c>
      <c r="D620" s="2"/>
      <c r="E620" s="2"/>
      <c r="F620" s="8">
        <v>0</v>
      </c>
      <c r="G620" s="8"/>
      <c r="H620" s="8">
        <v>0</v>
      </c>
      <c r="I620" s="8"/>
      <c r="K620" s="3"/>
      <c r="BC620" s="2"/>
      <c r="BD620" s="2"/>
      <c r="BG620" s="2"/>
      <c r="BH620" s="2"/>
    </row>
    <row r="621" spans="1:61">
      <c r="A621" s="6">
        <v>5</v>
      </c>
      <c r="B621" s="103" t="s">
        <v>503</v>
      </c>
      <c r="C621" s="1" t="s">
        <v>56</v>
      </c>
      <c r="D621" s="2"/>
      <c r="E621" s="2"/>
      <c r="F621" s="8">
        <v>0</v>
      </c>
      <c r="G621" s="8"/>
      <c r="H621" s="8">
        <v>0</v>
      </c>
      <c r="I621" s="8"/>
      <c r="K621" s="3"/>
      <c r="BC621" s="2"/>
      <c r="BD621" s="2"/>
      <c r="BG621" s="2"/>
      <c r="BH621" s="2"/>
    </row>
    <row r="622" spans="1:61">
      <c r="A622" s="6">
        <v>2</v>
      </c>
      <c r="B622" s="103" t="s">
        <v>503</v>
      </c>
      <c r="C622" s="1" t="s">
        <v>53</v>
      </c>
      <c r="D622" s="2"/>
      <c r="E622" s="2"/>
      <c r="F622" s="8">
        <v>11</v>
      </c>
      <c r="G622" s="8"/>
      <c r="H622" s="8">
        <v>11</v>
      </c>
      <c r="I622" s="8"/>
      <c r="K622" s="3"/>
      <c r="L622" s="1" t="s">
        <v>233</v>
      </c>
      <c r="M622" s="3">
        <v>11</v>
      </c>
      <c r="O622" s="3">
        <v>11</v>
      </c>
      <c r="Q622" s="3">
        <f>O622-H622</f>
        <v>0</v>
      </c>
      <c r="R622" s="3">
        <v>15</v>
      </c>
      <c r="T622" s="3">
        <f>R622-O622</f>
        <v>4</v>
      </c>
      <c r="U622" s="3">
        <v>12</v>
      </c>
      <c r="W622" s="3">
        <f>U622-R622</f>
        <v>-3</v>
      </c>
      <c r="BC622" s="2"/>
      <c r="BD622" s="2"/>
      <c r="BG622" s="2"/>
      <c r="BH622" s="2"/>
    </row>
    <row r="623" spans="1:61">
      <c r="A623" s="6">
        <v>12</v>
      </c>
      <c r="B623" s="103" t="s">
        <v>503</v>
      </c>
      <c r="C623" s="1" t="s">
        <v>594</v>
      </c>
      <c r="D623" s="2"/>
      <c r="E623" s="2"/>
      <c r="F623" s="8">
        <v>8</v>
      </c>
      <c r="G623" s="8"/>
      <c r="H623" s="8">
        <v>8</v>
      </c>
      <c r="I623" s="8"/>
      <c r="K623" s="3"/>
      <c r="M623" s="3">
        <v>8</v>
      </c>
      <c r="O623" s="3">
        <v>8</v>
      </c>
      <c r="Q623" s="3">
        <f>O623-H623</f>
        <v>0</v>
      </c>
      <c r="R623" s="3">
        <v>8</v>
      </c>
      <c r="T623" s="3">
        <f>R623-O623</f>
        <v>0</v>
      </c>
      <c r="U623" s="3">
        <v>10</v>
      </c>
      <c r="W623" s="3">
        <f>U623-R623</f>
        <v>2</v>
      </c>
      <c r="X623" s="3">
        <v>8.9499999999999993</v>
      </c>
      <c r="Z623" s="3">
        <f>X623-U623</f>
        <v>-1.0500000000000007</v>
      </c>
      <c r="AD623" s="24">
        <v>10</v>
      </c>
      <c r="AG623" s="3">
        <v>10</v>
      </c>
      <c r="AI623" s="3">
        <f>AG623-AD623</f>
        <v>0</v>
      </c>
      <c r="AJ623" s="3">
        <v>10</v>
      </c>
      <c r="AL623" s="3">
        <f>AJ623-AG623</f>
        <v>0</v>
      </c>
      <c r="AM623" s="3">
        <v>10</v>
      </c>
      <c r="AO623" s="3">
        <f>AM623-AJ623</f>
        <v>0</v>
      </c>
      <c r="AP623" s="3">
        <v>9</v>
      </c>
      <c r="AS623" s="3">
        <v>14</v>
      </c>
      <c r="AV623" s="3">
        <v>16</v>
      </c>
      <c r="AY623" s="2" t="s">
        <v>928</v>
      </c>
      <c r="AZ623" s="2" t="s">
        <v>929</v>
      </c>
      <c r="BC623" s="2" t="s">
        <v>928</v>
      </c>
      <c r="BD623" s="2" t="s">
        <v>929</v>
      </c>
      <c r="BG623" s="2" t="s">
        <v>928</v>
      </c>
      <c r="BH623" s="2" t="s">
        <v>929</v>
      </c>
    </row>
    <row r="624" spans="1:61">
      <c r="A624" s="6">
        <v>14</v>
      </c>
      <c r="B624" s="103" t="s">
        <v>503</v>
      </c>
      <c r="C624" s="1" t="s">
        <v>58</v>
      </c>
      <c r="D624" s="2"/>
      <c r="E624" s="2"/>
      <c r="F624" s="8">
        <v>22</v>
      </c>
      <c r="G624" s="8"/>
      <c r="H624" s="8">
        <v>22</v>
      </c>
      <c r="I624" s="8"/>
      <c r="K624" s="3"/>
      <c r="L624" s="1" t="s">
        <v>174</v>
      </c>
      <c r="M624" s="3">
        <v>22</v>
      </c>
      <c r="O624" s="3">
        <v>22</v>
      </c>
      <c r="Q624" s="3">
        <f>O624-H624</f>
        <v>0</v>
      </c>
      <c r="R624" s="3">
        <v>20</v>
      </c>
      <c r="T624" s="3">
        <f>R624-O624</f>
        <v>-2</v>
      </c>
      <c r="X624" s="3">
        <v>9.4</v>
      </c>
      <c r="AS624" s="3">
        <v>60</v>
      </c>
      <c r="AY624" s="2" t="s">
        <v>928</v>
      </c>
      <c r="AZ624" s="2" t="s">
        <v>928</v>
      </c>
      <c r="BC624" s="2" t="s">
        <v>928</v>
      </c>
      <c r="BD624" s="2" t="s">
        <v>928</v>
      </c>
      <c r="BG624" s="2" t="s">
        <v>928</v>
      </c>
      <c r="BH624" s="2" t="s">
        <v>928</v>
      </c>
    </row>
    <row r="625" spans="1:60">
      <c r="B625" s="103" t="s">
        <v>503</v>
      </c>
      <c r="C625" s="1" t="s">
        <v>289</v>
      </c>
      <c r="D625" s="2"/>
      <c r="E625" s="2"/>
      <c r="F625" s="8"/>
      <c r="G625" s="8"/>
      <c r="H625" s="8"/>
      <c r="I625" s="8"/>
      <c r="K625" s="3"/>
      <c r="Q625" s="3"/>
      <c r="R625" s="3">
        <v>42</v>
      </c>
      <c r="T625" s="3"/>
      <c r="X625" s="3">
        <v>11.26</v>
      </c>
      <c r="AA625" s="3">
        <v>11.26</v>
      </c>
      <c r="AC625" s="3">
        <f>AA625-X625</f>
        <v>0</v>
      </c>
      <c r="AD625" s="24">
        <v>60</v>
      </c>
      <c r="AJ625" s="3">
        <v>60</v>
      </c>
      <c r="AM625" s="3">
        <v>60</v>
      </c>
      <c r="AO625" s="3">
        <f>AM625-AJ625</f>
        <v>0</v>
      </c>
      <c r="AP625" s="3">
        <v>58</v>
      </c>
      <c r="AS625" s="3">
        <v>60</v>
      </c>
      <c r="AV625" s="3">
        <v>50</v>
      </c>
      <c r="AY625" s="2" t="s">
        <v>931</v>
      </c>
      <c r="AZ625" s="2" t="s">
        <v>931</v>
      </c>
      <c r="BC625" s="2" t="s">
        <v>931</v>
      </c>
      <c r="BD625" s="2" t="s">
        <v>931</v>
      </c>
      <c r="BG625" s="2" t="s">
        <v>931</v>
      </c>
      <c r="BH625" s="2" t="s">
        <v>931</v>
      </c>
    </row>
    <row r="626" spans="1:60">
      <c r="B626" s="103" t="s">
        <v>503</v>
      </c>
      <c r="C626" s="1" t="s">
        <v>64</v>
      </c>
      <c r="D626" s="2"/>
      <c r="E626" s="2"/>
      <c r="F626" s="8"/>
      <c r="G626" s="8"/>
      <c r="H626" s="8"/>
      <c r="I626" s="8"/>
      <c r="K626" s="3"/>
      <c r="Q626" s="3"/>
      <c r="R626" s="3">
        <v>42</v>
      </c>
      <c r="T626" s="3"/>
      <c r="X626" s="3">
        <v>15.3</v>
      </c>
      <c r="AA626" s="3">
        <v>15.3</v>
      </c>
      <c r="AC626" s="3">
        <f>AA626-X626</f>
        <v>0</v>
      </c>
      <c r="AS626" s="3">
        <v>60</v>
      </c>
      <c r="AY626" s="2" t="s">
        <v>928</v>
      </c>
      <c r="AZ626" s="2" t="s">
        <v>928</v>
      </c>
      <c r="BC626" s="2" t="s">
        <v>928</v>
      </c>
      <c r="BD626" s="2" t="s">
        <v>928</v>
      </c>
      <c r="BG626" s="2" t="s">
        <v>928</v>
      </c>
      <c r="BH626" s="2" t="s">
        <v>928</v>
      </c>
    </row>
    <row r="627" spans="1:60">
      <c r="B627" s="103" t="s">
        <v>503</v>
      </c>
      <c r="C627" s="1" t="s">
        <v>855</v>
      </c>
      <c r="D627" s="2"/>
      <c r="E627" s="2"/>
      <c r="F627" s="8"/>
      <c r="G627" s="8"/>
      <c r="H627" s="8"/>
      <c r="I627" s="8"/>
      <c r="K627" s="3"/>
      <c r="Q627" s="3"/>
      <c r="T627" s="3"/>
      <c r="AC627" s="3"/>
      <c r="AY627" s="2" t="s">
        <v>928</v>
      </c>
      <c r="AZ627" s="2" t="s">
        <v>928</v>
      </c>
      <c r="BC627" s="2" t="s">
        <v>928</v>
      </c>
      <c r="BD627" s="2" t="s">
        <v>928</v>
      </c>
      <c r="BG627" s="2" t="s">
        <v>928</v>
      </c>
      <c r="BH627" s="2" t="s">
        <v>928</v>
      </c>
    </row>
    <row r="628" spans="1:60">
      <c r="B628" s="103" t="s">
        <v>503</v>
      </c>
      <c r="C628" s="1" t="s">
        <v>286</v>
      </c>
      <c r="D628" s="2"/>
      <c r="E628" s="2"/>
      <c r="F628" s="8"/>
      <c r="G628" s="8"/>
      <c r="H628" s="8"/>
      <c r="I628" s="8"/>
      <c r="K628" s="3"/>
      <c r="Q628" s="3"/>
      <c r="T628" s="3"/>
      <c r="X628" s="3">
        <v>23.15</v>
      </c>
      <c r="AA628" s="3">
        <v>23.15</v>
      </c>
      <c r="AC628" s="3">
        <f>AA628-X628</f>
        <v>0</v>
      </c>
      <c r="AS628" s="3">
        <v>60</v>
      </c>
      <c r="AY628" s="2" t="s">
        <v>928</v>
      </c>
      <c r="AZ628" s="2" t="s">
        <v>928</v>
      </c>
      <c r="BC628" s="2" t="s">
        <v>928</v>
      </c>
      <c r="BD628" s="2" t="s">
        <v>928</v>
      </c>
      <c r="BG628" s="2" t="s">
        <v>928</v>
      </c>
      <c r="BH628" s="2" t="s">
        <v>928</v>
      </c>
    </row>
    <row r="629" spans="1:60">
      <c r="B629" s="103" t="s">
        <v>503</v>
      </c>
      <c r="C629" s="1" t="s">
        <v>288</v>
      </c>
      <c r="D629" s="2"/>
      <c r="E629" s="2"/>
      <c r="F629" s="8"/>
      <c r="G629" s="8"/>
      <c r="H629" s="8"/>
      <c r="I629" s="8"/>
      <c r="K629" s="3"/>
      <c r="Q629" s="3"/>
      <c r="T629" s="3"/>
      <c r="X629" s="3">
        <v>24.7</v>
      </c>
      <c r="AA629" s="3">
        <v>24.7</v>
      </c>
      <c r="AC629" s="3">
        <f>AA629-X629</f>
        <v>0</v>
      </c>
      <c r="AS629" s="3">
        <v>60</v>
      </c>
      <c r="AY629" s="2" t="s">
        <v>928</v>
      </c>
      <c r="AZ629" s="2" t="s">
        <v>930</v>
      </c>
      <c r="BC629" s="2" t="s">
        <v>928</v>
      </c>
      <c r="BD629" s="2" t="s">
        <v>930</v>
      </c>
      <c r="BG629" s="2" t="s">
        <v>928</v>
      </c>
      <c r="BH629" s="2" t="s">
        <v>930</v>
      </c>
    </row>
    <row r="630" spans="1:60">
      <c r="A630" s="6">
        <v>11</v>
      </c>
      <c r="B630" s="103" t="s">
        <v>503</v>
      </c>
      <c r="C630" s="1" t="s">
        <v>57</v>
      </c>
      <c r="D630" s="2"/>
      <c r="E630" s="2"/>
      <c r="F630" s="8">
        <v>32</v>
      </c>
      <c r="G630" s="8"/>
      <c r="H630" s="8">
        <v>32</v>
      </c>
      <c r="I630" s="8"/>
      <c r="K630" s="3"/>
      <c r="L630" s="1" t="s">
        <v>444</v>
      </c>
      <c r="M630" s="3">
        <v>32</v>
      </c>
      <c r="O630" s="3">
        <v>32</v>
      </c>
      <c r="Q630" s="3">
        <f>O630-H630</f>
        <v>0</v>
      </c>
      <c r="R630" s="3">
        <v>21</v>
      </c>
      <c r="T630" s="3">
        <f>R630-O630</f>
        <v>-11</v>
      </c>
      <c r="BC630" s="2"/>
      <c r="BD630" s="2"/>
      <c r="BG630" s="2"/>
      <c r="BH630" s="2"/>
    </row>
    <row r="631" spans="1:60">
      <c r="A631" s="6">
        <v>1</v>
      </c>
      <c r="B631" s="103" t="s">
        <v>661</v>
      </c>
      <c r="C631" s="1" t="s">
        <v>52</v>
      </c>
      <c r="D631" s="2">
        <v>17</v>
      </c>
      <c r="E631" s="2"/>
      <c r="F631" s="8">
        <v>17</v>
      </c>
      <c r="G631" s="8"/>
      <c r="H631" s="8">
        <v>17</v>
      </c>
      <c r="I631" s="8">
        <f>H631-D631</f>
        <v>0</v>
      </c>
      <c r="L631" s="1" t="s">
        <v>794</v>
      </c>
      <c r="BC631" s="2"/>
      <c r="BD631" s="2"/>
    </row>
    <row r="632" spans="1:60">
      <c r="A632" s="6">
        <v>3</v>
      </c>
      <c r="B632" s="103" t="s">
        <v>661</v>
      </c>
      <c r="C632" s="1" t="s">
        <v>54</v>
      </c>
      <c r="D632" s="2">
        <v>350</v>
      </c>
      <c r="E632" s="2"/>
      <c r="F632" s="8"/>
      <c r="G632" s="8"/>
      <c r="H632" s="8"/>
      <c r="I632" s="8"/>
    </row>
    <row r="633" spans="1:60">
      <c r="A633" s="6">
        <v>4</v>
      </c>
      <c r="B633" s="103" t="s">
        <v>661</v>
      </c>
      <c r="C633" s="1" t="s">
        <v>55</v>
      </c>
      <c r="D633" s="2"/>
      <c r="E633" s="2"/>
      <c r="F633" s="8"/>
      <c r="G633" s="8"/>
      <c r="H633" s="8"/>
      <c r="I633" s="8"/>
    </row>
    <row r="634" spans="1:60">
      <c r="A634" s="6">
        <v>5</v>
      </c>
      <c r="B634" s="103" t="s">
        <v>661</v>
      </c>
      <c r="C634" s="1" t="s">
        <v>56</v>
      </c>
      <c r="D634" s="2"/>
      <c r="E634" s="2"/>
      <c r="F634" s="8"/>
      <c r="G634" s="8"/>
      <c r="H634" s="8"/>
      <c r="I634" s="8"/>
    </row>
    <row r="635" spans="1:60">
      <c r="A635" s="6">
        <v>2</v>
      </c>
      <c r="B635" s="103" t="s">
        <v>661</v>
      </c>
      <c r="C635" s="1" t="s">
        <v>53</v>
      </c>
      <c r="D635" s="2">
        <v>13</v>
      </c>
      <c r="E635" s="2"/>
      <c r="F635" s="8">
        <v>13</v>
      </c>
      <c r="G635" s="8"/>
      <c r="H635" s="8">
        <v>13</v>
      </c>
      <c r="I635" s="10">
        <f>H635-D635</f>
        <v>0</v>
      </c>
      <c r="L635" s="1" t="s">
        <v>528</v>
      </c>
    </row>
    <row r="636" spans="1:60">
      <c r="B636" s="103" t="s">
        <v>661</v>
      </c>
      <c r="C636" s="1" t="s">
        <v>595</v>
      </c>
      <c r="D636" s="2"/>
      <c r="E636" s="2"/>
      <c r="F636" s="8"/>
      <c r="G636" s="8"/>
      <c r="H636" s="8"/>
      <c r="I636" s="8"/>
      <c r="M636" s="3">
        <v>8</v>
      </c>
      <c r="O636" s="3">
        <v>8</v>
      </c>
      <c r="R636" s="3">
        <v>9.5</v>
      </c>
      <c r="T636" s="3">
        <f>R636-O636</f>
        <v>1.5</v>
      </c>
      <c r="AA636" s="3">
        <v>7.5</v>
      </c>
    </row>
    <row r="637" spans="1:60">
      <c r="A637" s="6">
        <v>12</v>
      </c>
      <c r="B637" s="103" t="s">
        <v>661</v>
      </c>
      <c r="C637" s="1" t="s">
        <v>594</v>
      </c>
      <c r="D637" s="2">
        <v>5</v>
      </c>
      <c r="E637" s="2"/>
      <c r="F637" s="8">
        <v>5</v>
      </c>
      <c r="G637" s="8"/>
      <c r="H637" s="8">
        <v>5</v>
      </c>
      <c r="I637" s="8">
        <f>H637-D637</f>
        <v>0</v>
      </c>
      <c r="M637" s="3">
        <v>5.6</v>
      </c>
      <c r="O637" s="3">
        <v>5.6</v>
      </c>
      <c r="Q637" s="3">
        <f>O637-H637</f>
        <v>0.59999999999999964</v>
      </c>
      <c r="R637" s="3">
        <v>5.6</v>
      </c>
      <c r="T637" s="3">
        <f>R637-O637</f>
        <v>0</v>
      </c>
      <c r="U637" s="3">
        <v>5.25</v>
      </c>
      <c r="W637" s="3">
        <f>U637-R637</f>
        <v>-0.34999999999999964</v>
      </c>
      <c r="X637" s="3">
        <v>7.1</v>
      </c>
      <c r="Z637" s="3">
        <f>X637-U637</f>
        <v>1.8499999999999996</v>
      </c>
      <c r="AA637" s="3">
        <v>8.42</v>
      </c>
      <c r="AC637" s="3">
        <f>AA637-X637</f>
        <v>1.3200000000000003</v>
      </c>
      <c r="AD637" s="24">
        <v>4</v>
      </c>
      <c r="AF637" s="24">
        <f>AD637-AA637</f>
        <v>-4.42</v>
      </c>
      <c r="AG637" s="3">
        <v>9</v>
      </c>
      <c r="AI637" s="3">
        <f>AG637-AD637</f>
        <v>5</v>
      </c>
    </row>
    <row r="638" spans="1:60">
      <c r="B638" s="103" t="s">
        <v>661</v>
      </c>
      <c r="C638" s="1" t="s">
        <v>372</v>
      </c>
      <c r="D638" s="2"/>
      <c r="E638" s="2"/>
      <c r="F638" s="8"/>
      <c r="G638" s="8"/>
      <c r="H638" s="8"/>
      <c r="I638" s="8"/>
      <c r="Q638" s="3"/>
      <c r="T638" s="3"/>
      <c r="W638" s="3"/>
      <c r="X638" s="3">
        <v>35.32</v>
      </c>
    </row>
    <row r="639" spans="1:60">
      <c r="A639" s="6">
        <v>14</v>
      </c>
      <c r="B639" s="103" t="s">
        <v>661</v>
      </c>
      <c r="C639" s="1" t="s">
        <v>58</v>
      </c>
      <c r="D639" s="2">
        <v>15</v>
      </c>
      <c r="E639" s="2"/>
      <c r="F639" s="8">
        <v>15</v>
      </c>
      <c r="G639" s="8"/>
      <c r="H639" s="8">
        <v>15</v>
      </c>
      <c r="I639" s="8">
        <f>H639-D639</f>
        <v>0</v>
      </c>
      <c r="L639" s="1" t="s">
        <v>248</v>
      </c>
      <c r="M639" s="3">
        <v>13.6</v>
      </c>
      <c r="O639" s="3">
        <v>13.6</v>
      </c>
      <c r="Q639" s="3">
        <f>O639-H639</f>
        <v>-1.4000000000000004</v>
      </c>
      <c r="R639" s="3">
        <v>11.34</v>
      </c>
      <c r="T639" s="3">
        <f>R639-O639</f>
        <v>-2.2599999999999998</v>
      </c>
      <c r="U639" s="3">
        <v>10.48</v>
      </c>
      <c r="W639" s="3">
        <f>U639-R639</f>
        <v>-0.85999999999999943</v>
      </c>
      <c r="X639" s="3">
        <v>15.85</v>
      </c>
      <c r="Z639" s="3">
        <f>X639-U639</f>
        <v>5.3699999999999992</v>
      </c>
      <c r="AA639" s="3">
        <v>20</v>
      </c>
      <c r="AC639" s="3">
        <f>AA639-X639</f>
        <v>4.1500000000000004</v>
      </c>
      <c r="AD639" s="24">
        <v>21.5</v>
      </c>
      <c r="AF639" s="24">
        <f>AD639-AA639</f>
        <v>1.5</v>
      </c>
      <c r="AG639" s="3">
        <v>10</v>
      </c>
      <c r="AI639" s="3">
        <f>AG639-AD639</f>
        <v>-11.5</v>
      </c>
      <c r="AJ639" s="3">
        <v>9</v>
      </c>
      <c r="AL639" s="3">
        <f>AJ639-AG639</f>
        <v>-1</v>
      </c>
    </row>
    <row r="640" spans="1:60">
      <c r="B640" s="103" t="s">
        <v>661</v>
      </c>
      <c r="C640" s="1" t="s">
        <v>607</v>
      </c>
      <c r="D640" s="2"/>
      <c r="E640" s="2"/>
      <c r="F640" s="8"/>
      <c r="G640" s="8"/>
      <c r="H640" s="8"/>
      <c r="I640" s="8"/>
      <c r="U640" s="3">
        <v>30.3</v>
      </c>
      <c r="X640" s="3">
        <v>17.739999999999998</v>
      </c>
      <c r="Z640" s="3">
        <f>X640-U640</f>
        <v>-12.560000000000002</v>
      </c>
      <c r="AD640" s="24">
        <v>50</v>
      </c>
    </row>
    <row r="641" spans="1:60">
      <c r="B641" s="103" t="s">
        <v>661</v>
      </c>
      <c r="C641" s="1" t="s">
        <v>289</v>
      </c>
      <c r="D641" s="2"/>
      <c r="E641" s="2"/>
      <c r="F641" s="8"/>
      <c r="G641" s="8"/>
      <c r="H641" s="8"/>
      <c r="I641" s="8"/>
      <c r="M641" s="3">
        <v>27</v>
      </c>
      <c r="O641" s="3">
        <v>27</v>
      </c>
      <c r="R641" s="3">
        <v>59.52</v>
      </c>
      <c r="S641" s="1" t="s">
        <v>793</v>
      </c>
      <c r="T641" s="3">
        <f>R641-O641</f>
        <v>32.520000000000003</v>
      </c>
      <c r="U641" s="3">
        <v>55.89</v>
      </c>
      <c r="V641" s="1" t="s">
        <v>382</v>
      </c>
      <c r="W641" s="3">
        <f>U641-R641</f>
        <v>-3.6300000000000026</v>
      </c>
      <c r="X641" s="3">
        <v>106</v>
      </c>
      <c r="Z641" s="3">
        <f>X641-U641</f>
        <v>50.11</v>
      </c>
      <c r="AD641" s="24">
        <v>38.64</v>
      </c>
    </row>
    <row r="642" spans="1:60">
      <c r="B642" s="103" t="s">
        <v>661</v>
      </c>
      <c r="C642" s="1" t="s">
        <v>290</v>
      </c>
      <c r="D642" s="2"/>
      <c r="E642" s="2"/>
      <c r="F642" s="8"/>
      <c r="G642" s="8"/>
      <c r="H642" s="8"/>
      <c r="I642" s="8"/>
      <c r="AC642" s="3"/>
      <c r="AJ642" s="3">
        <v>30</v>
      </c>
    </row>
    <row r="643" spans="1:60">
      <c r="B643" s="103" t="s">
        <v>661</v>
      </c>
      <c r="C643" s="1" t="s">
        <v>373</v>
      </c>
      <c r="D643" s="2"/>
      <c r="E643" s="2"/>
      <c r="F643" s="8"/>
      <c r="G643" s="8"/>
      <c r="H643" s="8"/>
      <c r="I643" s="8"/>
      <c r="X643" s="3">
        <v>31.46</v>
      </c>
    </row>
    <row r="644" spans="1:60">
      <c r="B644" s="103" t="s">
        <v>661</v>
      </c>
      <c r="C644" s="1" t="s">
        <v>64</v>
      </c>
      <c r="D644" s="2"/>
      <c r="E644" s="2"/>
      <c r="F644" s="8"/>
      <c r="G644" s="8"/>
      <c r="H644" s="8"/>
      <c r="I644" s="8"/>
      <c r="M644" s="3">
        <v>11</v>
      </c>
      <c r="O644" s="3">
        <v>11</v>
      </c>
      <c r="R644" s="3">
        <v>11.62</v>
      </c>
      <c r="T644" s="3">
        <f>R644-O644</f>
        <v>0.61999999999999922</v>
      </c>
      <c r="U644" s="3">
        <v>10.050000000000001</v>
      </c>
      <c r="W644" s="3">
        <f>U644-R644</f>
        <v>-1.5699999999999985</v>
      </c>
      <c r="X644" s="3">
        <v>17.03</v>
      </c>
      <c r="Z644" s="3">
        <f>X644-U644</f>
        <v>6.98</v>
      </c>
      <c r="AA644" s="3">
        <v>20.8</v>
      </c>
      <c r="AC644" s="3">
        <f>AA644-X644</f>
        <v>3.7699999999999996</v>
      </c>
      <c r="AD644" s="24">
        <v>23</v>
      </c>
      <c r="AF644" s="24">
        <f>AD644-AA644</f>
        <v>2.1999999999999993</v>
      </c>
      <c r="AG644" s="3">
        <v>10</v>
      </c>
      <c r="AI644" s="3">
        <f>AG644-AD644</f>
        <v>-13</v>
      </c>
      <c r="AJ644" s="3">
        <v>9</v>
      </c>
      <c r="AL644" s="3">
        <f>AJ644-AG644</f>
        <v>-1</v>
      </c>
    </row>
    <row r="645" spans="1:60">
      <c r="B645" s="103" t="s">
        <v>661</v>
      </c>
      <c r="C645" s="1" t="s">
        <v>286</v>
      </c>
      <c r="D645" s="2"/>
      <c r="E645" s="2"/>
      <c r="F645" s="8"/>
      <c r="G645" s="8"/>
      <c r="H645" s="8"/>
      <c r="I645" s="8"/>
      <c r="M645" s="3">
        <v>11.2</v>
      </c>
      <c r="O645" s="3">
        <v>11.2</v>
      </c>
      <c r="R645" s="3">
        <v>11.34</v>
      </c>
      <c r="T645" s="3">
        <f>R645-O645</f>
        <v>0.14000000000000057</v>
      </c>
      <c r="U645" s="3">
        <v>10.98</v>
      </c>
      <c r="W645" s="3">
        <f>U645-R645</f>
        <v>-0.35999999999999943</v>
      </c>
      <c r="X645" s="3">
        <v>15.32</v>
      </c>
      <c r="Z645" s="3">
        <f>X645-U645</f>
        <v>4.34</v>
      </c>
      <c r="AA645" s="3">
        <v>21.5</v>
      </c>
      <c r="AC645" s="3">
        <f>AA645-X645</f>
        <v>6.18</v>
      </c>
      <c r="AD645" s="24">
        <v>23.5</v>
      </c>
      <c r="AF645" s="24">
        <f>AD645-AA645</f>
        <v>2</v>
      </c>
      <c r="AG645" s="3">
        <v>10</v>
      </c>
      <c r="AI645" s="3">
        <f>AG645-AD645</f>
        <v>-13.5</v>
      </c>
      <c r="AJ645" s="3">
        <v>9</v>
      </c>
      <c r="AL645" s="3">
        <f>AJ645-AG645</f>
        <v>-1</v>
      </c>
    </row>
    <row r="646" spans="1:60">
      <c r="B646" s="103" t="s">
        <v>661</v>
      </c>
      <c r="C646" s="1" t="s">
        <v>288</v>
      </c>
      <c r="D646" s="2"/>
      <c r="E646" s="2"/>
      <c r="F646" s="8"/>
      <c r="G646" s="8"/>
      <c r="H646" s="8"/>
      <c r="I646" s="8"/>
      <c r="M646" s="3">
        <v>13.8</v>
      </c>
      <c r="O646" s="3">
        <v>13.8</v>
      </c>
      <c r="R646" s="3">
        <v>13.11</v>
      </c>
      <c r="T646" s="3">
        <f>R646-O646</f>
        <v>-0.69000000000000128</v>
      </c>
      <c r="U646" s="3">
        <v>11.39</v>
      </c>
      <c r="W646" s="3">
        <f>U646-R646</f>
        <v>-1.7199999999999989</v>
      </c>
      <c r="X646" s="3">
        <v>15.77</v>
      </c>
      <c r="Z646" s="3">
        <f>X646-U646</f>
        <v>4.379999999999999</v>
      </c>
      <c r="AA646" s="3">
        <v>23.5</v>
      </c>
      <c r="AC646" s="3">
        <f>AA646-X646</f>
        <v>7.73</v>
      </c>
      <c r="AD646" s="24">
        <v>22</v>
      </c>
      <c r="AF646" s="24">
        <f>AD646-AA646</f>
        <v>-1.5</v>
      </c>
      <c r="AG646" s="3">
        <v>10</v>
      </c>
      <c r="AI646" s="3">
        <f>AG646-AD646</f>
        <v>-12</v>
      </c>
      <c r="AJ646" s="3">
        <v>9</v>
      </c>
      <c r="AL646" s="3">
        <f>AJ646-AG646</f>
        <v>-1</v>
      </c>
    </row>
    <row r="647" spans="1:60">
      <c r="A647" s="6">
        <v>11</v>
      </c>
      <c r="B647" s="103" t="s">
        <v>661</v>
      </c>
      <c r="C647" s="1" t="s">
        <v>57</v>
      </c>
      <c r="D647" s="2">
        <v>23</v>
      </c>
      <c r="E647" s="2"/>
      <c r="F647" s="8">
        <v>23</v>
      </c>
      <c r="G647" s="8"/>
      <c r="H647" s="8">
        <v>23</v>
      </c>
      <c r="I647" s="8">
        <f>H647-D647</f>
        <v>0</v>
      </c>
      <c r="L647" s="1" t="s">
        <v>187</v>
      </c>
      <c r="AA647" s="3">
        <v>30.1</v>
      </c>
    </row>
    <row r="648" spans="1:60">
      <c r="B648" s="103" t="s">
        <v>661</v>
      </c>
      <c r="C648" s="1" t="s">
        <v>287</v>
      </c>
      <c r="D648" s="2"/>
      <c r="E648" s="2"/>
      <c r="F648" s="8"/>
      <c r="G648" s="8"/>
      <c r="H648" s="8"/>
      <c r="I648" s="8"/>
      <c r="M648" s="3">
        <v>13.5</v>
      </c>
      <c r="O648" s="3">
        <v>13.5</v>
      </c>
      <c r="U648" s="3">
        <v>77.37</v>
      </c>
      <c r="X648" s="3">
        <v>17</v>
      </c>
      <c r="Z648" s="3">
        <f>X648-U648</f>
        <v>-60.370000000000005</v>
      </c>
      <c r="AA648" s="3">
        <v>24.5</v>
      </c>
      <c r="AC648" s="3">
        <f>AA648-X648</f>
        <v>7.5</v>
      </c>
    </row>
    <row r="649" spans="1:60">
      <c r="A649" s="6">
        <v>1</v>
      </c>
      <c r="B649" s="103" t="s">
        <v>662</v>
      </c>
      <c r="C649" s="1" t="s">
        <v>52</v>
      </c>
      <c r="D649" s="2">
        <v>8</v>
      </c>
      <c r="E649" s="2"/>
      <c r="F649" s="8">
        <v>12</v>
      </c>
      <c r="G649" s="8"/>
      <c r="H649" s="8">
        <v>12</v>
      </c>
      <c r="I649" s="8">
        <f>H649-D649</f>
        <v>4</v>
      </c>
      <c r="K649" s="3"/>
      <c r="L649" s="1" t="s">
        <v>488</v>
      </c>
      <c r="M649" s="3">
        <v>12</v>
      </c>
      <c r="O649" s="3">
        <v>12</v>
      </c>
      <c r="Q649" s="3">
        <f>O649-H649</f>
        <v>0</v>
      </c>
      <c r="R649" s="3">
        <v>7</v>
      </c>
      <c r="T649" s="2">
        <f>R649-O649</f>
        <v>-5</v>
      </c>
      <c r="AQ649" s="1" t="s">
        <v>285</v>
      </c>
    </row>
    <row r="650" spans="1:60">
      <c r="A650" s="6">
        <v>3</v>
      </c>
      <c r="B650" s="103" t="s">
        <v>662</v>
      </c>
      <c r="C650" s="1" t="s">
        <v>54</v>
      </c>
      <c r="D650" s="2"/>
      <c r="E650" s="2"/>
      <c r="F650" s="8">
        <v>0</v>
      </c>
      <c r="G650" s="8"/>
      <c r="H650" s="8">
        <v>0</v>
      </c>
      <c r="I650" s="8"/>
      <c r="AQ650" s="1" t="s">
        <v>285</v>
      </c>
    </row>
    <row r="651" spans="1:60">
      <c r="A651" s="6">
        <v>4</v>
      </c>
      <c r="B651" s="103" t="s">
        <v>662</v>
      </c>
      <c r="C651" s="1" t="s">
        <v>55</v>
      </c>
      <c r="D651" s="2">
        <v>30</v>
      </c>
      <c r="E651" s="2"/>
      <c r="F651" s="8">
        <v>30</v>
      </c>
      <c r="G651" s="8"/>
      <c r="H651" s="8">
        <v>30</v>
      </c>
      <c r="I651" s="8"/>
      <c r="L651" s="1" t="s">
        <v>706</v>
      </c>
      <c r="AQ651" s="1" t="s">
        <v>285</v>
      </c>
    </row>
    <row r="652" spans="1:60">
      <c r="A652" s="6">
        <v>5</v>
      </c>
      <c r="B652" s="103" t="s">
        <v>662</v>
      </c>
      <c r="C652" s="1" t="s">
        <v>56</v>
      </c>
      <c r="D652" s="2"/>
      <c r="E652" s="2"/>
      <c r="F652" s="8">
        <v>0</v>
      </c>
      <c r="G652" s="8"/>
      <c r="H652" s="8">
        <v>0</v>
      </c>
      <c r="I652" s="8"/>
      <c r="AQ652" s="1" t="s">
        <v>285</v>
      </c>
    </row>
    <row r="653" spans="1:60">
      <c r="A653" s="6">
        <v>2</v>
      </c>
      <c r="B653" s="103" t="s">
        <v>662</v>
      </c>
      <c r="C653" s="1" t="s">
        <v>53</v>
      </c>
      <c r="D653" s="2">
        <v>6</v>
      </c>
      <c r="E653" s="2"/>
      <c r="F653" s="8">
        <v>8</v>
      </c>
      <c r="G653" s="8"/>
      <c r="H653" s="8">
        <v>8</v>
      </c>
      <c r="I653" s="10">
        <f>H653-D653</f>
        <v>2</v>
      </c>
      <c r="K653" s="3"/>
      <c r="M653" s="3">
        <v>8</v>
      </c>
      <c r="O653" s="3">
        <v>8</v>
      </c>
      <c r="Q653" s="3">
        <f>O653-H653</f>
        <v>0</v>
      </c>
      <c r="R653" s="3">
        <v>8</v>
      </c>
      <c r="T653" s="3">
        <f>R653-O653</f>
        <v>0</v>
      </c>
      <c r="AQ653" s="1" t="s">
        <v>285</v>
      </c>
    </row>
    <row r="654" spans="1:60">
      <c r="B654" s="103" t="s">
        <v>662</v>
      </c>
      <c r="C654" s="1" t="s">
        <v>158</v>
      </c>
      <c r="D654" s="2"/>
      <c r="E654" s="2"/>
      <c r="F654" s="8"/>
      <c r="G654" s="8"/>
      <c r="H654" s="8"/>
      <c r="I654" s="8"/>
      <c r="K654" s="3"/>
      <c r="Q654" s="3"/>
      <c r="AM654" s="3">
        <v>4</v>
      </c>
      <c r="AQ654" s="1" t="s">
        <v>285</v>
      </c>
      <c r="AS654" s="3">
        <v>4.0199999999999996</v>
      </c>
      <c r="AZ654" s="3">
        <v>5.16</v>
      </c>
      <c r="BD654" s="3">
        <v>5.16</v>
      </c>
      <c r="BG654" s="3">
        <v>5.16</v>
      </c>
      <c r="BH654" s="3">
        <v>8.1999999999999993</v>
      </c>
    </row>
    <row r="655" spans="1:60">
      <c r="B655" s="103" t="s">
        <v>662</v>
      </c>
      <c r="C655" s="1" t="s">
        <v>595</v>
      </c>
      <c r="D655" s="2"/>
      <c r="E655" s="2"/>
      <c r="F655" s="8"/>
      <c r="G655" s="8"/>
      <c r="H655" s="8"/>
      <c r="K655" s="3"/>
      <c r="Q655" s="3"/>
      <c r="R655" s="3">
        <v>6</v>
      </c>
      <c r="T655" s="3"/>
      <c r="U655" s="3">
        <v>6</v>
      </c>
      <c r="W655" s="3">
        <f>U655-R655</f>
        <v>0</v>
      </c>
      <c r="X655" s="3">
        <v>6</v>
      </c>
      <c r="Z655" s="3">
        <f>X655-U655</f>
        <v>0</v>
      </c>
      <c r="AA655" s="3">
        <v>6.34</v>
      </c>
      <c r="AC655" s="3">
        <f>AA655-X655</f>
        <v>0.33999999999999986</v>
      </c>
      <c r="AD655" s="24">
        <v>7</v>
      </c>
      <c r="AF655" s="24">
        <f>AD655-AA655</f>
        <v>0.66000000000000014</v>
      </c>
      <c r="AJ655" s="3">
        <v>7</v>
      </c>
      <c r="AL655" s="3"/>
      <c r="AQ655" s="1" t="s">
        <v>285</v>
      </c>
    </row>
    <row r="656" spans="1:60">
      <c r="B656" s="103" t="s">
        <v>662</v>
      </c>
      <c r="C656" s="1" t="s">
        <v>700</v>
      </c>
      <c r="D656" s="2"/>
      <c r="E656" s="2"/>
      <c r="F656" s="8"/>
      <c r="G656" s="8"/>
      <c r="H656" s="8"/>
      <c r="K656" s="3"/>
      <c r="Q656" s="3"/>
      <c r="T656" s="3"/>
      <c r="W656" s="3"/>
      <c r="AC656" s="3"/>
      <c r="AF656" s="24"/>
      <c r="AG656" s="3">
        <v>6</v>
      </c>
      <c r="AM656" s="3">
        <v>4</v>
      </c>
      <c r="AQ656" s="1" t="s">
        <v>285</v>
      </c>
    </row>
    <row r="657" spans="1:60">
      <c r="B657" s="103" t="s">
        <v>662</v>
      </c>
      <c r="C657" s="1" t="s">
        <v>596</v>
      </c>
      <c r="D657" s="2"/>
      <c r="E657" s="2"/>
      <c r="F657" s="8"/>
      <c r="G657" s="8"/>
      <c r="H657" s="8"/>
      <c r="K657" s="3"/>
      <c r="Q657" s="3"/>
      <c r="R657" s="3">
        <v>6</v>
      </c>
      <c r="U657" s="3">
        <v>6</v>
      </c>
      <c r="W657" s="3">
        <f>U657-R657</f>
        <v>0</v>
      </c>
      <c r="X657" s="3">
        <v>6</v>
      </c>
      <c r="Z657" s="3">
        <f>X657-U657</f>
        <v>0</v>
      </c>
      <c r="AQ657" s="1" t="s">
        <v>285</v>
      </c>
    </row>
    <row r="658" spans="1:60">
      <c r="A658" s="6">
        <v>12</v>
      </c>
      <c r="B658" s="103" t="s">
        <v>662</v>
      </c>
      <c r="C658" s="1" t="s">
        <v>594</v>
      </c>
      <c r="D658" s="2">
        <v>4</v>
      </c>
      <c r="E658" s="2"/>
      <c r="F658" s="8">
        <v>4</v>
      </c>
      <c r="G658" s="8"/>
      <c r="H658" s="8">
        <v>4</v>
      </c>
      <c r="I658" s="8">
        <f>H658-D658</f>
        <v>0</v>
      </c>
      <c r="K658" s="3"/>
      <c r="M658" s="3">
        <v>4</v>
      </c>
      <c r="O658" s="3">
        <v>4</v>
      </c>
      <c r="Q658" s="3">
        <f>O658-H658</f>
        <v>0</v>
      </c>
      <c r="R658" s="3">
        <v>4</v>
      </c>
      <c r="T658" s="3">
        <f>R658-O658</f>
        <v>0</v>
      </c>
      <c r="U658" s="3">
        <v>4.5</v>
      </c>
      <c r="W658" s="3">
        <f>U658-R658</f>
        <v>0.5</v>
      </c>
      <c r="X658" s="3">
        <v>4.5</v>
      </c>
      <c r="Z658" s="3">
        <f>X658-U658</f>
        <v>0</v>
      </c>
      <c r="AA658" s="3">
        <v>5.44</v>
      </c>
      <c r="AC658" s="3">
        <f>AA658-X658</f>
        <v>0.94000000000000039</v>
      </c>
      <c r="AD658" s="24">
        <v>5</v>
      </c>
      <c r="AF658" s="24">
        <f>AD658-AA658</f>
        <v>-0.44000000000000039</v>
      </c>
      <c r="AG658" s="3">
        <v>5</v>
      </c>
      <c r="AI658" s="3">
        <f>AG658-AD658</f>
        <v>0</v>
      </c>
      <c r="AJ658" s="3">
        <v>5</v>
      </c>
      <c r="AL658" s="3">
        <f>AJ658-AG658</f>
        <v>0</v>
      </c>
      <c r="AM658" s="3">
        <v>5</v>
      </c>
      <c r="AO658" s="3">
        <f>AM658-AJ658</f>
        <v>0</v>
      </c>
      <c r="AQ658" s="1" t="s">
        <v>285</v>
      </c>
      <c r="AS658" s="3">
        <v>5.17</v>
      </c>
      <c r="AV658" s="3">
        <v>5.17</v>
      </c>
      <c r="AZ658" s="3">
        <v>6.22</v>
      </c>
      <c r="BC658" s="3">
        <v>6.22</v>
      </c>
      <c r="BD658" s="3">
        <v>4.22</v>
      </c>
      <c r="BG658" s="3">
        <v>4.22</v>
      </c>
      <c r="BH658" s="3">
        <v>7.79</v>
      </c>
    </row>
    <row r="659" spans="1:60">
      <c r="B659" s="103" t="s">
        <v>662</v>
      </c>
      <c r="C659" s="1" t="s">
        <v>372</v>
      </c>
      <c r="D659" s="2"/>
      <c r="E659" s="2"/>
      <c r="F659" s="8"/>
      <c r="G659" s="8"/>
      <c r="H659" s="8"/>
      <c r="I659" s="8"/>
      <c r="K659" s="3"/>
      <c r="Q659" s="3"/>
      <c r="T659" s="3"/>
      <c r="W659" s="3"/>
      <c r="AC659" s="3"/>
      <c r="AF659" s="24"/>
      <c r="AI659" s="3"/>
      <c r="AL659" s="3"/>
      <c r="AO659" s="3"/>
      <c r="BD659" s="3">
        <v>38.369999999999997</v>
      </c>
      <c r="BH659" s="3">
        <v>38.369999999999997</v>
      </c>
    </row>
    <row r="660" spans="1:60">
      <c r="B660" s="103" t="s">
        <v>662</v>
      </c>
      <c r="C660" s="1" t="s">
        <v>851</v>
      </c>
      <c r="D660" s="2"/>
      <c r="E660" s="2"/>
      <c r="F660" s="8"/>
      <c r="G660" s="8"/>
      <c r="H660" s="8"/>
      <c r="I660" s="8"/>
      <c r="K660" s="3"/>
      <c r="Q660" s="3"/>
      <c r="T660" s="3"/>
      <c r="W660" s="3"/>
      <c r="AC660" s="3"/>
      <c r="AF660" s="24"/>
      <c r="AI660" s="3"/>
      <c r="AL660" s="3"/>
      <c r="AO660" s="3"/>
      <c r="AZ660" s="3">
        <v>8.52</v>
      </c>
      <c r="BC660" s="3">
        <v>8.52</v>
      </c>
      <c r="BD660" s="3">
        <v>19.239999999999998</v>
      </c>
      <c r="BG660" s="3">
        <v>19.239999999999998</v>
      </c>
      <c r="BH660" s="3">
        <v>18.28</v>
      </c>
    </row>
    <row r="661" spans="1:60">
      <c r="A661" s="6">
        <v>14</v>
      </c>
      <c r="B661" s="103" t="s">
        <v>662</v>
      </c>
      <c r="C661" s="1" t="s">
        <v>58</v>
      </c>
      <c r="D661" s="2">
        <v>11</v>
      </c>
      <c r="E661" s="2"/>
      <c r="F661" s="8">
        <v>11</v>
      </c>
      <c r="G661" s="8"/>
      <c r="H661" s="8">
        <v>11</v>
      </c>
      <c r="I661" s="9">
        <f>H661-D661</f>
        <v>0</v>
      </c>
      <c r="K661" s="3"/>
      <c r="L661" s="1" t="s">
        <v>92</v>
      </c>
      <c r="M661" s="3">
        <v>14</v>
      </c>
      <c r="O661" s="3">
        <v>14</v>
      </c>
      <c r="Q661" s="3">
        <f>O661-H661</f>
        <v>3</v>
      </c>
      <c r="R661" s="3">
        <v>12</v>
      </c>
      <c r="T661" s="3">
        <f>R661-O661</f>
        <v>-2</v>
      </c>
      <c r="U661" s="3">
        <v>13</v>
      </c>
      <c r="W661" s="3">
        <f>U661-R661</f>
        <v>1</v>
      </c>
      <c r="X661" s="3">
        <v>13</v>
      </c>
      <c r="Z661" s="3">
        <f>X661-U661</f>
        <v>0</v>
      </c>
      <c r="AA661" s="3">
        <v>13</v>
      </c>
      <c r="AC661" s="3">
        <f>AA661-X661</f>
        <v>0</v>
      </c>
      <c r="AD661" s="24">
        <v>13</v>
      </c>
      <c r="AF661" s="24">
        <f>AD661-AA661</f>
        <v>0</v>
      </c>
      <c r="AG661" s="3">
        <v>13</v>
      </c>
      <c r="AI661" s="3">
        <f>AG661-AD661</f>
        <v>0</v>
      </c>
      <c r="AJ661" s="3">
        <v>14</v>
      </c>
      <c r="AL661" s="3">
        <f>AJ661-AG661</f>
        <v>1</v>
      </c>
      <c r="AM661" s="3">
        <v>13</v>
      </c>
      <c r="AO661" s="3">
        <f>AM661-AJ661</f>
        <v>-1</v>
      </c>
      <c r="AQ661" s="1" t="s">
        <v>285</v>
      </c>
      <c r="AS661" s="3">
        <v>13.14</v>
      </c>
      <c r="AV661" s="3">
        <v>7.8</v>
      </c>
      <c r="AZ661" s="3">
        <v>32.94</v>
      </c>
      <c r="BC661" s="3">
        <v>32.94</v>
      </c>
      <c r="BD661" s="3">
        <v>10.71</v>
      </c>
      <c r="BG661" s="3">
        <v>32.94</v>
      </c>
      <c r="BH661" s="3">
        <v>10.71</v>
      </c>
    </row>
    <row r="662" spans="1:60" ht="9.6" customHeight="1">
      <c r="B662" s="103" t="s">
        <v>662</v>
      </c>
      <c r="C662" s="1" t="s">
        <v>607</v>
      </c>
      <c r="D662" s="2"/>
      <c r="E662" s="2"/>
      <c r="F662" s="8"/>
      <c r="G662" s="8"/>
      <c r="H662" s="8"/>
      <c r="I662" s="8"/>
      <c r="K662" s="3"/>
      <c r="Q662" s="3"/>
      <c r="AV662" s="3">
        <v>14.2</v>
      </c>
    </row>
    <row r="663" spans="1:60">
      <c r="B663" s="103" t="s">
        <v>662</v>
      </c>
      <c r="C663" s="1" t="s">
        <v>857</v>
      </c>
      <c r="D663" s="2"/>
      <c r="E663" s="2"/>
      <c r="F663" s="8"/>
      <c r="G663" s="8"/>
      <c r="H663" s="8"/>
      <c r="I663" s="8"/>
      <c r="K663" s="3"/>
      <c r="Q663" s="3"/>
      <c r="T663" s="3"/>
      <c r="W663" s="3"/>
      <c r="AC663" s="3"/>
      <c r="AF663" s="24"/>
      <c r="AI663" s="3"/>
      <c r="AL663" s="3"/>
      <c r="AO663" s="3"/>
      <c r="BD663" s="3">
        <v>35.71</v>
      </c>
      <c r="BG663" s="3">
        <v>35.71</v>
      </c>
      <c r="BH663" s="3">
        <v>42.9</v>
      </c>
    </row>
    <row r="664" spans="1:60">
      <c r="B664" s="103" t="s">
        <v>662</v>
      </c>
      <c r="C664" s="1" t="s">
        <v>289</v>
      </c>
      <c r="D664" s="2"/>
      <c r="E664" s="2"/>
      <c r="F664" s="8"/>
      <c r="G664" s="8"/>
      <c r="H664" s="8"/>
      <c r="K664" s="3"/>
      <c r="Q664" s="3"/>
      <c r="R664" s="3">
        <v>18</v>
      </c>
      <c r="T664" s="3"/>
      <c r="U664" s="3">
        <v>18</v>
      </c>
      <c r="W664" s="3">
        <f>U664-R664</f>
        <v>0</v>
      </c>
      <c r="X664" s="3">
        <v>18</v>
      </c>
      <c r="Z664" s="3">
        <f>X664-U664</f>
        <v>0</v>
      </c>
      <c r="AM664" s="3">
        <v>14</v>
      </c>
      <c r="AQ664" s="1" t="s">
        <v>285</v>
      </c>
      <c r="AS664" s="3">
        <v>14.6</v>
      </c>
      <c r="AZ664" s="3">
        <v>21.04</v>
      </c>
      <c r="BD664" s="3">
        <v>21.04</v>
      </c>
      <c r="BG664" s="3">
        <v>21.04</v>
      </c>
      <c r="BH664" s="3">
        <v>124.47</v>
      </c>
    </row>
    <row r="665" spans="1:60" ht="9.6" customHeight="1">
      <c r="B665" s="103" t="s">
        <v>662</v>
      </c>
      <c r="C665" s="1" t="s">
        <v>160</v>
      </c>
      <c r="D665" s="2"/>
      <c r="E665" s="2"/>
      <c r="F665" s="8"/>
      <c r="G665" s="8"/>
      <c r="H665" s="8"/>
      <c r="K665" s="3"/>
      <c r="Q665" s="3"/>
      <c r="T665" s="3"/>
      <c r="U665" s="3">
        <v>6</v>
      </c>
      <c r="AQ665" s="1" t="s">
        <v>285</v>
      </c>
    </row>
    <row r="666" spans="1:60">
      <c r="B666" s="103" t="s">
        <v>662</v>
      </c>
      <c r="C666" s="1" t="s">
        <v>290</v>
      </c>
      <c r="D666" s="2"/>
      <c r="E666" s="2"/>
      <c r="F666" s="8"/>
      <c r="G666" s="8"/>
      <c r="H666" s="8"/>
      <c r="K666" s="3"/>
      <c r="Q666" s="3"/>
      <c r="R666" s="3">
        <v>18</v>
      </c>
      <c r="U666" s="3">
        <v>18</v>
      </c>
      <c r="W666" s="3">
        <f>U666-R666</f>
        <v>0</v>
      </c>
      <c r="X666" s="3">
        <v>18</v>
      </c>
      <c r="Z666" s="3">
        <f>X666-U666</f>
        <v>0</v>
      </c>
      <c r="AG666" s="3">
        <v>14</v>
      </c>
      <c r="AJ666" s="3">
        <v>14</v>
      </c>
      <c r="AL666" s="3">
        <f>AJ666-AG666</f>
        <v>0</v>
      </c>
      <c r="AM666" s="3">
        <v>14</v>
      </c>
      <c r="AO666" s="3">
        <f>AM666-AJ666</f>
        <v>0</v>
      </c>
      <c r="AQ666" s="1" t="s">
        <v>285</v>
      </c>
      <c r="AS666" s="3">
        <v>14.6</v>
      </c>
      <c r="AV666" s="3">
        <v>4</v>
      </c>
      <c r="AZ666" s="3">
        <v>0.71</v>
      </c>
      <c r="BD666" s="3">
        <v>0.71</v>
      </c>
      <c r="BG666" s="3">
        <v>0.71</v>
      </c>
      <c r="BH666" s="3">
        <v>4.5999999999999996</v>
      </c>
    </row>
    <row r="667" spans="1:60">
      <c r="B667" s="103" t="s">
        <v>662</v>
      </c>
      <c r="C667" s="1" t="s">
        <v>64</v>
      </c>
      <c r="D667" s="2"/>
      <c r="E667" s="2"/>
      <c r="F667" s="8"/>
      <c r="G667" s="8"/>
      <c r="H667" s="8"/>
      <c r="K667" s="3"/>
      <c r="Q667" s="3"/>
      <c r="R667" s="3">
        <v>12</v>
      </c>
      <c r="T667" s="3"/>
      <c r="U667" s="3">
        <v>14</v>
      </c>
      <c r="W667" s="3">
        <f>U667-R667</f>
        <v>2</v>
      </c>
      <c r="X667" s="3">
        <v>14</v>
      </c>
      <c r="Z667" s="3">
        <f>X667-U667</f>
        <v>0</v>
      </c>
      <c r="AA667" s="3">
        <v>13</v>
      </c>
      <c r="AC667" s="3">
        <f>AA667-X667</f>
        <v>-1</v>
      </c>
      <c r="AD667" s="24">
        <v>13</v>
      </c>
      <c r="AF667" s="24">
        <f>AD667-AA667</f>
        <v>0</v>
      </c>
      <c r="AG667" s="3">
        <v>13</v>
      </c>
      <c r="AI667" s="3">
        <f>AG667-AD667</f>
        <v>0</v>
      </c>
      <c r="AJ667" s="3">
        <v>14</v>
      </c>
      <c r="AL667" s="3">
        <f>AJ667-AG667</f>
        <v>1</v>
      </c>
      <c r="AM667" s="3">
        <v>16</v>
      </c>
      <c r="AO667" s="3">
        <f>AM667-AJ667</f>
        <v>2</v>
      </c>
      <c r="AQ667" s="1" t="s">
        <v>285</v>
      </c>
      <c r="AS667" s="3">
        <v>16.739999999999998</v>
      </c>
      <c r="AV667" s="3">
        <v>7.5</v>
      </c>
      <c r="AZ667" s="3">
        <v>17.8</v>
      </c>
      <c r="BC667" s="3">
        <v>17.8</v>
      </c>
      <c r="BD667" s="3">
        <v>17.12</v>
      </c>
      <c r="BG667" s="3">
        <v>17.12</v>
      </c>
      <c r="BH667" s="3">
        <v>35.97</v>
      </c>
    </row>
    <row r="668" spans="1:60">
      <c r="B668" s="103" t="s">
        <v>662</v>
      </c>
      <c r="C668" s="1" t="s">
        <v>855</v>
      </c>
      <c r="D668" s="2"/>
      <c r="E668" s="2"/>
      <c r="F668" s="8"/>
      <c r="G668" s="8"/>
      <c r="H668" s="8"/>
      <c r="K668" s="3"/>
      <c r="Q668" s="3"/>
      <c r="T668" s="3"/>
      <c r="W668" s="3"/>
      <c r="AC668" s="3"/>
      <c r="AF668" s="24"/>
      <c r="AI668" s="3"/>
      <c r="AL668" s="3"/>
      <c r="AO668" s="3"/>
      <c r="BD668" s="3">
        <v>65.95</v>
      </c>
      <c r="BG668" s="3">
        <v>65.95</v>
      </c>
      <c r="BH668" s="3">
        <v>11.67</v>
      </c>
    </row>
    <row r="669" spans="1:60">
      <c r="B669" s="103" t="s">
        <v>662</v>
      </c>
      <c r="C669" s="1" t="s">
        <v>286</v>
      </c>
      <c r="D669" s="2"/>
      <c r="E669" s="2"/>
      <c r="F669" s="8"/>
      <c r="G669" s="8"/>
      <c r="H669" s="8"/>
      <c r="K669" s="3"/>
      <c r="Q669" s="3"/>
      <c r="T669" s="3"/>
      <c r="U669" s="3">
        <v>14</v>
      </c>
      <c r="AD669" s="24">
        <v>13</v>
      </c>
      <c r="AG669" s="3">
        <v>13</v>
      </c>
      <c r="AI669" s="3">
        <f>AG669-AD669</f>
        <v>0</v>
      </c>
      <c r="AJ669" s="3">
        <v>14</v>
      </c>
      <c r="AL669" s="3">
        <f>AJ669-AG669</f>
        <v>1</v>
      </c>
      <c r="AM669" s="3">
        <v>16</v>
      </c>
      <c r="AO669" s="3">
        <f>AM669-AJ669</f>
        <v>2</v>
      </c>
      <c r="AQ669" s="1" t="s">
        <v>285</v>
      </c>
      <c r="AS669" s="3">
        <v>16.149999999999999</v>
      </c>
      <c r="AV669" s="3">
        <v>8.9499999999999993</v>
      </c>
      <c r="AZ669" s="3">
        <v>12.21</v>
      </c>
      <c r="BC669" s="3">
        <v>12.21</v>
      </c>
      <c r="BD669" s="3">
        <v>12.17</v>
      </c>
      <c r="BG669" s="3">
        <v>12.17</v>
      </c>
      <c r="BH669" s="3">
        <v>12.94</v>
      </c>
    </row>
    <row r="670" spans="1:60">
      <c r="B670" s="103" t="s">
        <v>662</v>
      </c>
      <c r="C670" s="1" t="s">
        <v>288</v>
      </c>
      <c r="D670" s="2"/>
      <c r="E670" s="2"/>
      <c r="F670" s="8"/>
      <c r="G670" s="8"/>
      <c r="H670" s="8"/>
      <c r="K670" s="3"/>
      <c r="Q670" s="3"/>
      <c r="T670" s="3"/>
      <c r="U670" s="3">
        <v>14</v>
      </c>
      <c r="AA670" s="3">
        <v>13</v>
      </c>
      <c r="AD670" s="24">
        <v>14</v>
      </c>
      <c r="AF670" s="24">
        <f>AD670-AA670</f>
        <v>1</v>
      </c>
      <c r="AG670" s="3">
        <v>13</v>
      </c>
      <c r="AI670" s="3">
        <f>AG670-AD670</f>
        <v>-1</v>
      </c>
      <c r="AJ670" s="3">
        <v>14</v>
      </c>
      <c r="AL670" s="3">
        <f>AJ670-AG670</f>
        <v>1</v>
      </c>
      <c r="AM670" s="3">
        <v>16</v>
      </c>
      <c r="AO670" s="3">
        <f>AM670-AJ670</f>
        <v>2</v>
      </c>
      <c r="AQ670" s="1" t="s">
        <v>285</v>
      </c>
      <c r="AS670" s="3">
        <v>16.149999999999999</v>
      </c>
      <c r="AV670" s="3">
        <v>8.11</v>
      </c>
      <c r="AZ670" s="3">
        <v>16.64</v>
      </c>
      <c r="BC670" s="3">
        <v>16.64</v>
      </c>
      <c r="BD670" s="3">
        <v>16.68</v>
      </c>
      <c r="BG670" s="3">
        <v>16.68</v>
      </c>
      <c r="BH670" s="3">
        <v>17.600000000000001</v>
      </c>
    </row>
    <row r="671" spans="1:60">
      <c r="A671" s="6">
        <v>11</v>
      </c>
      <c r="B671" s="103" t="s">
        <v>662</v>
      </c>
      <c r="C671" s="1" t="s">
        <v>57</v>
      </c>
      <c r="D671" s="2">
        <v>15</v>
      </c>
      <c r="E671" s="2"/>
      <c r="F671" s="8">
        <v>15</v>
      </c>
      <c r="G671" s="8"/>
      <c r="H671" s="8">
        <v>15</v>
      </c>
      <c r="I671" s="8">
        <f>H671-D671</f>
        <v>0</v>
      </c>
      <c r="K671" s="3"/>
      <c r="M671" s="3">
        <v>15</v>
      </c>
      <c r="O671" s="3">
        <v>15</v>
      </c>
      <c r="Q671" s="3">
        <f>O671-H671</f>
        <v>0</v>
      </c>
      <c r="AQ671" s="1" t="s">
        <v>285</v>
      </c>
    </row>
    <row r="672" spans="1:60">
      <c r="A672" s="6">
        <v>1</v>
      </c>
      <c r="B672" s="103" t="s">
        <v>294</v>
      </c>
      <c r="C672" s="1" t="s">
        <v>52</v>
      </c>
      <c r="D672" s="2">
        <v>2.5</v>
      </c>
      <c r="E672" s="2"/>
      <c r="F672" s="9">
        <v>2.5</v>
      </c>
      <c r="H672" s="9">
        <v>2.5</v>
      </c>
      <c r="I672" s="8">
        <f>H672-D672</f>
        <v>0</v>
      </c>
      <c r="M672" s="3">
        <v>2.5</v>
      </c>
      <c r="O672" s="3">
        <v>2.5</v>
      </c>
      <c r="R672" s="3">
        <v>2.5</v>
      </c>
      <c r="T672" s="2">
        <f>R672-O672</f>
        <v>0</v>
      </c>
      <c r="U672" s="3">
        <v>2.5</v>
      </c>
      <c r="W672" s="3">
        <f>U672-R672</f>
        <v>0</v>
      </c>
    </row>
    <row r="673" spans="1:61">
      <c r="A673" s="6">
        <v>3</v>
      </c>
      <c r="B673" s="103" t="s">
        <v>294</v>
      </c>
      <c r="C673" s="1" t="s">
        <v>54</v>
      </c>
      <c r="D673" s="2"/>
      <c r="E673" s="2"/>
      <c r="F673" s="9">
        <v>0</v>
      </c>
      <c r="H673" s="9">
        <v>0</v>
      </c>
    </row>
    <row r="674" spans="1:61">
      <c r="A674" s="6">
        <v>4</v>
      </c>
      <c r="B674" s="103" t="s">
        <v>294</v>
      </c>
      <c r="C674" s="1" t="s">
        <v>55</v>
      </c>
      <c r="D674" s="2"/>
      <c r="E674" s="2"/>
      <c r="F674" s="9">
        <v>0</v>
      </c>
      <c r="H674" s="9">
        <v>0</v>
      </c>
    </row>
    <row r="675" spans="1:61">
      <c r="A675" s="6">
        <v>5</v>
      </c>
      <c r="B675" s="103" t="s">
        <v>294</v>
      </c>
      <c r="C675" s="1" t="s">
        <v>56</v>
      </c>
      <c r="D675" s="2"/>
      <c r="E675" s="2"/>
      <c r="F675" s="9">
        <v>0</v>
      </c>
      <c r="H675" s="9">
        <v>0</v>
      </c>
    </row>
    <row r="676" spans="1:61">
      <c r="A676" s="6">
        <v>2</v>
      </c>
      <c r="B676" s="103" t="s">
        <v>294</v>
      </c>
      <c r="C676" s="1" t="s">
        <v>53</v>
      </c>
      <c r="D676" s="2">
        <v>2.6</v>
      </c>
      <c r="E676" s="2"/>
      <c r="F676" s="9">
        <v>2.6</v>
      </c>
      <c r="H676" s="9">
        <v>2.6</v>
      </c>
      <c r="I676" s="8">
        <f>H676-D676</f>
        <v>0</v>
      </c>
      <c r="M676" s="3">
        <v>2.6</v>
      </c>
      <c r="O676" s="3">
        <v>2.6</v>
      </c>
      <c r="R676" s="3">
        <v>2.6</v>
      </c>
      <c r="T676" s="3">
        <f>R676-O676</f>
        <v>0</v>
      </c>
      <c r="U676" s="3">
        <v>2.6</v>
      </c>
      <c r="W676" s="3">
        <f>U676-R676</f>
        <v>0</v>
      </c>
    </row>
    <row r="677" spans="1:61">
      <c r="B677" s="103" t="s">
        <v>294</v>
      </c>
      <c r="C677" s="1" t="s">
        <v>595</v>
      </c>
      <c r="D677" s="2"/>
      <c r="E677" s="2"/>
      <c r="X677" s="3">
        <v>10</v>
      </c>
      <c r="AA677" s="3">
        <v>10</v>
      </c>
      <c r="AC677" s="3">
        <f>AA677-X677</f>
        <v>0</v>
      </c>
      <c r="AD677" s="24">
        <v>10</v>
      </c>
      <c r="AG677" s="3">
        <v>10</v>
      </c>
      <c r="AI677" s="3">
        <f>AG677-AD677</f>
        <v>0</v>
      </c>
      <c r="AJ677" s="3">
        <v>10</v>
      </c>
      <c r="AL677" s="3">
        <f>AJ677-AG677</f>
        <v>0</v>
      </c>
      <c r="AM677" s="3">
        <v>10</v>
      </c>
      <c r="AO677" s="3">
        <f>AM677-AJ677</f>
        <v>0</v>
      </c>
      <c r="AP677" s="3">
        <v>10</v>
      </c>
      <c r="AS677" s="3">
        <v>10</v>
      </c>
      <c r="AV677" s="3">
        <v>10</v>
      </c>
      <c r="AY677" s="3">
        <v>10</v>
      </c>
      <c r="AZ677" s="3">
        <v>11</v>
      </c>
      <c r="BA677" s="1" t="s">
        <v>852</v>
      </c>
      <c r="BC677" s="3">
        <v>11</v>
      </c>
      <c r="BD677" s="3">
        <v>11</v>
      </c>
      <c r="BE677" s="1" t="s">
        <v>852</v>
      </c>
      <c r="BG677" s="3">
        <v>11</v>
      </c>
      <c r="BH677" s="3">
        <v>11</v>
      </c>
      <c r="BI677" s="1" t="s">
        <v>852</v>
      </c>
    </row>
    <row r="678" spans="1:61">
      <c r="A678" s="6">
        <v>12</v>
      </c>
      <c r="B678" s="103" t="s">
        <v>294</v>
      </c>
      <c r="C678" s="1" t="s">
        <v>594</v>
      </c>
      <c r="D678" s="2">
        <v>2.4</v>
      </c>
      <c r="E678" s="2"/>
      <c r="F678" s="9">
        <v>0</v>
      </c>
      <c r="H678" s="9">
        <v>0</v>
      </c>
      <c r="X678" s="3">
        <v>7.5</v>
      </c>
      <c r="AA678" s="3">
        <v>7.5</v>
      </c>
      <c r="AC678" s="3">
        <f>AA678-X678</f>
        <v>0</v>
      </c>
      <c r="AD678" s="24">
        <v>7.5</v>
      </c>
      <c r="AG678" s="3">
        <v>7.5</v>
      </c>
      <c r="AI678" s="3">
        <f>AG678-AD678</f>
        <v>0</v>
      </c>
      <c r="AJ678" s="3">
        <v>7.5</v>
      </c>
      <c r="AL678" s="3">
        <f>AJ678-AG678</f>
        <v>0</v>
      </c>
      <c r="AM678" s="3">
        <v>7.5</v>
      </c>
      <c r="AO678" s="3">
        <f>AM678-AJ678</f>
        <v>0</v>
      </c>
      <c r="AP678" s="3">
        <v>7.5</v>
      </c>
      <c r="AS678" s="3">
        <v>7.5</v>
      </c>
      <c r="AV678" s="3">
        <v>7.5</v>
      </c>
      <c r="AY678" s="3">
        <v>7.5</v>
      </c>
      <c r="AZ678" s="3">
        <v>10</v>
      </c>
      <c r="BA678" s="1" t="s">
        <v>852</v>
      </c>
      <c r="BC678" s="3">
        <v>10</v>
      </c>
      <c r="BD678" s="3">
        <v>10</v>
      </c>
      <c r="BE678" s="1" t="s">
        <v>852</v>
      </c>
      <c r="BG678" s="3">
        <v>10</v>
      </c>
      <c r="BH678" s="3">
        <v>10</v>
      </c>
      <c r="BI678" s="1" t="s">
        <v>852</v>
      </c>
    </row>
    <row r="679" spans="1:61">
      <c r="A679" s="6">
        <v>14</v>
      </c>
      <c r="B679" s="103" t="s">
        <v>294</v>
      </c>
      <c r="C679" s="1" t="s">
        <v>58</v>
      </c>
      <c r="D679" s="2"/>
      <c r="E679" s="2"/>
      <c r="F679" s="9">
        <v>0</v>
      </c>
      <c r="H679" s="9">
        <v>0</v>
      </c>
      <c r="AY679" s="3">
        <v>7</v>
      </c>
      <c r="AZ679" s="3">
        <v>8</v>
      </c>
      <c r="BA679" s="1" t="s">
        <v>852</v>
      </c>
      <c r="BC679" s="3">
        <v>8</v>
      </c>
      <c r="BD679" s="3">
        <v>8</v>
      </c>
      <c r="BE679" s="1" t="s">
        <v>852</v>
      </c>
      <c r="BG679" s="3">
        <v>8</v>
      </c>
      <c r="BH679" s="3">
        <v>8</v>
      </c>
      <c r="BI679" s="1" t="s">
        <v>852</v>
      </c>
    </row>
    <row r="680" spans="1:61">
      <c r="A680" s="6">
        <v>11</v>
      </c>
      <c r="B680" s="103" t="s">
        <v>294</v>
      </c>
      <c r="C680" s="1" t="s">
        <v>57</v>
      </c>
      <c r="D680" s="2"/>
      <c r="E680" s="2"/>
      <c r="F680" s="9">
        <v>0</v>
      </c>
      <c r="H680" s="9">
        <v>0</v>
      </c>
    </row>
    <row r="681" spans="1:61">
      <c r="A681" s="6">
        <v>1</v>
      </c>
      <c r="B681" s="103" t="s">
        <v>295</v>
      </c>
      <c r="C681" s="1" t="s">
        <v>52</v>
      </c>
      <c r="D681" s="2">
        <v>11</v>
      </c>
      <c r="E681" s="2"/>
      <c r="F681" s="9">
        <v>11</v>
      </c>
      <c r="H681" s="9">
        <v>11</v>
      </c>
      <c r="I681" s="8">
        <f>H681-D681</f>
        <v>0</v>
      </c>
      <c r="K681" s="3"/>
      <c r="L681" s="1" t="s">
        <v>350</v>
      </c>
      <c r="M681" s="3">
        <v>11</v>
      </c>
      <c r="O681" s="3">
        <v>11</v>
      </c>
      <c r="Q681" s="3">
        <f>O681-H681</f>
        <v>0</v>
      </c>
      <c r="AH681" s="1" t="s">
        <v>285</v>
      </c>
      <c r="AK681" s="1" t="s">
        <v>285</v>
      </c>
      <c r="AN681" s="1" t="s">
        <v>285</v>
      </c>
      <c r="AQ681" s="1" t="s">
        <v>285</v>
      </c>
      <c r="AT681" s="1" t="s">
        <v>285</v>
      </c>
      <c r="AW681" s="1" t="s">
        <v>285</v>
      </c>
    </row>
    <row r="682" spans="1:61">
      <c r="A682" s="6">
        <v>3</v>
      </c>
      <c r="B682" s="103" t="s">
        <v>295</v>
      </c>
      <c r="C682" s="1" t="s">
        <v>54</v>
      </c>
      <c r="D682" s="2"/>
      <c r="E682" s="2"/>
      <c r="F682" s="9">
        <v>0</v>
      </c>
      <c r="H682" s="9">
        <v>0</v>
      </c>
      <c r="AH682" s="1" t="s">
        <v>285</v>
      </c>
      <c r="AK682" s="1" t="s">
        <v>285</v>
      </c>
      <c r="AN682" s="1" t="s">
        <v>285</v>
      </c>
      <c r="AQ682" s="1" t="s">
        <v>285</v>
      </c>
      <c r="AT682" s="1" t="s">
        <v>285</v>
      </c>
      <c r="AW682" s="1" t="s">
        <v>285</v>
      </c>
    </row>
    <row r="683" spans="1:61">
      <c r="A683" s="6">
        <v>4</v>
      </c>
      <c r="B683" s="103" t="s">
        <v>295</v>
      </c>
      <c r="C683" s="1" t="s">
        <v>55</v>
      </c>
      <c r="D683" s="2"/>
      <c r="E683" s="2"/>
      <c r="F683" s="9">
        <v>0</v>
      </c>
      <c r="H683" s="9">
        <v>0</v>
      </c>
      <c r="AH683" s="1" t="s">
        <v>285</v>
      </c>
      <c r="AK683" s="1" t="s">
        <v>285</v>
      </c>
      <c r="AN683" s="1" t="s">
        <v>285</v>
      </c>
      <c r="AQ683" s="1" t="s">
        <v>285</v>
      </c>
      <c r="AT683" s="1" t="s">
        <v>285</v>
      </c>
      <c r="AW683" s="1" t="s">
        <v>285</v>
      </c>
    </row>
    <row r="684" spans="1:61">
      <c r="A684" s="6">
        <v>5</v>
      </c>
      <c r="B684" s="103" t="s">
        <v>295</v>
      </c>
      <c r="C684" s="1" t="s">
        <v>56</v>
      </c>
      <c r="D684" s="2"/>
      <c r="E684" s="2"/>
      <c r="F684" s="9">
        <v>0</v>
      </c>
      <c r="H684" s="9">
        <v>0</v>
      </c>
      <c r="AH684" s="1" t="s">
        <v>285</v>
      </c>
      <c r="AK684" s="1" t="s">
        <v>285</v>
      </c>
      <c r="AN684" s="1" t="s">
        <v>285</v>
      </c>
      <c r="AQ684" s="1" t="s">
        <v>285</v>
      </c>
      <c r="AT684" s="1" t="s">
        <v>285</v>
      </c>
      <c r="AW684" s="1" t="s">
        <v>285</v>
      </c>
    </row>
    <row r="685" spans="1:61">
      <c r="A685" s="6">
        <v>2</v>
      </c>
      <c r="B685" s="103" t="s">
        <v>295</v>
      </c>
      <c r="C685" s="1" t="s">
        <v>53</v>
      </c>
      <c r="D685" s="2">
        <v>8.8000000000000007</v>
      </c>
      <c r="E685" s="2"/>
      <c r="F685" s="9">
        <v>8.8000000000000007</v>
      </c>
      <c r="H685" s="9">
        <v>8.8000000000000007</v>
      </c>
      <c r="I685" s="10">
        <f>H685-D685</f>
        <v>0</v>
      </c>
      <c r="K685" s="3"/>
      <c r="M685" s="3">
        <v>8.8000000000000007</v>
      </c>
      <c r="O685" s="3">
        <v>8.8000000000000007</v>
      </c>
      <c r="Q685" s="3">
        <f>O685-H685</f>
        <v>0</v>
      </c>
      <c r="R685" s="3">
        <v>10</v>
      </c>
      <c r="T685" s="3">
        <f>R685-O685</f>
        <v>1.1999999999999993</v>
      </c>
      <c r="U685" s="3">
        <v>15</v>
      </c>
      <c r="W685" s="3">
        <f>U685-R685</f>
        <v>5</v>
      </c>
      <c r="AD685" s="24">
        <v>15</v>
      </c>
      <c r="AH685" s="1" t="s">
        <v>285</v>
      </c>
      <c r="AK685" s="1" t="s">
        <v>285</v>
      </c>
      <c r="AN685" s="1" t="s">
        <v>285</v>
      </c>
      <c r="AQ685" s="1" t="s">
        <v>285</v>
      </c>
      <c r="AT685" s="1" t="s">
        <v>285</v>
      </c>
      <c r="AW685" s="1" t="s">
        <v>285</v>
      </c>
    </row>
    <row r="686" spans="1:61">
      <c r="A686" s="6">
        <v>12</v>
      </c>
      <c r="B686" s="103" t="s">
        <v>295</v>
      </c>
      <c r="C686" s="1" t="s">
        <v>594</v>
      </c>
      <c r="D686" s="2">
        <v>6.3</v>
      </c>
      <c r="E686" s="2"/>
      <c r="F686" s="9">
        <v>6.3</v>
      </c>
      <c r="H686" s="9">
        <v>6.3</v>
      </c>
      <c r="I686" s="8">
        <f>H686-D686</f>
        <v>0</v>
      </c>
      <c r="K686" s="3"/>
      <c r="M686" s="3">
        <v>6.3</v>
      </c>
      <c r="O686" s="3">
        <v>6.3</v>
      </c>
      <c r="Q686" s="3">
        <f>O686-H686</f>
        <v>0</v>
      </c>
      <c r="R686" s="3">
        <v>8</v>
      </c>
      <c r="T686" s="3">
        <f>R686-O686</f>
        <v>1.7000000000000002</v>
      </c>
      <c r="U686" s="3">
        <v>6</v>
      </c>
      <c r="W686" s="3">
        <f>U686-R686</f>
        <v>-2</v>
      </c>
      <c r="X686" s="3">
        <v>6</v>
      </c>
      <c r="Z686" s="3">
        <f>X686-U686</f>
        <v>0</v>
      </c>
      <c r="AA686" s="3">
        <v>14</v>
      </c>
      <c r="AC686" s="3">
        <f>AA686-X686</f>
        <v>8</v>
      </c>
      <c r="AD686" s="24">
        <v>6</v>
      </c>
      <c r="AH686" s="1" t="s">
        <v>285</v>
      </c>
      <c r="AK686" s="1" t="s">
        <v>285</v>
      </c>
      <c r="AL686" s="3"/>
      <c r="AN686" s="1" t="s">
        <v>285</v>
      </c>
      <c r="AQ686" s="1" t="s">
        <v>285</v>
      </c>
      <c r="AT686" s="1" t="s">
        <v>285</v>
      </c>
      <c r="AW686" s="1" t="s">
        <v>285</v>
      </c>
      <c r="AY686" s="3">
        <v>7</v>
      </c>
      <c r="AZ686" s="3">
        <v>10</v>
      </c>
      <c r="BC686" s="3">
        <v>12</v>
      </c>
      <c r="BD686" s="3">
        <v>12</v>
      </c>
      <c r="BE686" s="111" t="s">
        <v>1089</v>
      </c>
      <c r="BG686" s="3">
        <v>12</v>
      </c>
      <c r="BH686" s="3">
        <v>12</v>
      </c>
      <c r="BI686" s="1" t="s">
        <v>1089</v>
      </c>
    </row>
    <row r="687" spans="1:61">
      <c r="A687" s="6">
        <v>14</v>
      </c>
      <c r="B687" s="103" t="s">
        <v>295</v>
      </c>
      <c r="C687" s="1" t="s">
        <v>58</v>
      </c>
      <c r="D687" s="2">
        <v>12</v>
      </c>
      <c r="E687" s="2"/>
      <c r="F687" s="9">
        <v>12</v>
      </c>
      <c r="H687" s="9">
        <v>12</v>
      </c>
      <c r="I687" s="8">
        <f>H687-D687</f>
        <v>0</v>
      </c>
      <c r="K687" s="3"/>
      <c r="L687" s="1" t="s">
        <v>368</v>
      </c>
      <c r="M687" s="3">
        <v>12</v>
      </c>
      <c r="O687" s="3">
        <v>12</v>
      </c>
      <c r="Q687" s="3">
        <f>O687-H687</f>
        <v>0</v>
      </c>
      <c r="U687" s="3">
        <v>18</v>
      </c>
      <c r="AA687" s="3">
        <v>22</v>
      </c>
      <c r="AD687" s="24">
        <v>18</v>
      </c>
      <c r="AH687" s="1" t="s">
        <v>285</v>
      </c>
      <c r="AK687" s="1" t="s">
        <v>285</v>
      </c>
      <c r="AL687" s="3"/>
      <c r="AN687" s="1" t="s">
        <v>285</v>
      </c>
      <c r="AQ687" s="1" t="s">
        <v>285</v>
      </c>
      <c r="AT687" s="1" t="s">
        <v>285</v>
      </c>
      <c r="AW687" s="1" t="s">
        <v>285</v>
      </c>
      <c r="AY687" s="3">
        <v>10</v>
      </c>
      <c r="AZ687" s="3">
        <v>12</v>
      </c>
    </row>
    <row r="688" spans="1:61">
      <c r="B688" s="103" t="s">
        <v>295</v>
      </c>
      <c r="C688" s="1" t="s">
        <v>289</v>
      </c>
      <c r="D688" s="2"/>
      <c r="E688" s="2"/>
      <c r="I688" s="8"/>
      <c r="K688" s="3"/>
      <c r="Q688" s="3"/>
      <c r="AK688" s="1" t="s">
        <v>285</v>
      </c>
      <c r="AN688" s="1" t="s">
        <v>285</v>
      </c>
      <c r="AQ688" s="1" t="s">
        <v>285</v>
      </c>
      <c r="AT688" s="1" t="s">
        <v>285</v>
      </c>
      <c r="AW688" s="1" t="s">
        <v>285</v>
      </c>
      <c r="AY688" s="3">
        <v>10</v>
      </c>
      <c r="AZ688" s="3">
        <v>11</v>
      </c>
    </row>
    <row r="689" spans="1:61">
      <c r="B689" s="103" t="s">
        <v>295</v>
      </c>
      <c r="C689" s="1" t="s">
        <v>290</v>
      </c>
      <c r="D689" s="2"/>
      <c r="E689" s="2"/>
      <c r="I689" s="8"/>
      <c r="K689" s="3"/>
      <c r="Q689" s="3"/>
      <c r="AK689" s="1" t="s">
        <v>285</v>
      </c>
      <c r="AN689" s="1" t="s">
        <v>285</v>
      </c>
      <c r="AQ689" s="1" t="s">
        <v>285</v>
      </c>
      <c r="AT689" s="1" t="s">
        <v>285</v>
      </c>
      <c r="AW689" s="1" t="s">
        <v>285</v>
      </c>
      <c r="AY689" s="3">
        <v>10</v>
      </c>
      <c r="AZ689" s="3">
        <v>11</v>
      </c>
    </row>
    <row r="690" spans="1:61">
      <c r="B690" s="103" t="s">
        <v>295</v>
      </c>
      <c r="C690" s="1" t="s">
        <v>64</v>
      </c>
      <c r="D690" s="2"/>
      <c r="E690" s="2"/>
      <c r="I690" s="8"/>
      <c r="K690" s="3"/>
      <c r="Q690" s="3"/>
      <c r="AA690" s="3">
        <v>42</v>
      </c>
      <c r="AH690" s="1" t="s">
        <v>285</v>
      </c>
      <c r="AK690" s="1" t="s">
        <v>285</v>
      </c>
      <c r="AN690" s="1" t="s">
        <v>285</v>
      </c>
      <c r="AQ690" s="1" t="s">
        <v>285</v>
      </c>
      <c r="AT690" s="1" t="s">
        <v>285</v>
      </c>
      <c r="AW690" s="1" t="s">
        <v>285</v>
      </c>
      <c r="AY690" s="3">
        <v>15</v>
      </c>
      <c r="AZ690" s="3">
        <v>17</v>
      </c>
    </row>
    <row r="691" spans="1:61">
      <c r="B691" s="103" t="s">
        <v>295</v>
      </c>
      <c r="C691" s="1" t="s">
        <v>855</v>
      </c>
      <c r="D691" s="2"/>
      <c r="E691" s="2"/>
      <c r="I691" s="8"/>
      <c r="K691" s="3"/>
      <c r="Q691" s="3"/>
      <c r="AY691" s="3">
        <v>15</v>
      </c>
      <c r="AZ691" s="3">
        <v>17</v>
      </c>
    </row>
    <row r="692" spans="1:61">
      <c r="B692" s="103" t="s">
        <v>295</v>
      </c>
      <c r="C692" s="1" t="s">
        <v>286</v>
      </c>
      <c r="D692" s="2"/>
      <c r="E692" s="2"/>
      <c r="I692" s="8"/>
      <c r="K692" s="3"/>
      <c r="Q692" s="3"/>
      <c r="AA692" s="3">
        <v>45</v>
      </c>
      <c r="AH692" s="1" t="s">
        <v>285</v>
      </c>
      <c r="AK692" s="1" t="s">
        <v>285</v>
      </c>
      <c r="AN692" s="1" t="s">
        <v>285</v>
      </c>
      <c r="AQ692" s="1" t="s">
        <v>285</v>
      </c>
      <c r="AT692" s="1" t="s">
        <v>285</v>
      </c>
      <c r="AW692" s="1" t="s">
        <v>285</v>
      </c>
    </row>
    <row r="693" spans="1:61">
      <c r="B693" s="103" t="s">
        <v>295</v>
      </c>
      <c r="C693" s="1" t="s">
        <v>288</v>
      </c>
      <c r="D693" s="2"/>
      <c r="E693" s="2"/>
      <c r="I693" s="8"/>
      <c r="K693" s="3"/>
      <c r="Q693" s="3"/>
      <c r="AA693" s="3">
        <v>40</v>
      </c>
      <c r="AH693" s="1" t="s">
        <v>285</v>
      </c>
      <c r="AK693" s="1" t="s">
        <v>285</v>
      </c>
      <c r="AL693" s="3"/>
      <c r="AN693" s="1" t="s">
        <v>285</v>
      </c>
      <c r="AQ693" s="1" t="s">
        <v>285</v>
      </c>
      <c r="AT693" s="1" t="s">
        <v>285</v>
      </c>
      <c r="AW693" s="1" t="s">
        <v>285</v>
      </c>
      <c r="AY693" s="3">
        <v>15</v>
      </c>
      <c r="AZ693" s="3">
        <v>17</v>
      </c>
    </row>
    <row r="694" spans="1:61">
      <c r="A694" s="6">
        <v>11</v>
      </c>
      <c r="B694" s="103" t="s">
        <v>295</v>
      </c>
      <c r="C694" s="1" t="s">
        <v>57</v>
      </c>
      <c r="D694" s="2">
        <v>11.8</v>
      </c>
      <c r="E694" s="2"/>
      <c r="F694" s="9">
        <v>11.8</v>
      </c>
      <c r="H694" s="9">
        <v>11.8</v>
      </c>
      <c r="I694" s="8">
        <f>H694-D694</f>
        <v>0</v>
      </c>
      <c r="K694" s="3"/>
      <c r="M694" s="3">
        <v>11.8</v>
      </c>
      <c r="O694" s="3">
        <v>11.8</v>
      </c>
      <c r="Q694" s="3">
        <f>O694-H694</f>
        <v>0</v>
      </c>
      <c r="AH694" s="1" t="s">
        <v>285</v>
      </c>
      <c r="AK694" s="1" t="s">
        <v>285</v>
      </c>
      <c r="AN694" s="1" t="s">
        <v>285</v>
      </c>
      <c r="AQ694" s="1" t="s">
        <v>285</v>
      </c>
      <c r="AT694" s="1" t="s">
        <v>285</v>
      </c>
      <c r="AW694" s="1" t="s">
        <v>285</v>
      </c>
    </row>
    <row r="695" spans="1:61">
      <c r="B695" s="103" t="s">
        <v>295</v>
      </c>
      <c r="C695" s="1" t="s">
        <v>287</v>
      </c>
      <c r="D695" s="2"/>
      <c r="E695" s="2"/>
      <c r="I695" s="8"/>
      <c r="K695" s="3"/>
      <c r="Q695" s="3"/>
      <c r="AK695" s="1" t="s">
        <v>285</v>
      </c>
      <c r="AN695" s="1" t="s">
        <v>285</v>
      </c>
      <c r="AQ695" s="1" t="s">
        <v>285</v>
      </c>
      <c r="AT695" s="1" t="s">
        <v>285</v>
      </c>
      <c r="AW695" s="1" t="s">
        <v>285</v>
      </c>
    </row>
    <row r="696" spans="1:61">
      <c r="A696" s="6">
        <v>1</v>
      </c>
      <c r="B696" s="103" t="s">
        <v>162</v>
      </c>
      <c r="C696" s="1" t="s">
        <v>52</v>
      </c>
      <c r="D696" s="2"/>
      <c r="E696" s="2"/>
      <c r="F696" s="9">
        <v>16.899999999999999</v>
      </c>
      <c r="H696" s="9">
        <v>16.899999999999999</v>
      </c>
      <c r="K696" s="3"/>
      <c r="L696" s="1" t="s">
        <v>492</v>
      </c>
      <c r="M696" s="3">
        <v>16.899999999999999</v>
      </c>
      <c r="O696" s="3">
        <v>16.899999999999999</v>
      </c>
      <c r="Q696" s="3">
        <f>O696-H696</f>
        <v>0</v>
      </c>
      <c r="R696" s="3">
        <v>8.6</v>
      </c>
      <c r="T696" s="2">
        <f>R696-O696</f>
        <v>-8.2999999999999989</v>
      </c>
      <c r="BA696" s="1" t="s">
        <v>285</v>
      </c>
      <c r="BI696" s="1" t="s">
        <v>285</v>
      </c>
    </row>
    <row r="697" spans="1:61">
      <c r="A697" s="6">
        <v>3</v>
      </c>
      <c r="B697" s="103" t="s">
        <v>162</v>
      </c>
      <c r="C697" s="1" t="s">
        <v>54</v>
      </c>
      <c r="D697" s="2"/>
      <c r="E697" s="2"/>
      <c r="F697" s="9">
        <v>0</v>
      </c>
      <c r="H697" s="9">
        <v>0</v>
      </c>
      <c r="K697" s="3"/>
      <c r="BA697" s="1" t="s">
        <v>285</v>
      </c>
      <c r="BI697" s="1" t="s">
        <v>285</v>
      </c>
    </row>
    <row r="698" spans="1:61">
      <c r="A698" s="6">
        <v>4</v>
      </c>
      <c r="B698" s="103" t="s">
        <v>162</v>
      </c>
      <c r="C698" s="1" t="s">
        <v>55</v>
      </c>
      <c r="D698" s="2"/>
      <c r="E698" s="2"/>
      <c r="F698" s="9">
        <v>0</v>
      </c>
      <c r="H698" s="9">
        <v>0</v>
      </c>
      <c r="K698" s="3"/>
      <c r="BA698" s="1" t="s">
        <v>285</v>
      </c>
      <c r="BI698" s="1" t="s">
        <v>285</v>
      </c>
    </row>
    <row r="699" spans="1:61">
      <c r="A699" s="6">
        <v>5</v>
      </c>
      <c r="B699" s="103" t="s">
        <v>162</v>
      </c>
      <c r="C699" s="1" t="s">
        <v>56</v>
      </c>
      <c r="D699" s="2"/>
      <c r="E699" s="2"/>
      <c r="F699" s="9">
        <v>0</v>
      </c>
      <c r="H699" s="9">
        <v>0</v>
      </c>
      <c r="K699" s="3"/>
      <c r="BA699" s="1" t="s">
        <v>285</v>
      </c>
      <c r="BI699" s="1" t="s">
        <v>285</v>
      </c>
    </row>
    <row r="700" spans="1:61">
      <c r="A700" s="6">
        <v>2</v>
      </c>
      <c r="B700" s="103" t="s">
        <v>162</v>
      </c>
      <c r="C700" s="1" t="s">
        <v>53</v>
      </c>
      <c r="D700" s="2"/>
      <c r="E700" s="2"/>
      <c r="F700" s="9">
        <v>15.3</v>
      </c>
      <c r="H700" s="9">
        <v>15.3</v>
      </c>
      <c r="K700" s="3"/>
      <c r="L700" s="1" t="s">
        <v>534</v>
      </c>
      <c r="M700" s="3">
        <v>15.3</v>
      </c>
      <c r="O700" s="3">
        <v>15.3</v>
      </c>
      <c r="Q700" s="3">
        <f>O700-H700</f>
        <v>0</v>
      </c>
      <c r="R700" s="3">
        <v>8.3000000000000007</v>
      </c>
      <c r="T700" s="3">
        <f>R700-O700</f>
        <v>-7</v>
      </c>
      <c r="BA700" s="1" t="s">
        <v>285</v>
      </c>
      <c r="BI700" s="1" t="s">
        <v>285</v>
      </c>
    </row>
    <row r="701" spans="1:61">
      <c r="B701" s="103" t="s">
        <v>162</v>
      </c>
      <c r="C701" s="1" t="s">
        <v>596</v>
      </c>
      <c r="D701" s="2"/>
      <c r="E701" s="2"/>
      <c r="K701" s="3"/>
      <c r="Q701" s="3"/>
      <c r="R701" s="3">
        <v>12.7</v>
      </c>
      <c r="BA701" s="1" t="s">
        <v>285</v>
      </c>
      <c r="BI701" s="1" t="s">
        <v>285</v>
      </c>
    </row>
    <row r="702" spans="1:61">
      <c r="A702" s="6">
        <v>12</v>
      </c>
      <c r="B702" s="103" t="s">
        <v>162</v>
      </c>
      <c r="C702" s="1" t="s">
        <v>594</v>
      </c>
      <c r="D702" s="2"/>
      <c r="E702" s="2"/>
      <c r="F702" s="9">
        <v>19.8</v>
      </c>
      <c r="H702" s="9">
        <v>19.8</v>
      </c>
      <c r="K702" s="3"/>
      <c r="L702" s="1" t="s">
        <v>355</v>
      </c>
      <c r="M702" s="3">
        <v>19.8</v>
      </c>
      <c r="O702" s="3">
        <v>19.8</v>
      </c>
      <c r="Q702" s="3">
        <f>O702-H702</f>
        <v>0</v>
      </c>
      <c r="R702" s="3">
        <v>6.7</v>
      </c>
      <c r="T702" s="3">
        <f>R702-O702</f>
        <v>-13.100000000000001</v>
      </c>
      <c r="U702" s="3">
        <v>12</v>
      </c>
      <c r="X702" s="3">
        <v>14.12</v>
      </c>
      <c r="Z702" s="3">
        <f>X702-U702</f>
        <v>2.1199999999999992</v>
      </c>
      <c r="AA702" s="3">
        <v>11.7</v>
      </c>
      <c r="AC702" s="3">
        <f>AA702-X702</f>
        <v>-2.42</v>
      </c>
      <c r="AD702" s="24">
        <v>9.6</v>
      </c>
      <c r="AG702" s="3">
        <v>5.9</v>
      </c>
      <c r="AI702" s="3">
        <f>AG702-AD702</f>
        <v>-3.6999999999999993</v>
      </c>
      <c r="AJ702" s="3">
        <v>5.9</v>
      </c>
      <c r="AL702" s="3">
        <f>AJ702-AG702</f>
        <v>0</v>
      </c>
      <c r="AM702" s="3">
        <v>11.3</v>
      </c>
      <c r="AO702" s="3">
        <f>AM702-AJ702</f>
        <v>5.4</v>
      </c>
      <c r="AP702" s="3">
        <v>11.3</v>
      </c>
      <c r="AS702" s="3">
        <v>11.3</v>
      </c>
      <c r="AV702" s="3">
        <v>11.3</v>
      </c>
      <c r="BA702" s="1" t="s">
        <v>285</v>
      </c>
      <c r="BD702" s="3">
        <v>10.17</v>
      </c>
      <c r="BI702" s="1" t="s">
        <v>285</v>
      </c>
    </row>
    <row r="703" spans="1:61">
      <c r="A703" s="6">
        <v>14</v>
      </c>
      <c r="B703" s="103" t="s">
        <v>162</v>
      </c>
      <c r="C703" s="1" t="s">
        <v>58</v>
      </c>
      <c r="D703" s="2"/>
      <c r="E703" s="2"/>
      <c r="F703" s="9">
        <v>19.8</v>
      </c>
      <c r="H703" s="9">
        <v>19.8</v>
      </c>
      <c r="K703" s="3"/>
      <c r="L703" s="1" t="s">
        <v>301</v>
      </c>
      <c r="M703" s="3">
        <v>19.8</v>
      </c>
      <c r="O703" s="3">
        <v>19.8</v>
      </c>
      <c r="Q703" s="3">
        <f>O703-H703</f>
        <v>0</v>
      </c>
      <c r="U703" s="3">
        <v>15</v>
      </c>
      <c r="X703" s="3">
        <v>16.95</v>
      </c>
      <c r="Z703" s="3">
        <f>X703-U703</f>
        <v>1.9499999999999993</v>
      </c>
      <c r="AA703" s="3">
        <v>10.4</v>
      </c>
      <c r="AC703" s="3">
        <f>AA703-X703</f>
        <v>-6.5499999999999989</v>
      </c>
      <c r="AD703" s="24">
        <v>7.5</v>
      </c>
      <c r="AG703" s="3">
        <v>7.5</v>
      </c>
      <c r="AI703" s="3">
        <f>AG703-AD703</f>
        <v>0</v>
      </c>
      <c r="AJ703" s="3">
        <v>5.9</v>
      </c>
      <c r="AL703" s="3">
        <f>AJ703-AG703</f>
        <v>-1.5999999999999996</v>
      </c>
      <c r="AM703" s="3">
        <v>11.3</v>
      </c>
      <c r="AO703" s="3">
        <f>AM703-AJ703</f>
        <v>5.4</v>
      </c>
      <c r="AP703" s="3">
        <v>11.3</v>
      </c>
      <c r="AS703" s="3">
        <v>11.3</v>
      </c>
      <c r="AV703" s="3">
        <v>11.3</v>
      </c>
      <c r="BA703" s="1" t="s">
        <v>285</v>
      </c>
      <c r="BI703" s="1" t="s">
        <v>285</v>
      </c>
    </row>
    <row r="704" spans="1:61">
      <c r="B704" s="103" t="s">
        <v>162</v>
      </c>
      <c r="C704" s="1" t="s">
        <v>289</v>
      </c>
      <c r="D704" s="2"/>
      <c r="E704" s="2"/>
      <c r="K704" s="3"/>
      <c r="Q704" s="3"/>
      <c r="U704" s="3">
        <v>18</v>
      </c>
      <c r="AG704" s="3">
        <v>14.1</v>
      </c>
      <c r="AJ704" s="3">
        <v>14.1</v>
      </c>
      <c r="AL704" s="3">
        <f>AJ704-AG704</f>
        <v>0</v>
      </c>
      <c r="AM704" s="3">
        <v>11.3</v>
      </c>
      <c r="AO704" s="3">
        <f>AM704-AJ704</f>
        <v>-2.7999999999999989</v>
      </c>
      <c r="BA704" s="1" t="s">
        <v>285</v>
      </c>
      <c r="BD704" s="3">
        <v>11.3</v>
      </c>
      <c r="BI704" s="1" t="s">
        <v>285</v>
      </c>
    </row>
    <row r="705" spans="1:61">
      <c r="B705" s="103" t="s">
        <v>162</v>
      </c>
      <c r="C705" s="1" t="s">
        <v>290</v>
      </c>
      <c r="D705" s="2"/>
      <c r="E705" s="2"/>
      <c r="K705" s="3"/>
      <c r="AG705" s="3">
        <v>11.3</v>
      </c>
      <c r="AJ705" s="3">
        <v>14.1</v>
      </c>
      <c r="AL705" s="3">
        <f>AJ705-AG705</f>
        <v>2.7999999999999989</v>
      </c>
      <c r="BA705" s="1" t="s">
        <v>285</v>
      </c>
      <c r="BD705" s="3">
        <v>15.25</v>
      </c>
      <c r="BI705" s="1" t="s">
        <v>285</v>
      </c>
    </row>
    <row r="706" spans="1:61">
      <c r="B706" s="103" t="s">
        <v>162</v>
      </c>
      <c r="C706" s="1" t="s">
        <v>64</v>
      </c>
      <c r="D706" s="2"/>
      <c r="E706" s="2"/>
      <c r="K706" s="3"/>
      <c r="Q706" s="3"/>
      <c r="U706" s="3">
        <v>20</v>
      </c>
      <c r="X706" s="3">
        <v>18.829999999999998</v>
      </c>
      <c r="Z706" s="3">
        <f>X706-U706</f>
        <v>-1.1700000000000017</v>
      </c>
      <c r="AA706" s="3">
        <v>18.8</v>
      </c>
      <c r="AC706" s="3">
        <f>AA706-X706</f>
        <v>-2.9999999999997584E-2</v>
      </c>
      <c r="AD706" s="24">
        <v>14.6</v>
      </c>
      <c r="AG706" s="3">
        <v>12.1</v>
      </c>
      <c r="AI706" s="3">
        <f>AG706-AD706</f>
        <v>-2.5</v>
      </c>
      <c r="AJ706" s="3">
        <v>10.5</v>
      </c>
      <c r="AL706" s="3">
        <f>AJ706-AG706</f>
        <v>-1.5999999999999996</v>
      </c>
      <c r="AM706" s="3">
        <v>11.3</v>
      </c>
      <c r="AO706" s="3">
        <f>AM706-AJ706</f>
        <v>0.80000000000000071</v>
      </c>
      <c r="AP706" s="3">
        <v>14.12</v>
      </c>
      <c r="AS706" s="3">
        <v>14.12</v>
      </c>
      <c r="AV706" s="3">
        <v>14.12</v>
      </c>
      <c r="BA706" s="1" t="s">
        <v>285</v>
      </c>
      <c r="BD706" s="3">
        <v>12.43</v>
      </c>
      <c r="BI706" s="1" t="s">
        <v>285</v>
      </c>
    </row>
    <row r="707" spans="1:61">
      <c r="B707" s="103" t="s">
        <v>162</v>
      </c>
      <c r="C707" s="1" t="s">
        <v>286</v>
      </c>
      <c r="D707" s="2"/>
      <c r="E707" s="2"/>
      <c r="K707" s="3"/>
      <c r="Q707" s="3"/>
      <c r="X707" s="3">
        <v>22.18</v>
      </c>
      <c r="AA707" s="3">
        <v>22.2</v>
      </c>
      <c r="AC707" s="3">
        <f>AA707-X707</f>
        <v>1.9999999999999574E-2</v>
      </c>
      <c r="AD707" s="24">
        <v>14.6</v>
      </c>
      <c r="AG707" s="3">
        <v>14.6</v>
      </c>
      <c r="AI707" s="3">
        <f>AG707-AD707</f>
        <v>0</v>
      </c>
      <c r="AM707" s="3">
        <v>11.3</v>
      </c>
      <c r="AP707" s="3">
        <v>14.12</v>
      </c>
      <c r="AS707" s="3">
        <v>11.3</v>
      </c>
      <c r="AV707" s="3">
        <v>11.3</v>
      </c>
      <c r="BA707" s="1" t="s">
        <v>285</v>
      </c>
      <c r="BD707" s="3">
        <v>14.12</v>
      </c>
      <c r="BI707" s="1" t="s">
        <v>285</v>
      </c>
    </row>
    <row r="708" spans="1:61">
      <c r="B708" s="103" t="s">
        <v>162</v>
      </c>
      <c r="C708" s="1" t="s">
        <v>288</v>
      </c>
      <c r="D708" s="2"/>
      <c r="E708" s="2"/>
      <c r="K708" s="3"/>
      <c r="Q708" s="3"/>
      <c r="U708" s="3">
        <v>20</v>
      </c>
      <c r="X708" s="3">
        <v>15.48</v>
      </c>
      <c r="Z708" s="3">
        <f>X708-U708</f>
        <v>-4.5199999999999996</v>
      </c>
      <c r="AA708" s="3">
        <v>15.6</v>
      </c>
      <c r="AC708" s="3">
        <f>AA708-X708</f>
        <v>0.11999999999999922</v>
      </c>
      <c r="AD708" s="24">
        <v>20.8</v>
      </c>
      <c r="AG708" s="3">
        <v>20.9</v>
      </c>
      <c r="AI708" s="3">
        <f>AG708-AD708</f>
        <v>9.9999999999997868E-2</v>
      </c>
      <c r="AJ708" s="3">
        <v>25.4</v>
      </c>
      <c r="AL708" s="3">
        <f>AJ708-AG708</f>
        <v>4.5</v>
      </c>
      <c r="AM708" s="3">
        <v>14.12</v>
      </c>
      <c r="AO708" s="3">
        <f>AM708-AJ708</f>
        <v>-11.28</v>
      </c>
      <c r="AP708" s="3">
        <v>19.77</v>
      </c>
      <c r="AS708" s="3">
        <v>14.12</v>
      </c>
      <c r="AV708" s="3">
        <v>14.12</v>
      </c>
      <c r="BA708" s="1" t="s">
        <v>285</v>
      </c>
      <c r="BD708" s="3">
        <v>16.95</v>
      </c>
      <c r="BI708" s="1" t="s">
        <v>285</v>
      </c>
    </row>
    <row r="709" spans="1:61">
      <c r="A709" s="6">
        <v>11</v>
      </c>
      <c r="B709" s="103" t="s">
        <v>162</v>
      </c>
      <c r="C709" s="1" t="s">
        <v>57</v>
      </c>
      <c r="D709" s="2"/>
      <c r="E709" s="2"/>
      <c r="F709" s="9">
        <v>0</v>
      </c>
      <c r="H709" s="9">
        <v>0</v>
      </c>
      <c r="K709" s="3"/>
      <c r="BA709" s="1" t="s">
        <v>285</v>
      </c>
      <c r="BI709" s="1" t="s">
        <v>285</v>
      </c>
    </row>
    <row r="710" spans="1:61">
      <c r="A710" s="6">
        <v>1</v>
      </c>
      <c r="B710" s="103" t="s">
        <v>163</v>
      </c>
      <c r="C710" s="1" t="s">
        <v>52</v>
      </c>
      <c r="D710" s="2"/>
      <c r="E710" s="2"/>
      <c r="F710" s="8">
        <v>0</v>
      </c>
      <c r="G710" s="8"/>
      <c r="H710" s="8">
        <v>0</v>
      </c>
      <c r="I710" s="8"/>
      <c r="AE710" s="1" t="s">
        <v>285</v>
      </c>
      <c r="AH710" s="1" t="s">
        <v>285</v>
      </c>
      <c r="AK710" s="1" t="s">
        <v>285</v>
      </c>
      <c r="AN710" s="1" t="s">
        <v>285</v>
      </c>
      <c r="AQ710" s="1" t="s">
        <v>285</v>
      </c>
      <c r="AT710" s="1" t="s">
        <v>285</v>
      </c>
      <c r="AW710" s="1" t="s">
        <v>285</v>
      </c>
      <c r="BA710" s="1" t="s">
        <v>285</v>
      </c>
      <c r="BE710" s="1" t="s">
        <v>285</v>
      </c>
      <c r="BI710" s="1" t="s">
        <v>285</v>
      </c>
    </row>
    <row r="711" spans="1:61">
      <c r="A711" s="6">
        <v>3</v>
      </c>
      <c r="B711" s="103" t="s">
        <v>163</v>
      </c>
      <c r="C711" s="1" t="s">
        <v>54</v>
      </c>
      <c r="D711" s="2"/>
      <c r="E711" s="2"/>
      <c r="F711" s="8">
        <v>0</v>
      </c>
      <c r="G711" s="8"/>
      <c r="H711" s="8">
        <v>0</v>
      </c>
      <c r="I711" s="8"/>
      <c r="AE711" s="1" t="s">
        <v>285</v>
      </c>
      <c r="AH711" s="1" t="s">
        <v>285</v>
      </c>
      <c r="AK711" s="1" t="s">
        <v>285</v>
      </c>
      <c r="AN711" s="1" t="s">
        <v>285</v>
      </c>
      <c r="AQ711" s="1" t="s">
        <v>285</v>
      </c>
      <c r="AT711" s="1" t="s">
        <v>285</v>
      </c>
      <c r="AW711" s="1" t="s">
        <v>285</v>
      </c>
      <c r="BA711" s="1" t="s">
        <v>285</v>
      </c>
      <c r="BE711" s="1" t="s">
        <v>285</v>
      </c>
      <c r="BI711" s="1" t="s">
        <v>285</v>
      </c>
    </row>
    <row r="712" spans="1:61">
      <c r="A712" s="6">
        <v>4</v>
      </c>
      <c r="B712" s="103" t="s">
        <v>163</v>
      </c>
      <c r="C712" s="1" t="s">
        <v>55</v>
      </c>
      <c r="D712" s="2"/>
      <c r="E712" s="2"/>
      <c r="F712" s="8">
        <v>0</v>
      </c>
      <c r="G712" s="8"/>
      <c r="H712" s="8">
        <v>0</v>
      </c>
      <c r="I712" s="8"/>
      <c r="AE712" s="1" t="s">
        <v>285</v>
      </c>
      <c r="AH712" s="1" t="s">
        <v>285</v>
      </c>
      <c r="AK712" s="1" t="s">
        <v>285</v>
      </c>
      <c r="AN712" s="1" t="s">
        <v>285</v>
      </c>
      <c r="AQ712" s="1" t="s">
        <v>285</v>
      </c>
      <c r="AT712" s="1" t="s">
        <v>285</v>
      </c>
      <c r="AW712" s="1" t="s">
        <v>285</v>
      </c>
      <c r="BA712" s="1" t="s">
        <v>285</v>
      </c>
      <c r="BE712" s="1" t="s">
        <v>285</v>
      </c>
      <c r="BI712" s="1" t="s">
        <v>285</v>
      </c>
    </row>
    <row r="713" spans="1:61">
      <c r="A713" s="6">
        <v>5</v>
      </c>
      <c r="B713" s="103" t="s">
        <v>163</v>
      </c>
      <c r="C713" s="1" t="s">
        <v>56</v>
      </c>
      <c r="D713" s="2">
        <v>14.5</v>
      </c>
      <c r="E713" s="2"/>
      <c r="F713" s="8">
        <v>0</v>
      </c>
      <c r="G713" s="8"/>
      <c r="H713" s="8">
        <v>0</v>
      </c>
      <c r="I713" s="8"/>
      <c r="M713" s="3">
        <v>14.5</v>
      </c>
      <c r="O713" s="3">
        <v>14.5</v>
      </c>
      <c r="Q713" s="3">
        <f>O713-H713</f>
        <v>14.5</v>
      </c>
      <c r="AE713" s="1" t="s">
        <v>285</v>
      </c>
      <c r="AH713" s="1" t="s">
        <v>285</v>
      </c>
      <c r="AK713" s="1" t="s">
        <v>285</v>
      </c>
      <c r="AN713" s="1" t="s">
        <v>285</v>
      </c>
      <c r="AQ713" s="1" t="s">
        <v>285</v>
      </c>
      <c r="AT713" s="1" t="s">
        <v>285</v>
      </c>
      <c r="AW713" s="1" t="s">
        <v>285</v>
      </c>
      <c r="BA713" s="1" t="s">
        <v>285</v>
      </c>
      <c r="BE713" s="1" t="s">
        <v>285</v>
      </c>
      <c r="BI713" s="1" t="s">
        <v>285</v>
      </c>
    </row>
    <row r="714" spans="1:61">
      <c r="A714" s="6">
        <v>2</v>
      </c>
      <c r="B714" s="103" t="s">
        <v>163</v>
      </c>
      <c r="C714" s="1" t="s">
        <v>53</v>
      </c>
      <c r="D714" s="2">
        <v>14</v>
      </c>
      <c r="E714" s="2"/>
      <c r="F714" s="8">
        <v>5.94</v>
      </c>
      <c r="G714" s="8"/>
      <c r="H714" s="8">
        <v>5.94</v>
      </c>
      <c r="I714" s="10">
        <f>H714-D714</f>
        <v>-8.0599999999999987</v>
      </c>
      <c r="K714" s="3"/>
      <c r="M714" s="3">
        <v>14</v>
      </c>
      <c r="O714" s="3">
        <v>14</v>
      </c>
      <c r="P714" s="1" t="s">
        <v>61</v>
      </c>
      <c r="Q714" s="3">
        <f>O714-H714</f>
        <v>8.0599999999999987</v>
      </c>
      <c r="R714" s="3">
        <v>18.89</v>
      </c>
      <c r="T714" s="3">
        <f>R714-O714</f>
        <v>4.8900000000000006</v>
      </c>
      <c r="U714" s="3">
        <v>18.89</v>
      </c>
      <c r="V714" s="1" t="s">
        <v>693</v>
      </c>
      <c r="W714" s="3">
        <f>U714-R714</f>
        <v>0</v>
      </c>
      <c r="X714" s="3">
        <v>18.89</v>
      </c>
      <c r="AE714" s="1" t="s">
        <v>285</v>
      </c>
      <c r="AH714" s="1" t="s">
        <v>285</v>
      </c>
      <c r="AK714" s="1" t="s">
        <v>285</v>
      </c>
      <c r="AN714" s="1" t="s">
        <v>285</v>
      </c>
      <c r="AQ714" s="1" t="s">
        <v>285</v>
      </c>
      <c r="AT714" s="1" t="s">
        <v>285</v>
      </c>
      <c r="AW714" s="1" t="s">
        <v>285</v>
      </c>
      <c r="BA714" s="1" t="s">
        <v>285</v>
      </c>
      <c r="BE714" s="1" t="s">
        <v>285</v>
      </c>
      <c r="BI714" s="1" t="s">
        <v>285</v>
      </c>
    </row>
    <row r="715" spans="1:61">
      <c r="A715" s="6">
        <v>12</v>
      </c>
      <c r="B715" s="103" t="s">
        <v>163</v>
      </c>
      <c r="C715" s="1" t="s">
        <v>594</v>
      </c>
      <c r="D715" s="2">
        <v>16</v>
      </c>
      <c r="E715" s="2"/>
      <c r="F715" s="8">
        <v>6.5</v>
      </c>
      <c r="G715" s="8"/>
      <c r="H715" s="8">
        <v>6.5</v>
      </c>
      <c r="I715" s="8">
        <f>H715-D715</f>
        <v>-9.5</v>
      </c>
      <c r="K715" s="3"/>
      <c r="M715" s="3">
        <v>16</v>
      </c>
      <c r="O715" s="3">
        <v>16</v>
      </c>
      <c r="Q715" s="3">
        <f>O715-H715</f>
        <v>9.5</v>
      </c>
      <c r="R715" s="3">
        <v>17.66</v>
      </c>
      <c r="T715" s="3">
        <f>R715-O715</f>
        <v>1.6600000000000001</v>
      </c>
      <c r="U715" s="3">
        <v>17.66</v>
      </c>
      <c r="W715" s="3">
        <f>U715-R715</f>
        <v>0</v>
      </c>
      <c r="X715" s="3">
        <v>17.66</v>
      </c>
      <c r="AE715" s="1" t="s">
        <v>285</v>
      </c>
      <c r="AH715" s="1" t="s">
        <v>285</v>
      </c>
      <c r="AK715" s="1" t="s">
        <v>285</v>
      </c>
      <c r="AN715" s="1" t="s">
        <v>285</v>
      </c>
      <c r="AQ715" s="1" t="s">
        <v>285</v>
      </c>
      <c r="AT715" s="1" t="s">
        <v>285</v>
      </c>
      <c r="AW715" s="1" t="s">
        <v>285</v>
      </c>
      <c r="BA715" s="1" t="s">
        <v>285</v>
      </c>
      <c r="BE715" s="1" t="s">
        <v>285</v>
      </c>
      <c r="BI715" s="1" t="s">
        <v>285</v>
      </c>
    </row>
    <row r="716" spans="1:61">
      <c r="A716" s="6">
        <v>14</v>
      </c>
      <c r="B716" s="103" t="s">
        <v>163</v>
      </c>
      <c r="C716" s="1" t="s">
        <v>58</v>
      </c>
      <c r="D716" s="2"/>
      <c r="E716" s="2"/>
      <c r="F716" s="8">
        <v>0</v>
      </c>
      <c r="G716" s="8"/>
      <c r="H716" s="8">
        <v>0</v>
      </c>
      <c r="I716" s="8"/>
      <c r="R716" s="3">
        <v>12.15</v>
      </c>
      <c r="T716" s="3"/>
      <c r="U716" s="3">
        <v>12.15</v>
      </c>
      <c r="W716" s="3">
        <f>U716-R716</f>
        <v>0</v>
      </c>
      <c r="X716" s="3">
        <v>12.15</v>
      </c>
      <c r="AA716" s="3">
        <v>3.5424000000000002</v>
      </c>
      <c r="AC716" s="3">
        <f>AA716-X716</f>
        <v>-8.6075999999999997</v>
      </c>
      <c r="AE716" s="1" t="s">
        <v>285</v>
      </c>
      <c r="AH716" s="1" t="s">
        <v>285</v>
      </c>
      <c r="AK716" s="1" t="s">
        <v>285</v>
      </c>
      <c r="AN716" s="1" t="s">
        <v>285</v>
      </c>
      <c r="AQ716" s="1" t="s">
        <v>285</v>
      </c>
      <c r="AT716" s="1" t="s">
        <v>285</v>
      </c>
      <c r="AW716" s="1" t="s">
        <v>285</v>
      </c>
      <c r="BA716" s="1" t="s">
        <v>285</v>
      </c>
      <c r="BE716" s="1" t="s">
        <v>285</v>
      </c>
      <c r="BI716" s="1" t="s">
        <v>285</v>
      </c>
    </row>
    <row r="717" spans="1:61">
      <c r="B717" s="103" t="s">
        <v>163</v>
      </c>
      <c r="C717" s="1" t="s">
        <v>64</v>
      </c>
      <c r="D717" s="2"/>
      <c r="E717" s="2"/>
      <c r="F717" s="8"/>
      <c r="G717" s="8"/>
      <c r="H717" s="8"/>
      <c r="I717" s="8"/>
      <c r="T717" s="3"/>
      <c r="U717" s="3">
        <v>12.87</v>
      </c>
      <c r="X717" s="3">
        <v>12.87</v>
      </c>
      <c r="AA717" s="3">
        <v>0.02</v>
      </c>
      <c r="AC717" s="3">
        <f>AA717-X717</f>
        <v>-12.85</v>
      </c>
      <c r="AE717" s="1" t="s">
        <v>285</v>
      </c>
      <c r="AH717" s="1" t="s">
        <v>285</v>
      </c>
      <c r="AK717" s="1" t="s">
        <v>285</v>
      </c>
      <c r="AN717" s="1" t="s">
        <v>285</v>
      </c>
      <c r="AQ717" s="1" t="s">
        <v>285</v>
      </c>
      <c r="AT717" s="1" t="s">
        <v>285</v>
      </c>
      <c r="AW717" s="1" t="s">
        <v>285</v>
      </c>
      <c r="BA717" s="1" t="s">
        <v>285</v>
      </c>
      <c r="BE717" s="1" t="s">
        <v>285</v>
      </c>
      <c r="BI717" s="1" t="s">
        <v>285</v>
      </c>
    </row>
    <row r="718" spans="1:61">
      <c r="B718" s="103" t="s">
        <v>163</v>
      </c>
      <c r="C718" s="1" t="s">
        <v>286</v>
      </c>
      <c r="D718" s="2"/>
      <c r="E718" s="2"/>
      <c r="F718" s="8"/>
      <c r="G718" s="8"/>
      <c r="H718" s="8"/>
      <c r="I718" s="8"/>
      <c r="T718" s="3"/>
      <c r="U718" s="3">
        <v>20.22</v>
      </c>
      <c r="X718" s="3">
        <v>20.22</v>
      </c>
      <c r="AE718" s="1" t="s">
        <v>285</v>
      </c>
      <c r="AH718" s="1" t="s">
        <v>285</v>
      </c>
      <c r="AK718" s="1" t="s">
        <v>285</v>
      </c>
      <c r="AN718" s="1" t="s">
        <v>285</v>
      </c>
      <c r="AQ718" s="1" t="s">
        <v>285</v>
      </c>
      <c r="AT718" s="1" t="s">
        <v>285</v>
      </c>
      <c r="AW718" s="1" t="s">
        <v>285</v>
      </c>
      <c r="BA718" s="1" t="s">
        <v>285</v>
      </c>
      <c r="BE718" s="1" t="s">
        <v>285</v>
      </c>
      <c r="BI718" s="1" t="s">
        <v>285</v>
      </c>
    </row>
    <row r="719" spans="1:61">
      <c r="B719" s="103" t="s">
        <v>163</v>
      </c>
      <c r="C719" s="1" t="s">
        <v>288</v>
      </c>
      <c r="D719" s="2"/>
      <c r="E719" s="2"/>
      <c r="F719" s="8"/>
      <c r="G719" s="8"/>
      <c r="H719" s="8"/>
      <c r="I719" s="8"/>
      <c r="T719" s="3"/>
      <c r="U719" s="3">
        <v>18.38</v>
      </c>
      <c r="X719" s="3">
        <v>18.38</v>
      </c>
      <c r="AE719" s="1" t="s">
        <v>285</v>
      </c>
      <c r="AH719" s="1" t="s">
        <v>285</v>
      </c>
      <c r="AK719" s="1" t="s">
        <v>285</v>
      </c>
      <c r="AN719" s="1" t="s">
        <v>285</v>
      </c>
      <c r="AQ719" s="1" t="s">
        <v>285</v>
      </c>
      <c r="AT719" s="1" t="s">
        <v>285</v>
      </c>
      <c r="AW719" s="1" t="s">
        <v>285</v>
      </c>
      <c r="BA719" s="1" t="s">
        <v>285</v>
      </c>
      <c r="BE719" s="1" t="s">
        <v>285</v>
      </c>
      <c r="BI719" s="1" t="s">
        <v>285</v>
      </c>
    </row>
    <row r="720" spans="1:61">
      <c r="A720" s="6">
        <v>11</v>
      </c>
      <c r="B720" s="103" t="s">
        <v>163</v>
      </c>
      <c r="C720" s="1" t="s">
        <v>57</v>
      </c>
      <c r="D720" s="2">
        <v>15.2</v>
      </c>
      <c r="E720" s="2"/>
      <c r="F720" s="8">
        <v>5</v>
      </c>
      <c r="G720" s="8"/>
      <c r="H720" s="8">
        <v>5</v>
      </c>
      <c r="I720" s="8">
        <f>H720-D720</f>
        <v>-10.199999999999999</v>
      </c>
      <c r="K720" s="3"/>
      <c r="M720" s="3">
        <v>15.2</v>
      </c>
      <c r="O720" s="3">
        <v>15.2</v>
      </c>
      <c r="Q720" s="3">
        <f>O720-H720</f>
        <v>10.199999999999999</v>
      </c>
      <c r="R720" s="3">
        <v>26.98</v>
      </c>
      <c r="T720" s="3">
        <f>R720-O720</f>
        <v>11.780000000000001</v>
      </c>
      <c r="U720" s="3">
        <v>26.98</v>
      </c>
      <c r="V720" s="1" t="s">
        <v>693</v>
      </c>
      <c r="W720" s="3">
        <f>U720-R720</f>
        <v>0</v>
      </c>
      <c r="X720" s="3">
        <v>26.98</v>
      </c>
      <c r="AE720" s="1" t="s">
        <v>285</v>
      </c>
      <c r="AH720" s="1" t="s">
        <v>285</v>
      </c>
      <c r="AK720" s="1" t="s">
        <v>285</v>
      </c>
      <c r="AN720" s="1" t="s">
        <v>285</v>
      </c>
      <c r="AQ720" s="1" t="s">
        <v>285</v>
      </c>
      <c r="AT720" s="1" t="s">
        <v>285</v>
      </c>
      <c r="AW720" s="1" t="s">
        <v>285</v>
      </c>
      <c r="BA720" s="1" t="s">
        <v>285</v>
      </c>
      <c r="BE720" s="1" t="s">
        <v>285</v>
      </c>
      <c r="BI720" s="1" t="s">
        <v>285</v>
      </c>
    </row>
    <row r="721" spans="1:61">
      <c r="A721" s="6">
        <v>1</v>
      </c>
      <c r="B721" s="103" t="s">
        <v>164</v>
      </c>
      <c r="C721" s="1" t="s">
        <v>52</v>
      </c>
      <c r="D721" s="2" t="s">
        <v>659</v>
      </c>
      <c r="E721" s="2"/>
      <c r="F721" s="2" t="s">
        <v>659</v>
      </c>
      <c r="G721" s="8"/>
      <c r="H721" s="2" t="s">
        <v>659</v>
      </c>
      <c r="I721" s="8"/>
      <c r="M721" s="2" t="s">
        <v>659</v>
      </c>
      <c r="N721" s="2"/>
      <c r="O721" s="2" t="s">
        <v>659</v>
      </c>
      <c r="R721" s="2" t="s">
        <v>659</v>
      </c>
      <c r="U721" s="3">
        <v>5</v>
      </c>
      <c r="W721" s="3"/>
      <c r="Y721" s="1" t="s">
        <v>285</v>
      </c>
    </row>
    <row r="722" spans="1:61">
      <c r="A722" s="6">
        <v>3</v>
      </c>
      <c r="B722" s="103" t="s">
        <v>164</v>
      </c>
      <c r="C722" s="1" t="s">
        <v>54</v>
      </c>
      <c r="D722" s="2" t="s">
        <v>659</v>
      </c>
      <c r="E722" s="2"/>
      <c r="F722" s="2" t="s">
        <v>659</v>
      </c>
      <c r="G722" s="8"/>
      <c r="H722" s="2" t="s">
        <v>659</v>
      </c>
      <c r="I722" s="8"/>
      <c r="M722" s="2" t="s">
        <v>659</v>
      </c>
      <c r="N722" s="2"/>
      <c r="O722" s="2" t="s">
        <v>659</v>
      </c>
      <c r="R722" s="2" t="s">
        <v>659</v>
      </c>
      <c r="U722" s="3" t="s">
        <v>653</v>
      </c>
      <c r="Y722" s="1" t="s">
        <v>285</v>
      </c>
    </row>
    <row r="723" spans="1:61">
      <c r="A723" s="6">
        <v>4</v>
      </c>
      <c r="B723" s="103" t="s">
        <v>164</v>
      </c>
      <c r="C723" s="1" t="s">
        <v>55</v>
      </c>
      <c r="D723" s="2" t="s">
        <v>659</v>
      </c>
      <c r="E723" s="2"/>
      <c r="F723" s="2" t="s">
        <v>659</v>
      </c>
      <c r="G723" s="8"/>
      <c r="H723" s="2" t="s">
        <v>659</v>
      </c>
      <c r="I723" s="8"/>
      <c r="M723" s="2" t="s">
        <v>659</v>
      </c>
      <c r="N723" s="2"/>
      <c r="O723" s="2" t="s">
        <v>659</v>
      </c>
      <c r="R723" s="2" t="s">
        <v>659</v>
      </c>
      <c r="U723" s="3" t="s">
        <v>653</v>
      </c>
      <c r="Y723" s="1" t="s">
        <v>285</v>
      </c>
    </row>
    <row r="724" spans="1:61">
      <c r="A724" s="6">
        <v>5</v>
      </c>
      <c r="B724" s="103" t="s">
        <v>164</v>
      </c>
      <c r="C724" s="1" t="s">
        <v>56</v>
      </c>
      <c r="D724" s="2" t="s">
        <v>659</v>
      </c>
      <c r="E724" s="2"/>
      <c r="F724" s="2" t="s">
        <v>659</v>
      </c>
      <c r="G724" s="8"/>
      <c r="H724" s="2" t="s">
        <v>659</v>
      </c>
      <c r="I724" s="8"/>
      <c r="M724" s="2" t="s">
        <v>659</v>
      </c>
      <c r="N724" s="2"/>
      <c r="O724" s="2" t="s">
        <v>659</v>
      </c>
      <c r="R724" s="2" t="s">
        <v>659</v>
      </c>
      <c r="U724" s="3" t="s">
        <v>653</v>
      </c>
      <c r="Y724" s="1" t="s">
        <v>285</v>
      </c>
    </row>
    <row r="725" spans="1:61">
      <c r="A725" s="6">
        <v>2</v>
      </c>
      <c r="B725" s="103" t="s">
        <v>164</v>
      </c>
      <c r="C725" s="1" t="s">
        <v>53</v>
      </c>
      <c r="D725" s="2">
        <v>20</v>
      </c>
      <c r="E725" s="2"/>
      <c r="F725" s="3">
        <v>7.8</v>
      </c>
      <c r="G725" s="8"/>
      <c r="H725" s="3">
        <v>7.8</v>
      </c>
      <c r="I725" s="8"/>
      <c r="M725" s="3">
        <v>18.93</v>
      </c>
      <c r="O725" s="3">
        <v>18.93</v>
      </c>
      <c r="Q725" s="3">
        <f>O725-H725</f>
        <v>11.129999999999999</v>
      </c>
      <c r="R725" s="2" t="s">
        <v>659</v>
      </c>
      <c r="U725" s="3">
        <v>6.5</v>
      </c>
      <c r="Y725" s="1" t="s">
        <v>285</v>
      </c>
    </row>
    <row r="726" spans="1:61">
      <c r="B726" s="103" t="s">
        <v>164</v>
      </c>
      <c r="C726" s="1" t="s">
        <v>597</v>
      </c>
      <c r="D726" s="2"/>
      <c r="E726" s="2"/>
      <c r="F726" s="3"/>
      <c r="G726" s="8"/>
      <c r="H726" s="3"/>
      <c r="I726" s="8"/>
      <c r="Q726" s="3"/>
      <c r="R726" s="2"/>
      <c r="AF726" s="24"/>
      <c r="AJ726" s="3">
        <v>1.5</v>
      </c>
    </row>
    <row r="727" spans="1:61">
      <c r="B727" s="103" t="s">
        <v>164</v>
      </c>
      <c r="C727" s="1" t="s">
        <v>595</v>
      </c>
      <c r="D727" s="2"/>
      <c r="E727" s="2"/>
      <c r="F727" s="3"/>
      <c r="G727" s="8"/>
      <c r="H727" s="3"/>
      <c r="I727" s="8"/>
      <c r="Q727" s="3"/>
      <c r="R727" s="2"/>
      <c r="AD727" s="24">
        <v>1.32</v>
      </c>
      <c r="AG727" s="3">
        <v>1.32</v>
      </c>
      <c r="AI727" s="3">
        <f>AG727-AD727</f>
        <v>0</v>
      </c>
      <c r="AJ727" s="3">
        <v>1.32</v>
      </c>
      <c r="AL727" s="3">
        <f>AJ727-AG727</f>
        <v>0</v>
      </c>
      <c r="AM727" s="3">
        <v>1.5</v>
      </c>
      <c r="AO727" s="3">
        <f>AM727-AJ727</f>
        <v>0.17999999999999994</v>
      </c>
      <c r="AP727" s="3">
        <v>1.5</v>
      </c>
    </row>
    <row r="728" spans="1:61">
      <c r="A728" s="6">
        <v>12</v>
      </c>
      <c r="B728" s="103" t="s">
        <v>164</v>
      </c>
      <c r="C728" s="1" t="s">
        <v>594</v>
      </c>
      <c r="D728" s="2">
        <v>3</v>
      </c>
      <c r="E728" s="2"/>
      <c r="F728" s="3">
        <v>3.12</v>
      </c>
      <c r="G728" s="8"/>
      <c r="H728" s="3">
        <v>3.12</v>
      </c>
      <c r="I728" s="8"/>
      <c r="M728" s="3">
        <v>3.76</v>
      </c>
      <c r="O728" s="3">
        <v>3.76</v>
      </c>
      <c r="Q728" s="3">
        <f>O728-H728</f>
        <v>0.63999999999999968</v>
      </c>
      <c r="R728" s="2" t="s">
        <v>659</v>
      </c>
      <c r="U728" s="3">
        <v>3.12</v>
      </c>
      <c r="Y728" s="1" t="s">
        <v>285</v>
      </c>
      <c r="AA728" s="3">
        <f>2.3*2.205</f>
        <v>5.0714999999999995</v>
      </c>
      <c r="AB728" s="1" t="s">
        <v>477</v>
      </c>
      <c r="AD728" s="24">
        <v>1.32</v>
      </c>
      <c r="AF728" s="24">
        <f>AD728-AA728</f>
        <v>-3.7514999999999992</v>
      </c>
      <c r="AG728" s="3">
        <v>1.5</v>
      </c>
      <c r="AI728" s="3">
        <f>AG728-AD728</f>
        <v>0.17999999999999994</v>
      </c>
      <c r="AJ728" s="3">
        <v>1.5</v>
      </c>
      <c r="AL728" s="3">
        <f>AJ728-AG728</f>
        <v>0</v>
      </c>
      <c r="AM728" s="3">
        <v>1.7</v>
      </c>
      <c r="AO728" s="3">
        <f>AM728-AJ728</f>
        <v>0.19999999999999996</v>
      </c>
      <c r="AP728" s="3">
        <v>1.7</v>
      </c>
      <c r="AS728" s="3">
        <v>1.7</v>
      </c>
      <c r="AV728" s="3">
        <v>1.7</v>
      </c>
      <c r="AZ728" s="3">
        <v>1.8</v>
      </c>
      <c r="BA728" s="1" t="s">
        <v>852</v>
      </c>
      <c r="BC728" s="3">
        <v>1.8</v>
      </c>
      <c r="BD728" s="3">
        <v>2</v>
      </c>
      <c r="BE728" s="1" t="s">
        <v>852</v>
      </c>
      <c r="BG728" s="3">
        <v>2</v>
      </c>
      <c r="BH728" s="3">
        <v>9.17</v>
      </c>
      <c r="BI728" s="1" t="s">
        <v>852</v>
      </c>
    </row>
    <row r="729" spans="1:61">
      <c r="A729" s="6">
        <v>14</v>
      </c>
      <c r="B729" s="103" t="s">
        <v>164</v>
      </c>
      <c r="C729" s="1" t="s">
        <v>58</v>
      </c>
      <c r="D729" s="2">
        <v>20</v>
      </c>
      <c r="E729" s="2"/>
      <c r="F729" s="3">
        <v>12.03</v>
      </c>
      <c r="G729" s="8"/>
      <c r="H729" s="3">
        <v>12.03</v>
      </c>
      <c r="I729" s="8"/>
      <c r="Q729" s="3"/>
      <c r="R729" s="2" t="s">
        <v>659</v>
      </c>
      <c r="U729" s="3" t="s">
        <v>653</v>
      </c>
      <c r="Y729" s="1" t="s">
        <v>285</v>
      </c>
      <c r="AA729" s="3">
        <f>8.3*2.205</f>
        <v>18.301500000000001</v>
      </c>
      <c r="AB729" s="1" t="s">
        <v>478</v>
      </c>
      <c r="AD729" s="24">
        <v>2.95</v>
      </c>
      <c r="AF729" s="24">
        <f>AD729-AA729</f>
        <v>-15.351500000000001</v>
      </c>
      <c r="AG729" s="3">
        <v>3.1</v>
      </c>
      <c r="AI729" s="3">
        <f>AG729-AD729</f>
        <v>0.14999999999999991</v>
      </c>
      <c r="AJ729" s="3">
        <v>3.1</v>
      </c>
      <c r="AL729" s="3">
        <f>AJ729-AG729</f>
        <v>0</v>
      </c>
      <c r="AM729" s="3">
        <v>3.1</v>
      </c>
      <c r="AO729" s="3">
        <f>AM729-AJ729</f>
        <v>0</v>
      </c>
      <c r="AP729" s="3">
        <v>3.1</v>
      </c>
      <c r="AS729" s="3">
        <v>3.1</v>
      </c>
      <c r="AV729" s="3">
        <v>3.1</v>
      </c>
      <c r="AZ729" s="3">
        <v>3.2</v>
      </c>
      <c r="BA729" s="1" t="s">
        <v>852</v>
      </c>
      <c r="BC729" s="3">
        <v>3.2</v>
      </c>
      <c r="BD729" s="3">
        <v>3.6</v>
      </c>
      <c r="BE729" s="1" t="s">
        <v>852</v>
      </c>
      <c r="BG729" s="3">
        <v>3.6</v>
      </c>
      <c r="BH729" s="3">
        <v>13.63</v>
      </c>
      <c r="BI729" s="1" t="s">
        <v>852</v>
      </c>
    </row>
    <row r="730" spans="1:61">
      <c r="B730" s="103" t="s">
        <v>164</v>
      </c>
      <c r="C730" s="1" t="s">
        <v>290</v>
      </c>
      <c r="D730" s="2"/>
      <c r="E730" s="2"/>
      <c r="F730" s="3"/>
      <c r="G730" s="8"/>
      <c r="H730" s="3"/>
      <c r="I730" s="8"/>
      <c r="Q730" s="3"/>
      <c r="R730" s="2"/>
      <c r="AF730" s="24"/>
      <c r="AI730" s="3"/>
      <c r="AL730" s="3"/>
      <c r="AO730" s="3"/>
      <c r="AV730" s="3">
        <v>9.48</v>
      </c>
      <c r="AZ730" s="3">
        <v>9</v>
      </c>
      <c r="BA730" s="1" t="s">
        <v>852</v>
      </c>
      <c r="BC730" s="3">
        <v>9</v>
      </c>
      <c r="BG730" s="3">
        <v>9</v>
      </c>
      <c r="BH730" s="3">
        <v>14.3</v>
      </c>
      <c r="BI730" s="1" t="s">
        <v>852</v>
      </c>
    </row>
    <row r="731" spans="1:61">
      <c r="B731" s="103" t="s">
        <v>164</v>
      </c>
      <c r="C731" s="1" t="s">
        <v>64</v>
      </c>
      <c r="D731" s="2"/>
      <c r="E731" s="2"/>
      <c r="F731" s="3"/>
      <c r="G731" s="8"/>
      <c r="H731" s="3"/>
      <c r="I731" s="8"/>
      <c r="Q731" s="3"/>
      <c r="R731" s="2"/>
      <c r="Y731" s="1" t="s">
        <v>285</v>
      </c>
      <c r="AA731" s="3">
        <f>8*2.205</f>
        <v>17.64</v>
      </c>
      <c r="AB731" s="1" t="s">
        <v>479</v>
      </c>
      <c r="AD731" s="24">
        <v>3.22</v>
      </c>
      <c r="AF731" s="24">
        <f>AD731-AA731</f>
        <v>-14.42</v>
      </c>
      <c r="AG731" s="3">
        <v>3.22</v>
      </c>
      <c r="AI731" s="3">
        <f>AG731-AD731</f>
        <v>0</v>
      </c>
      <c r="AJ731" s="3">
        <v>3.2</v>
      </c>
      <c r="AL731" s="3">
        <f>AJ731-AG731</f>
        <v>-2.0000000000000018E-2</v>
      </c>
      <c r="AM731" s="3">
        <v>3.22</v>
      </c>
      <c r="AO731" s="3">
        <f>AM731-AJ731</f>
        <v>2.0000000000000018E-2</v>
      </c>
      <c r="AP731" s="3">
        <v>3.22</v>
      </c>
      <c r="AS731" s="3">
        <v>3.22</v>
      </c>
      <c r="AV731" s="3">
        <v>3.22</v>
      </c>
      <c r="AZ731" s="3">
        <v>3.5</v>
      </c>
      <c r="BA731" s="1" t="s">
        <v>852</v>
      </c>
      <c r="BC731" s="3">
        <v>3.5</v>
      </c>
      <c r="BD731" s="3">
        <v>2.5</v>
      </c>
      <c r="BE731" s="1" t="s">
        <v>852</v>
      </c>
    </row>
    <row r="732" spans="1:61">
      <c r="B732" s="103" t="s">
        <v>164</v>
      </c>
      <c r="C732" s="1" t="s">
        <v>855</v>
      </c>
      <c r="D732" s="2"/>
      <c r="E732" s="2"/>
      <c r="F732" s="3"/>
      <c r="G732" s="8"/>
      <c r="H732" s="3"/>
      <c r="I732" s="8"/>
      <c r="Q732" s="3"/>
      <c r="R732" s="2"/>
      <c r="AF732" s="24"/>
      <c r="AI732" s="3"/>
      <c r="AL732" s="3"/>
      <c r="AO732" s="3"/>
      <c r="AZ732" s="3">
        <v>3.5</v>
      </c>
      <c r="BA732" s="1" t="s">
        <v>852</v>
      </c>
      <c r="BC732" s="3">
        <v>3.5</v>
      </c>
      <c r="BD732" s="3">
        <v>2.5</v>
      </c>
      <c r="BE732" s="1" t="s">
        <v>852</v>
      </c>
    </row>
    <row r="733" spans="1:61">
      <c r="B733" s="103" t="s">
        <v>164</v>
      </c>
      <c r="C733" s="1" t="s">
        <v>286</v>
      </c>
      <c r="D733" s="2"/>
      <c r="E733" s="2"/>
      <c r="F733" s="3"/>
      <c r="G733" s="8"/>
      <c r="H733" s="3"/>
      <c r="I733" s="8"/>
      <c r="Q733" s="3"/>
      <c r="R733" s="2"/>
      <c r="AF733" s="24"/>
      <c r="AG733" s="3">
        <v>3.22</v>
      </c>
      <c r="AM733" s="3">
        <v>3.22</v>
      </c>
      <c r="AP733" s="3">
        <v>3.22</v>
      </c>
      <c r="AS733" s="3">
        <v>3.22</v>
      </c>
      <c r="AV733" s="3">
        <v>3.22</v>
      </c>
      <c r="AZ733" s="3">
        <v>3.5</v>
      </c>
      <c r="BA733" s="1" t="s">
        <v>852</v>
      </c>
      <c r="BC733" s="3">
        <v>3.5</v>
      </c>
      <c r="BD733" s="3">
        <v>2.5</v>
      </c>
      <c r="BE733" s="1" t="s">
        <v>852</v>
      </c>
    </row>
    <row r="734" spans="1:61">
      <c r="B734" s="103" t="s">
        <v>164</v>
      </c>
      <c r="C734" s="1" t="s">
        <v>288</v>
      </c>
      <c r="D734" s="2"/>
      <c r="E734" s="2"/>
      <c r="F734" s="3"/>
      <c r="G734" s="8"/>
      <c r="H734" s="3"/>
      <c r="I734" s="8"/>
      <c r="Q734" s="3"/>
      <c r="R734" s="2"/>
      <c r="AD734" s="24">
        <v>3.22</v>
      </c>
      <c r="AG734" s="3">
        <v>3.22</v>
      </c>
      <c r="AI734" s="3">
        <f>AG734-AD734</f>
        <v>0</v>
      </c>
      <c r="AJ734" s="3">
        <v>3.2</v>
      </c>
      <c r="AL734" s="3">
        <f>AJ734-AG734</f>
        <v>-2.0000000000000018E-2</v>
      </c>
      <c r="AM734" s="3">
        <v>3.22</v>
      </c>
      <c r="AO734" s="3">
        <f>AM734-AJ734</f>
        <v>2.0000000000000018E-2</v>
      </c>
      <c r="AP734" s="3">
        <v>3.22</v>
      </c>
      <c r="AS734" s="3">
        <v>3.22</v>
      </c>
      <c r="AV734" s="3">
        <v>3.22</v>
      </c>
      <c r="AZ734" s="3">
        <v>3.5</v>
      </c>
      <c r="BA734" s="1" t="s">
        <v>852</v>
      </c>
      <c r="BC734" s="3">
        <v>3.5</v>
      </c>
      <c r="BD734" s="3">
        <v>2.5</v>
      </c>
      <c r="BE734" s="1" t="s">
        <v>852</v>
      </c>
      <c r="BG734" s="3">
        <v>2.5</v>
      </c>
      <c r="BH734" s="3">
        <v>16.5</v>
      </c>
      <c r="BI734" s="1" t="s">
        <v>852</v>
      </c>
    </row>
    <row r="735" spans="1:61">
      <c r="A735" s="6">
        <v>11</v>
      </c>
      <c r="B735" s="103" t="s">
        <v>164</v>
      </c>
      <c r="C735" s="1" t="s">
        <v>57</v>
      </c>
      <c r="D735" s="2">
        <v>20</v>
      </c>
      <c r="E735" s="2"/>
      <c r="F735" s="3">
        <v>8.91</v>
      </c>
      <c r="G735" s="8"/>
      <c r="H735" s="3">
        <v>8.91</v>
      </c>
      <c r="I735" s="8"/>
      <c r="M735" s="3">
        <v>18.27</v>
      </c>
      <c r="O735" s="3">
        <v>18.27</v>
      </c>
      <c r="Q735" s="3">
        <f>O735-H735</f>
        <v>9.36</v>
      </c>
      <c r="R735" s="2" t="s">
        <v>659</v>
      </c>
      <c r="U735" s="3">
        <v>8.9</v>
      </c>
      <c r="Y735" s="1" t="s">
        <v>285</v>
      </c>
    </row>
    <row r="736" spans="1:61">
      <c r="B736" s="103" t="s">
        <v>164</v>
      </c>
      <c r="C736" s="1" t="s">
        <v>287</v>
      </c>
      <c r="D736" s="2"/>
      <c r="E736" s="2"/>
      <c r="F736" s="3"/>
      <c r="G736" s="8"/>
      <c r="H736" s="3"/>
      <c r="I736" s="8"/>
      <c r="Q736" s="3"/>
      <c r="R736" s="2"/>
      <c r="Y736" s="1" t="s">
        <v>285</v>
      </c>
      <c r="AA736" s="3">
        <f>8*2.205</f>
        <v>17.64</v>
      </c>
      <c r="AB736" s="1" t="s">
        <v>479</v>
      </c>
      <c r="AD736" s="24">
        <v>3.22</v>
      </c>
      <c r="AF736" s="24">
        <f>AD736-AA736</f>
        <v>-14.42</v>
      </c>
      <c r="AG736" s="3">
        <v>3.22</v>
      </c>
      <c r="AI736" s="3">
        <f>AG736-AD736</f>
        <v>0</v>
      </c>
      <c r="AJ736" s="3">
        <v>3.2</v>
      </c>
      <c r="AL736" s="3">
        <f>AJ736-AG736</f>
        <v>-2.0000000000000018E-2</v>
      </c>
      <c r="AM736" s="3">
        <v>3.22</v>
      </c>
      <c r="AO736" s="3">
        <f>AM736-AJ736</f>
        <v>2.0000000000000018E-2</v>
      </c>
      <c r="AP736" s="3">
        <v>3.22</v>
      </c>
      <c r="AS736" s="3">
        <v>3.22</v>
      </c>
      <c r="AV736" s="3">
        <v>3.22</v>
      </c>
    </row>
    <row r="737" spans="1:61">
      <c r="A737" s="6">
        <v>1</v>
      </c>
      <c r="B737" s="103" t="s">
        <v>664</v>
      </c>
      <c r="C737" s="1" t="s">
        <v>52</v>
      </c>
      <c r="D737" s="2">
        <v>11.36</v>
      </c>
      <c r="E737" s="2"/>
      <c r="F737" s="8">
        <v>11.36</v>
      </c>
      <c r="G737" s="8"/>
      <c r="H737" s="8">
        <v>11.36</v>
      </c>
      <c r="I737" s="8">
        <f>H737-D737</f>
        <v>0</v>
      </c>
      <c r="L737" s="1" t="s">
        <v>786</v>
      </c>
      <c r="M737" s="3">
        <v>16.239999999999998</v>
      </c>
      <c r="O737" s="3">
        <v>16.239999999999998</v>
      </c>
      <c r="Q737" s="3">
        <f>O737-H737</f>
        <v>4.879999999999999</v>
      </c>
      <c r="R737" s="3">
        <v>16.39</v>
      </c>
      <c r="T737" s="2">
        <f>R737-O737</f>
        <v>0.15000000000000213</v>
      </c>
      <c r="V737" s="1" t="s">
        <v>285</v>
      </c>
      <c r="Y737" s="1" t="s">
        <v>285</v>
      </c>
      <c r="AQ737" s="1" t="s">
        <v>285</v>
      </c>
      <c r="AT737" s="1" t="s">
        <v>285</v>
      </c>
      <c r="AW737" s="1" t="s">
        <v>285</v>
      </c>
    </row>
    <row r="738" spans="1:61">
      <c r="A738" s="6">
        <v>3</v>
      </c>
      <c r="B738" s="103" t="s">
        <v>664</v>
      </c>
      <c r="C738" s="1" t="s">
        <v>54</v>
      </c>
      <c r="D738" s="2">
        <v>329.12</v>
      </c>
      <c r="E738" s="2"/>
      <c r="F738" s="8">
        <v>329.12</v>
      </c>
      <c r="G738" s="8"/>
      <c r="H738" s="8">
        <v>329.12</v>
      </c>
      <c r="I738" s="8">
        <f>H738-D738</f>
        <v>0</v>
      </c>
      <c r="L738" s="1" t="s">
        <v>216</v>
      </c>
      <c r="M738" s="3">
        <v>220</v>
      </c>
      <c r="O738" s="3">
        <v>220</v>
      </c>
      <c r="Q738" s="3">
        <f>O738-H738</f>
        <v>-109.12</v>
      </c>
      <c r="R738" s="3">
        <v>3568.8</v>
      </c>
      <c r="T738" s="3">
        <f>R738-O738</f>
        <v>3348.8</v>
      </c>
      <c r="V738" s="1" t="s">
        <v>285</v>
      </c>
      <c r="Y738" s="1" t="s">
        <v>285</v>
      </c>
      <c r="AQ738" s="1" t="s">
        <v>285</v>
      </c>
      <c r="AT738" s="1" t="s">
        <v>285</v>
      </c>
      <c r="AW738" s="1" t="s">
        <v>285</v>
      </c>
    </row>
    <row r="739" spans="1:61">
      <c r="A739" s="6">
        <v>4</v>
      </c>
      <c r="B739" s="103" t="s">
        <v>664</v>
      </c>
      <c r="C739" s="1" t="s">
        <v>55</v>
      </c>
      <c r="D739" s="2"/>
      <c r="E739" s="2"/>
      <c r="F739" s="8"/>
      <c r="G739" s="8"/>
      <c r="H739" s="8"/>
      <c r="I739" s="8"/>
      <c r="V739" s="1" t="s">
        <v>285</v>
      </c>
      <c r="Y739" s="1" t="s">
        <v>285</v>
      </c>
      <c r="AQ739" s="1" t="s">
        <v>285</v>
      </c>
      <c r="AT739" s="1" t="s">
        <v>285</v>
      </c>
      <c r="AW739" s="1" t="s">
        <v>285</v>
      </c>
    </row>
    <row r="740" spans="1:61">
      <c r="A740" s="6">
        <v>5</v>
      </c>
      <c r="B740" s="103" t="s">
        <v>664</v>
      </c>
      <c r="C740" s="1" t="s">
        <v>56</v>
      </c>
      <c r="D740" s="2"/>
      <c r="E740" s="2"/>
      <c r="F740" s="8"/>
      <c r="G740" s="8"/>
      <c r="H740" s="8"/>
      <c r="I740" s="8"/>
      <c r="V740" s="1" t="s">
        <v>285</v>
      </c>
      <c r="Y740" s="1" t="s">
        <v>285</v>
      </c>
      <c r="AQ740" s="1" t="s">
        <v>285</v>
      </c>
      <c r="AT740" s="1" t="s">
        <v>285</v>
      </c>
      <c r="AW740" s="1" t="s">
        <v>285</v>
      </c>
    </row>
    <row r="741" spans="1:61">
      <c r="A741" s="6">
        <v>2</v>
      </c>
      <c r="B741" s="103" t="s">
        <v>664</v>
      </c>
      <c r="C741" s="1" t="s">
        <v>53</v>
      </c>
      <c r="D741" s="2">
        <v>12.32</v>
      </c>
      <c r="E741" s="2"/>
      <c r="F741" s="8">
        <v>12.32</v>
      </c>
      <c r="G741" s="8"/>
      <c r="H741" s="8">
        <v>12.32</v>
      </c>
      <c r="I741" s="10">
        <f>H741-D741</f>
        <v>0</v>
      </c>
      <c r="L741" s="1" t="s">
        <v>73</v>
      </c>
      <c r="M741" s="3">
        <v>12.32</v>
      </c>
      <c r="O741" s="3">
        <v>12.32</v>
      </c>
      <c r="Q741" s="3">
        <f>O741-H741</f>
        <v>0</v>
      </c>
      <c r="R741" s="3">
        <v>14</v>
      </c>
      <c r="T741" s="3">
        <f>R741-O741</f>
        <v>1.6799999999999997</v>
      </c>
      <c r="V741" s="1" t="s">
        <v>285</v>
      </c>
      <c r="Y741" s="1" t="s">
        <v>285</v>
      </c>
      <c r="AQ741" s="1" t="s">
        <v>285</v>
      </c>
      <c r="AT741" s="1" t="s">
        <v>285</v>
      </c>
      <c r="AW741" s="1" t="s">
        <v>285</v>
      </c>
    </row>
    <row r="742" spans="1:61">
      <c r="B742" s="103" t="s">
        <v>664</v>
      </c>
      <c r="C742" s="1" t="s">
        <v>158</v>
      </c>
      <c r="D742" s="2"/>
      <c r="E742" s="2"/>
      <c r="F742" s="8"/>
      <c r="G742" s="8"/>
      <c r="H742" s="8"/>
      <c r="T742" s="3"/>
      <c r="AD742" s="24">
        <v>3.5</v>
      </c>
      <c r="AQ742" s="1" t="s">
        <v>285</v>
      </c>
      <c r="AT742" s="1" t="s">
        <v>285</v>
      </c>
      <c r="AW742" s="1" t="s">
        <v>285</v>
      </c>
    </row>
    <row r="743" spans="1:61">
      <c r="B743" s="103" t="s">
        <v>664</v>
      </c>
      <c r="C743" s="1" t="s">
        <v>597</v>
      </c>
      <c r="D743" s="2"/>
      <c r="E743" s="2"/>
      <c r="F743" s="8"/>
      <c r="G743" s="8"/>
      <c r="H743" s="8"/>
      <c r="T743" s="3"/>
      <c r="AA743" s="3">
        <v>9.9</v>
      </c>
      <c r="AD743" s="24">
        <v>6.17</v>
      </c>
      <c r="AF743" s="24">
        <f>AD743-AA743</f>
        <v>-3.7300000000000004</v>
      </c>
      <c r="AG743" s="3">
        <v>7.2</v>
      </c>
      <c r="AJ743" s="3">
        <v>19.3</v>
      </c>
      <c r="AM743" s="3">
        <v>27.14</v>
      </c>
      <c r="AQ743" s="1" t="s">
        <v>285</v>
      </c>
      <c r="AT743" s="1" t="s">
        <v>285</v>
      </c>
      <c r="AW743" s="1" t="s">
        <v>285</v>
      </c>
      <c r="AZ743" s="3">
        <v>30.17</v>
      </c>
      <c r="BD743" s="3">
        <v>64.59</v>
      </c>
      <c r="BE743" s="1" t="s">
        <v>942</v>
      </c>
    </row>
    <row r="744" spans="1:61">
      <c r="B744" s="103" t="s">
        <v>664</v>
      </c>
      <c r="C744" s="1" t="s">
        <v>595</v>
      </c>
      <c r="D744" s="2"/>
      <c r="E744" s="2"/>
      <c r="F744" s="8"/>
      <c r="G744" s="8"/>
      <c r="H744" s="8"/>
      <c r="R744" s="3">
        <v>8.24</v>
      </c>
      <c r="T744" s="3"/>
      <c r="V744" s="1" t="s">
        <v>285</v>
      </c>
      <c r="Y744" s="1" t="s">
        <v>285</v>
      </c>
      <c r="AA744" s="3">
        <v>2.85</v>
      </c>
      <c r="AD744" s="24">
        <v>5</v>
      </c>
      <c r="AF744" s="24">
        <f>AD744-AA744</f>
        <v>2.15</v>
      </c>
      <c r="AG744" s="3">
        <v>2.97</v>
      </c>
      <c r="AI744" s="3">
        <f>AG744-AD744</f>
        <v>-2.0299999999999998</v>
      </c>
      <c r="AJ744" s="3">
        <v>5.5</v>
      </c>
      <c r="AL744" s="3">
        <f>AJ744-AG744</f>
        <v>2.5299999999999998</v>
      </c>
      <c r="AM744" s="3">
        <v>5.7</v>
      </c>
      <c r="AO744" s="3">
        <f>AM744-AJ744</f>
        <v>0.20000000000000018</v>
      </c>
      <c r="AQ744" s="1" t="s">
        <v>285</v>
      </c>
      <c r="AT744" s="1" t="s">
        <v>285</v>
      </c>
      <c r="AW744" s="1" t="s">
        <v>285</v>
      </c>
      <c r="AZ744" s="3">
        <v>3.79</v>
      </c>
    </row>
    <row r="745" spans="1:61">
      <c r="B745" s="103" t="s">
        <v>664</v>
      </c>
      <c r="C745" s="1" t="s">
        <v>700</v>
      </c>
      <c r="D745" s="2"/>
      <c r="E745" s="2"/>
      <c r="F745" s="8"/>
      <c r="G745" s="8"/>
      <c r="H745" s="8"/>
      <c r="T745" s="3"/>
      <c r="AA745" s="3">
        <v>2.77</v>
      </c>
      <c r="AD745" s="24">
        <v>4.3</v>
      </c>
      <c r="AF745" s="24">
        <f>AD745-AA745</f>
        <v>1.5299999999999998</v>
      </c>
      <c r="AG745" s="3">
        <v>3.16</v>
      </c>
      <c r="AJ745" s="3">
        <v>2.9</v>
      </c>
      <c r="AM745" s="3">
        <v>3.1</v>
      </c>
      <c r="AQ745" s="1" t="s">
        <v>285</v>
      </c>
      <c r="AT745" s="1" t="s">
        <v>285</v>
      </c>
      <c r="AW745" s="1" t="s">
        <v>285</v>
      </c>
    </row>
    <row r="746" spans="1:61">
      <c r="A746" s="6">
        <v>12</v>
      </c>
      <c r="B746" s="103" t="s">
        <v>664</v>
      </c>
      <c r="C746" s="1" t="s">
        <v>594</v>
      </c>
      <c r="D746" s="2">
        <v>3.15</v>
      </c>
      <c r="E746" s="2"/>
      <c r="F746" s="8">
        <v>3.15</v>
      </c>
      <c r="G746" s="8"/>
      <c r="H746" s="8">
        <v>3.15</v>
      </c>
      <c r="I746" s="9">
        <f>H746-D746</f>
        <v>0</v>
      </c>
      <c r="M746" s="3">
        <v>2.72</v>
      </c>
      <c r="O746" s="3">
        <v>2.72</v>
      </c>
      <c r="Q746" s="3">
        <f>O746-H746</f>
        <v>-0.42999999999999972</v>
      </c>
      <c r="R746" s="3">
        <v>4.12</v>
      </c>
      <c r="T746" s="3">
        <f>R746-O746</f>
        <v>1.4</v>
      </c>
      <c r="V746" s="1" t="s">
        <v>285</v>
      </c>
      <c r="Y746" s="1" t="s">
        <v>285</v>
      </c>
      <c r="AA746" s="3">
        <v>3.77</v>
      </c>
      <c r="AD746" s="24">
        <v>5</v>
      </c>
      <c r="AF746" s="24">
        <f>AD746-AA746</f>
        <v>1.23</v>
      </c>
      <c r="AG746" s="3">
        <v>5</v>
      </c>
      <c r="AI746" s="3">
        <f>AG746-AD746</f>
        <v>0</v>
      </c>
      <c r="AJ746" s="3">
        <v>2.29</v>
      </c>
      <c r="AL746" s="3">
        <f>AJ746-AG746</f>
        <v>-2.71</v>
      </c>
      <c r="AM746" s="3">
        <v>2.2400000000000002</v>
      </c>
      <c r="AO746" s="3">
        <f>AM746-AJ746</f>
        <v>-4.9999999999999822E-2</v>
      </c>
      <c r="AQ746" s="1" t="s">
        <v>285</v>
      </c>
      <c r="AT746" s="1" t="s">
        <v>285</v>
      </c>
      <c r="AW746" s="1" t="s">
        <v>285</v>
      </c>
      <c r="AZ746" s="3">
        <v>3.17</v>
      </c>
      <c r="BD746" s="3">
        <v>2.4</v>
      </c>
      <c r="BE746" s="1" t="s">
        <v>942</v>
      </c>
      <c r="BH746" s="3">
        <v>3.15</v>
      </c>
      <c r="BI746" s="1" t="s">
        <v>942</v>
      </c>
    </row>
    <row r="747" spans="1:61">
      <c r="B747" s="103" t="s">
        <v>664</v>
      </c>
      <c r="C747" s="1" t="s">
        <v>372</v>
      </c>
      <c r="D747" s="2"/>
      <c r="E747" s="2"/>
      <c r="F747" s="8"/>
      <c r="G747" s="8"/>
      <c r="H747" s="8"/>
      <c r="T747" s="3"/>
      <c r="AF747" s="24"/>
      <c r="AI747" s="3"/>
      <c r="AL747" s="3"/>
      <c r="AO747" s="3"/>
      <c r="AZ747" s="3">
        <v>58.3</v>
      </c>
      <c r="BD747" s="3">
        <v>46.41</v>
      </c>
      <c r="BE747" s="1" t="s">
        <v>942</v>
      </c>
      <c r="BH747" s="3">
        <v>55.95</v>
      </c>
      <c r="BI747" s="1" t="s">
        <v>942</v>
      </c>
    </row>
    <row r="748" spans="1:61" ht="9.6" customHeight="1">
      <c r="A748" s="6">
        <v>14</v>
      </c>
      <c r="B748" s="103" t="s">
        <v>664</v>
      </c>
      <c r="C748" s="1" t="s">
        <v>58</v>
      </c>
      <c r="D748" s="2">
        <v>11.36</v>
      </c>
      <c r="E748" s="2"/>
      <c r="F748" s="8">
        <v>11.36</v>
      </c>
      <c r="G748" s="8"/>
      <c r="H748" s="8">
        <v>11.36</v>
      </c>
      <c r="I748" s="9">
        <f>H748-D748</f>
        <v>0</v>
      </c>
      <c r="L748" s="1" t="s">
        <v>306</v>
      </c>
      <c r="R748" s="3">
        <v>7.82</v>
      </c>
      <c r="T748" s="3"/>
      <c r="V748" s="1" t="s">
        <v>285</v>
      </c>
      <c r="Y748" s="1" t="s">
        <v>285</v>
      </c>
      <c r="AA748" s="3">
        <v>8.77</v>
      </c>
      <c r="AD748" s="24">
        <v>9.5</v>
      </c>
      <c r="AF748" s="24">
        <f>AD748-AA748</f>
        <v>0.73000000000000043</v>
      </c>
      <c r="AG748" s="3">
        <v>3.92</v>
      </c>
      <c r="AI748" s="3">
        <f>AG748-AD748</f>
        <v>-5.58</v>
      </c>
      <c r="AJ748" s="3">
        <v>3.12</v>
      </c>
      <c r="AL748" s="3">
        <f>AJ748-AG748</f>
        <v>-0.79999999999999982</v>
      </c>
      <c r="AM748" s="3">
        <v>2.72</v>
      </c>
      <c r="AO748" s="3">
        <f>AM748-AJ748</f>
        <v>-0.39999999999999991</v>
      </c>
      <c r="AQ748" s="1" t="s">
        <v>285</v>
      </c>
      <c r="AT748" s="1" t="s">
        <v>285</v>
      </c>
      <c r="AW748" s="1" t="s">
        <v>285</v>
      </c>
      <c r="AZ748" s="3">
        <v>4.41</v>
      </c>
      <c r="BD748" s="3">
        <v>5.08</v>
      </c>
      <c r="BE748" s="1" t="s">
        <v>942</v>
      </c>
      <c r="BH748" s="3">
        <v>6.1</v>
      </c>
      <c r="BI748" s="1" t="s">
        <v>942</v>
      </c>
    </row>
    <row r="749" spans="1:61" ht="9.6" customHeight="1">
      <c r="B749" s="103" t="s">
        <v>664</v>
      </c>
      <c r="C749" s="1" t="s">
        <v>868</v>
      </c>
      <c r="D749" s="2"/>
      <c r="E749" s="2"/>
      <c r="F749" s="8"/>
      <c r="G749" s="8"/>
      <c r="H749" s="8"/>
      <c r="T749" s="3"/>
      <c r="AF749" s="24"/>
      <c r="AI749" s="3"/>
      <c r="AL749" s="3"/>
      <c r="AO749" s="3"/>
      <c r="BH749" s="3">
        <v>36.01</v>
      </c>
      <c r="BI749" s="1" t="s">
        <v>942</v>
      </c>
    </row>
    <row r="750" spans="1:61" ht="9.6" customHeight="1">
      <c r="B750" s="103" t="s">
        <v>664</v>
      </c>
      <c r="C750" s="1" t="s">
        <v>607</v>
      </c>
      <c r="D750" s="2"/>
      <c r="E750" s="2"/>
      <c r="F750" s="8"/>
      <c r="G750" s="8"/>
      <c r="H750" s="8"/>
      <c r="T750" s="3"/>
      <c r="AF750" s="24"/>
      <c r="AI750" s="3"/>
      <c r="AL750" s="3"/>
      <c r="AO750" s="3"/>
      <c r="BH750" s="3">
        <v>98.58</v>
      </c>
      <c r="BI750" s="1" t="s">
        <v>942</v>
      </c>
    </row>
    <row r="751" spans="1:61">
      <c r="B751" s="103" t="s">
        <v>664</v>
      </c>
      <c r="C751" s="1" t="s">
        <v>854</v>
      </c>
      <c r="D751" s="2"/>
      <c r="E751" s="2"/>
      <c r="F751" s="8"/>
      <c r="G751" s="8"/>
      <c r="H751" s="8"/>
      <c r="T751" s="3"/>
      <c r="AF751" s="24"/>
      <c r="AI751" s="3"/>
      <c r="AL751" s="3"/>
      <c r="AO751" s="3"/>
      <c r="AZ751" s="3">
        <v>17.22</v>
      </c>
      <c r="BD751" s="3">
        <v>22</v>
      </c>
      <c r="BE751" s="1" t="s">
        <v>942</v>
      </c>
    </row>
    <row r="752" spans="1:61">
      <c r="B752" s="103" t="s">
        <v>664</v>
      </c>
      <c r="C752" s="1" t="s">
        <v>857</v>
      </c>
      <c r="D752" s="2"/>
      <c r="E752" s="2"/>
      <c r="F752" s="8"/>
      <c r="G752" s="8"/>
      <c r="H752" s="8"/>
      <c r="T752" s="3"/>
      <c r="AF752" s="24"/>
      <c r="AI752" s="3"/>
      <c r="AL752" s="3"/>
      <c r="AO752" s="3"/>
      <c r="BD752" s="3">
        <v>3.5</v>
      </c>
      <c r="BE752" s="1" t="s">
        <v>942</v>
      </c>
    </row>
    <row r="753" spans="1:61">
      <c r="B753" s="103" t="s">
        <v>664</v>
      </c>
      <c r="C753" s="1" t="s">
        <v>289</v>
      </c>
      <c r="D753" s="2"/>
      <c r="E753" s="2"/>
      <c r="F753" s="8"/>
      <c r="G753" s="8"/>
      <c r="H753" s="8"/>
      <c r="T753" s="3"/>
      <c r="AD753" s="24">
        <v>10.6</v>
      </c>
      <c r="AJ753" s="3">
        <v>4.51</v>
      </c>
      <c r="AM753" s="3">
        <v>4.41</v>
      </c>
      <c r="AO753" s="3">
        <f>AM753-AJ753</f>
        <v>-9.9999999999999645E-2</v>
      </c>
      <c r="AQ753" s="1" t="s">
        <v>285</v>
      </c>
      <c r="AT753" s="1" t="s">
        <v>285</v>
      </c>
      <c r="AW753" s="1" t="s">
        <v>285</v>
      </c>
      <c r="BD753" s="3">
        <v>3.38</v>
      </c>
      <c r="BE753" s="1" t="s">
        <v>942</v>
      </c>
    </row>
    <row r="754" spans="1:61">
      <c r="B754" s="103" t="s">
        <v>664</v>
      </c>
      <c r="C754" s="1" t="s">
        <v>74</v>
      </c>
      <c r="D754" s="2"/>
      <c r="E754" s="2"/>
      <c r="F754" s="8"/>
      <c r="G754" s="8"/>
      <c r="H754" s="8"/>
      <c r="T754" s="3"/>
      <c r="AD754" s="24">
        <v>3.5</v>
      </c>
      <c r="AQ754" s="1" t="s">
        <v>285</v>
      </c>
      <c r="AT754" s="1" t="s">
        <v>285</v>
      </c>
      <c r="AW754" s="1" t="s">
        <v>285</v>
      </c>
    </row>
    <row r="755" spans="1:61">
      <c r="B755" s="103" t="s">
        <v>664</v>
      </c>
      <c r="C755" s="1" t="s">
        <v>290</v>
      </c>
      <c r="D755" s="2"/>
      <c r="E755" s="2"/>
      <c r="F755" s="8"/>
      <c r="G755" s="8"/>
      <c r="H755" s="8"/>
      <c r="T755" s="3"/>
      <c r="AF755" s="24"/>
      <c r="AI755" s="3"/>
      <c r="AJ755" s="3">
        <v>6.73</v>
      </c>
      <c r="AM755" s="3">
        <v>6.61</v>
      </c>
      <c r="AO755" s="3">
        <f>AM755-AJ755</f>
        <v>-0.12000000000000011</v>
      </c>
      <c r="AQ755" s="1" t="s">
        <v>285</v>
      </c>
      <c r="AT755" s="1" t="s">
        <v>285</v>
      </c>
      <c r="AW755" s="1" t="s">
        <v>285</v>
      </c>
      <c r="BD755" s="3">
        <v>4.4000000000000004</v>
      </c>
      <c r="BE755" s="1" t="s">
        <v>942</v>
      </c>
    </row>
    <row r="756" spans="1:61">
      <c r="B756" s="103" t="s">
        <v>664</v>
      </c>
      <c r="C756" s="1" t="s">
        <v>860</v>
      </c>
      <c r="D756" s="2"/>
      <c r="E756" s="2"/>
      <c r="F756" s="8"/>
      <c r="G756" s="8"/>
      <c r="H756" s="8"/>
      <c r="T756" s="3"/>
      <c r="AF756" s="24"/>
      <c r="AI756" s="3"/>
      <c r="AL756" s="3"/>
      <c r="AO756" s="3"/>
      <c r="BD756" s="3">
        <v>74.77</v>
      </c>
      <c r="BE756" s="1" t="s">
        <v>942</v>
      </c>
    </row>
    <row r="757" spans="1:61">
      <c r="B757" s="103" t="s">
        <v>664</v>
      </c>
      <c r="C757" s="1" t="s">
        <v>64</v>
      </c>
      <c r="D757" s="2"/>
      <c r="E757" s="2"/>
      <c r="F757" s="8"/>
      <c r="G757" s="8"/>
      <c r="H757" s="8"/>
      <c r="R757" s="3">
        <v>9.76</v>
      </c>
      <c r="T757" s="3"/>
      <c r="V757" s="1" t="s">
        <v>285</v>
      </c>
      <c r="Y757" s="1" t="s">
        <v>285</v>
      </c>
      <c r="AA757" s="3">
        <v>9.67</v>
      </c>
      <c r="AD757" s="24">
        <v>9.5</v>
      </c>
      <c r="AF757" s="24">
        <f>AD757-AA757</f>
        <v>-0.16999999999999993</v>
      </c>
      <c r="AG757" s="3">
        <v>4.32</v>
      </c>
      <c r="AI757" s="3">
        <f>AG757-AD757</f>
        <v>-5.18</v>
      </c>
      <c r="AJ757" s="3">
        <v>4.45</v>
      </c>
      <c r="AL757" s="3">
        <f>AJ757-AG757</f>
        <v>0.12999999999999989</v>
      </c>
      <c r="AM757" s="3">
        <v>4.3899999999999997</v>
      </c>
      <c r="AO757" s="3">
        <f>AM757-AJ757</f>
        <v>-6.0000000000000497E-2</v>
      </c>
      <c r="AQ757" s="1" t="s">
        <v>285</v>
      </c>
      <c r="AT757" s="1" t="s">
        <v>285</v>
      </c>
      <c r="AW757" s="1" t="s">
        <v>285</v>
      </c>
      <c r="AZ757" s="3">
        <v>4.58</v>
      </c>
      <c r="BD757" s="3">
        <v>3.87</v>
      </c>
      <c r="BE757" s="1" t="s">
        <v>942</v>
      </c>
      <c r="BH757" s="3">
        <v>4.7699999999999996</v>
      </c>
      <c r="BI757" s="1" t="s">
        <v>942</v>
      </c>
    </row>
    <row r="758" spans="1:61">
      <c r="B758" s="103" t="s">
        <v>664</v>
      </c>
      <c r="C758" s="1" t="s">
        <v>286</v>
      </c>
      <c r="D758" s="2"/>
      <c r="E758" s="2"/>
      <c r="F758" s="8"/>
      <c r="G758" s="8"/>
      <c r="H758" s="8"/>
      <c r="R758" s="3">
        <v>16.850000000000001</v>
      </c>
      <c r="T758" s="3"/>
      <c r="V758" s="1" t="s">
        <v>285</v>
      </c>
      <c r="Y758" s="1" t="s">
        <v>285</v>
      </c>
      <c r="AA758" s="3">
        <v>11.88</v>
      </c>
      <c r="AD758" s="24">
        <v>14</v>
      </c>
      <c r="AF758" s="24">
        <f>AD758-AA758</f>
        <v>2.1199999999999992</v>
      </c>
      <c r="AG758" s="3">
        <v>4.29</v>
      </c>
      <c r="AI758" s="3">
        <f>AG758-AD758</f>
        <v>-9.7100000000000009</v>
      </c>
      <c r="AQ758" s="1" t="s">
        <v>285</v>
      </c>
      <c r="AT758" s="1" t="s">
        <v>285</v>
      </c>
      <c r="AW758" s="1" t="s">
        <v>285</v>
      </c>
      <c r="BD758" s="3">
        <v>3.3</v>
      </c>
      <c r="BE758" s="1" t="s">
        <v>942</v>
      </c>
      <c r="BH758" s="3">
        <v>3.69</v>
      </c>
      <c r="BI758" s="1" t="s">
        <v>942</v>
      </c>
    </row>
    <row r="759" spans="1:61">
      <c r="B759" s="103" t="s">
        <v>664</v>
      </c>
      <c r="C759" s="1" t="s">
        <v>288</v>
      </c>
      <c r="D759" s="2"/>
      <c r="E759" s="2"/>
      <c r="F759" s="8"/>
      <c r="G759" s="8"/>
      <c r="H759" s="8"/>
      <c r="R759" s="3">
        <v>17.350000000000001</v>
      </c>
      <c r="T759" s="3"/>
      <c r="V759" s="1" t="s">
        <v>285</v>
      </c>
      <c r="Y759" s="1" t="s">
        <v>285</v>
      </c>
      <c r="AA759" s="3">
        <v>8.74</v>
      </c>
      <c r="AD759" s="24">
        <v>13.3</v>
      </c>
      <c r="AF759" s="24">
        <f>AD759-AA759</f>
        <v>4.5600000000000005</v>
      </c>
      <c r="AG759" s="3">
        <v>4.01</v>
      </c>
      <c r="AI759" s="3">
        <f>AG759-AD759</f>
        <v>-9.2900000000000009</v>
      </c>
      <c r="AJ759" s="3">
        <v>4.33</v>
      </c>
      <c r="AL759" s="3">
        <f>AJ759-AG759</f>
        <v>0.32000000000000028</v>
      </c>
      <c r="AM759" s="3">
        <v>3.91</v>
      </c>
      <c r="AO759" s="3">
        <f>AM759-AJ759</f>
        <v>-0.41999999999999993</v>
      </c>
      <c r="AQ759" s="1" t="s">
        <v>285</v>
      </c>
      <c r="AT759" s="1" t="s">
        <v>285</v>
      </c>
      <c r="AW759" s="1" t="s">
        <v>285</v>
      </c>
      <c r="AZ759" s="3">
        <v>3.77</v>
      </c>
      <c r="BD759" s="3">
        <v>3.78</v>
      </c>
      <c r="BE759" s="1" t="s">
        <v>942</v>
      </c>
      <c r="BH759" s="3">
        <v>4.17</v>
      </c>
      <c r="BI759" s="1" t="s">
        <v>942</v>
      </c>
    </row>
    <row r="760" spans="1:61">
      <c r="A760" s="6">
        <v>11</v>
      </c>
      <c r="B760" s="103" t="s">
        <v>664</v>
      </c>
      <c r="C760" s="1" t="s">
        <v>57</v>
      </c>
      <c r="D760" s="2">
        <v>17.600000000000001</v>
      </c>
      <c r="E760" s="2"/>
      <c r="F760" s="8">
        <v>17.600000000000001</v>
      </c>
      <c r="G760" s="8"/>
      <c r="H760" s="8">
        <v>17.600000000000001</v>
      </c>
      <c r="I760" s="8">
        <f>H760-D760</f>
        <v>0</v>
      </c>
      <c r="R760" s="3">
        <v>17.600000000000001</v>
      </c>
      <c r="T760" s="3"/>
      <c r="V760" s="1" t="s">
        <v>285</v>
      </c>
      <c r="Y760" s="1" t="s">
        <v>285</v>
      </c>
      <c r="AQ760" s="1" t="s">
        <v>285</v>
      </c>
      <c r="AT760" s="1" t="s">
        <v>285</v>
      </c>
      <c r="AW760" s="1" t="s">
        <v>285</v>
      </c>
    </row>
    <row r="761" spans="1:61">
      <c r="B761" s="103" t="s">
        <v>664</v>
      </c>
      <c r="C761" s="1" t="s">
        <v>287</v>
      </c>
      <c r="D761" s="2"/>
      <c r="E761" s="2"/>
      <c r="F761" s="8"/>
      <c r="G761" s="8"/>
      <c r="H761" s="8"/>
      <c r="R761" s="3">
        <v>9.91</v>
      </c>
      <c r="T761" s="3"/>
      <c r="V761" s="1" t="s">
        <v>285</v>
      </c>
      <c r="Y761" s="1" t="s">
        <v>285</v>
      </c>
      <c r="AA761" s="3">
        <v>11.88</v>
      </c>
      <c r="AD761" s="24">
        <v>13.5</v>
      </c>
      <c r="AF761" s="24">
        <f>AD761-AA761</f>
        <v>1.6199999999999992</v>
      </c>
      <c r="AG761" s="3">
        <v>4.29</v>
      </c>
      <c r="AI761" s="3">
        <f>AG761-AD761</f>
        <v>-9.2100000000000009</v>
      </c>
      <c r="AJ761" s="3">
        <v>4.47</v>
      </c>
      <c r="AL761" s="3">
        <f>AJ761-AG761</f>
        <v>0.17999999999999972</v>
      </c>
      <c r="AM761" s="3">
        <v>4.38</v>
      </c>
      <c r="AO761" s="3">
        <f>AM761-AJ761</f>
        <v>-8.9999999999999858E-2</v>
      </c>
      <c r="AQ761" s="1" t="s">
        <v>285</v>
      </c>
      <c r="AT761" s="1" t="s">
        <v>285</v>
      </c>
      <c r="AW761" s="1" t="s">
        <v>285</v>
      </c>
      <c r="AZ761" s="3">
        <v>4.49</v>
      </c>
      <c r="BD761" s="3">
        <v>2.99</v>
      </c>
      <c r="BE761" s="1" t="s">
        <v>942</v>
      </c>
      <c r="BH761" s="3">
        <v>4.38</v>
      </c>
      <c r="BI761" s="1" t="s">
        <v>942</v>
      </c>
    </row>
    <row r="762" spans="1:61">
      <c r="B762" s="103" t="s">
        <v>664</v>
      </c>
      <c r="C762" s="1" t="s">
        <v>872</v>
      </c>
      <c r="D762" s="2"/>
      <c r="E762" s="2"/>
      <c r="F762" s="8"/>
      <c r="G762" s="8"/>
      <c r="H762" s="8"/>
      <c r="T762" s="3"/>
      <c r="AF762" s="24"/>
      <c r="AI762" s="3"/>
      <c r="AL762" s="3"/>
      <c r="AO762" s="3"/>
      <c r="BH762" s="3">
        <v>54.64</v>
      </c>
      <c r="BI762" s="1" t="s">
        <v>942</v>
      </c>
    </row>
    <row r="763" spans="1:61">
      <c r="A763" s="6">
        <v>1</v>
      </c>
      <c r="B763" s="1" t="s">
        <v>666</v>
      </c>
      <c r="C763" s="1" t="s">
        <v>52</v>
      </c>
      <c r="D763" s="2"/>
      <c r="E763" s="2"/>
      <c r="F763" s="8">
        <v>8</v>
      </c>
      <c r="G763" s="8"/>
      <c r="H763" s="8">
        <v>8</v>
      </c>
      <c r="I763" s="8"/>
      <c r="M763" s="3">
        <v>25</v>
      </c>
      <c r="O763" s="3">
        <v>25</v>
      </c>
      <c r="P763" s="1" t="s">
        <v>283</v>
      </c>
      <c r="Q763" s="3">
        <f>O763-H763</f>
        <v>17</v>
      </c>
      <c r="R763" s="3">
        <v>10</v>
      </c>
      <c r="T763" s="2">
        <f>R763-O763</f>
        <v>-15</v>
      </c>
      <c r="U763" s="3">
        <v>12</v>
      </c>
      <c r="W763" s="3">
        <f>U763-R763</f>
        <v>2</v>
      </c>
    </row>
    <row r="764" spans="1:61">
      <c r="A764" s="6">
        <v>3</v>
      </c>
      <c r="B764" s="1" t="s">
        <v>666</v>
      </c>
      <c r="C764" s="1" t="s">
        <v>54</v>
      </c>
      <c r="D764" s="2"/>
      <c r="E764" s="2"/>
      <c r="F764" s="8">
        <v>0</v>
      </c>
      <c r="G764" s="8">
        <v>12</v>
      </c>
      <c r="H764" s="8">
        <v>12</v>
      </c>
      <c r="I764" s="8"/>
      <c r="M764" s="3">
        <v>27</v>
      </c>
      <c r="O764" s="3">
        <v>27</v>
      </c>
      <c r="P764" s="1" t="s">
        <v>283</v>
      </c>
      <c r="Q764" s="3">
        <f>O764-H764</f>
        <v>15</v>
      </c>
      <c r="R764" s="2" t="s">
        <v>685</v>
      </c>
    </row>
    <row r="765" spans="1:61">
      <c r="A765" s="6">
        <v>4</v>
      </c>
      <c r="B765" s="1" t="s">
        <v>666</v>
      </c>
      <c r="C765" s="1" t="s">
        <v>55</v>
      </c>
      <c r="D765" s="2"/>
      <c r="E765" s="2"/>
      <c r="F765" s="8">
        <v>0</v>
      </c>
      <c r="G765" s="8">
        <v>14</v>
      </c>
      <c r="H765" s="8">
        <v>14</v>
      </c>
      <c r="I765" s="8"/>
      <c r="M765" s="3">
        <v>30</v>
      </c>
      <c r="O765" s="3">
        <v>30</v>
      </c>
      <c r="P765" s="1" t="s">
        <v>283</v>
      </c>
      <c r="Q765" s="3">
        <f>O765-H765</f>
        <v>16</v>
      </c>
      <c r="R765" s="2" t="s">
        <v>685</v>
      </c>
    </row>
    <row r="766" spans="1:61">
      <c r="A766" s="6">
        <v>5</v>
      </c>
      <c r="B766" s="1" t="s">
        <v>666</v>
      </c>
      <c r="C766" s="1" t="s">
        <v>56</v>
      </c>
      <c r="D766" s="2"/>
      <c r="E766" s="2"/>
      <c r="F766" s="8">
        <v>0</v>
      </c>
      <c r="G766" s="8">
        <v>8</v>
      </c>
      <c r="H766" s="8">
        <v>8</v>
      </c>
      <c r="I766" s="8"/>
      <c r="M766" s="3">
        <v>29</v>
      </c>
      <c r="O766" s="3">
        <v>29</v>
      </c>
      <c r="P766" s="1" t="s">
        <v>283</v>
      </c>
      <c r="Q766" s="3">
        <f>O766-H766</f>
        <v>21</v>
      </c>
      <c r="R766" s="2" t="s">
        <v>685</v>
      </c>
    </row>
    <row r="767" spans="1:61">
      <c r="A767" s="6">
        <v>2</v>
      </c>
      <c r="B767" s="1" t="s">
        <v>666</v>
      </c>
      <c r="C767" s="1" t="s">
        <v>53</v>
      </c>
      <c r="D767" s="2"/>
      <c r="E767" s="2"/>
      <c r="F767" s="8">
        <v>12</v>
      </c>
      <c r="G767" s="8"/>
      <c r="H767" s="8">
        <v>12</v>
      </c>
      <c r="I767" s="8"/>
      <c r="L767" s="1" t="s">
        <v>72</v>
      </c>
      <c r="M767" s="3">
        <v>18</v>
      </c>
      <c r="O767" s="3">
        <v>18</v>
      </c>
      <c r="P767" s="1" t="s">
        <v>283</v>
      </c>
      <c r="Q767" s="3">
        <f>O767-H767</f>
        <v>6</v>
      </c>
      <c r="R767" s="3">
        <v>10.7</v>
      </c>
      <c r="T767" s="3">
        <f>R767-O767</f>
        <v>-7.3000000000000007</v>
      </c>
      <c r="U767" s="3">
        <v>13</v>
      </c>
      <c r="W767" s="3">
        <f>U767-R767</f>
        <v>2.3000000000000007</v>
      </c>
      <c r="AA767" s="3">
        <v>16.667000000000002</v>
      </c>
      <c r="AC767" s="3"/>
    </row>
    <row r="768" spans="1:61">
      <c r="B768" s="1" t="s">
        <v>666</v>
      </c>
      <c r="C768" s="1" t="s">
        <v>158</v>
      </c>
      <c r="D768" s="2"/>
      <c r="E768" s="2"/>
      <c r="F768" s="8"/>
      <c r="G768" s="8"/>
      <c r="H768" s="8"/>
      <c r="I768" s="8"/>
      <c r="Q768" s="3"/>
      <c r="T768" s="3"/>
      <c r="W768" s="3"/>
      <c r="AI768" s="3"/>
      <c r="AO768" s="3"/>
      <c r="AP768" s="3">
        <v>3.4</v>
      </c>
      <c r="AS768" s="3">
        <v>3.5</v>
      </c>
      <c r="AV768" s="3">
        <v>3.5</v>
      </c>
      <c r="AY768" s="3">
        <v>3.5</v>
      </c>
      <c r="AZ768" s="3">
        <v>3.2</v>
      </c>
      <c r="BA768" s="1" t="s">
        <v>852</v>
      </c>
      <c r="BC768" s="3">
        <v>3.2</v>
      </c>
      <c r="BE768" s="1" t="s">
        <v>852</v>
      </c>
    </row>
    <row r="769" spans="1:61">
      <c r="B769" s="1" t="s">
        <v>666</v>
      </c>
      <c r="C769" s="1" t="s">
        <v>597</v>
      </c>
      <c r="D769" s="2"/>
      <c r="E769" s="2"/>
      <c r="F769" s="8"/>
      <c r="G769" s="8"/>
      <c r="H769" s="8"/>
      <c r="I769" s="8"/>
      <c r="Q769" s="3"/>
      <c r="T769" s="3"/>
      <c r="W769" s="3"/>
      <c r="AD769" s="24">
        <v>8.5</v>
      </c>
      <c r="AG769" s="3">
        <v>9.5</v>
      </c>
      <c r="AJ769" s="3">
        <v>8.3000000000000007</v>
      </c>
      <c r="AM769" s="3">
        <v>8.3000000000000007</v>
      </c>
      <c r="AP769" s="3">
        <v>11.2</v>
      </c>
      <c r="AS769" s="3">
        <v>17.600000000000001</v>
      </c>
      <c r="AV769" s="3">
        <v>17.600000000000001</v>
      </c>
      <c r="AY769" s="3">
        <v>17.600000000000001</v>
      </c>
      <c r="AZ769" s="3">
        <v>15.5</v>
      </c>
      <c r="BA769" s="1" t="s">
        <v>852</v>
      </c>
      <c r="BC769" s="3">
        <v>15.5</v>
      </c>
      <c r="BD769" s="3">
        <v>13.548</v>
      </c>
      <c r="BE769" s="1" t="s">
        <v>852</v>
      </c>
      <c r="BG769" s="3">
        <v>13.548</v>
      </c>
      <c r="BH769" s="3">
        <v>34.549999999999997</v>
      </c>
      <c r="BI769" s="1" t="s">
        <v>852</v>
      </c>
    </row>
    <row r="770" spans="1:61">
      <c r="B770" s="1" t="s">
        <v>666</v>
      </c>
      <c r="C770" s="1" t="s">
        <v>600</v>
      </c>
      <c r="D770" s="2"/>
      <c r="E770" s="2"/>
      <c r="F770" s="8"/>
      <c r="G770" s="8"/>
      <c r="H770" s="8"/>
      <c r="I770" s="8"/>
      <c r="Q770" s="3"/>
      <c r="T770" s="3"/>
      <c r="W770" s="3"/>
      <c r="AD770" s="24">
        <v>11.5</v>
      </c>
      <c r="AG770" s="3">
        <v>11.5</v>
      </c>
      <c r="AJ770" s="3">
        <v>9.5</v>
      </c>
      <c r="AM770" s="3">
        <v>9.5</v>
      </c>
      <c r="AP770" s="3">
        <v>16.5</v>
      </c>
      <c r="AS770" s="3">
        <v>12.9</v>
      </c>
      <c r="AV770" s="3">
        <v>12.9</v>
      </c>
      <c r="AY770" s="3">
        <v>12.9</v>
      </c>
      <c r="AZ770" s="3">
        <v>0</v>
      </c>
      <c r="BA770" s="1" t="s">
        <v>852</v>
      </c>
      <c r="BH770" s="3">
        <v>56.73</v>
      </c>
      <c r="BI770" s="1" t="s">
        <v>852</v>
      </c>
    </row>
    <row r="771" spans="1:61">
      <c r="B771" s="1" t="s">
        <v>666</v>
      </c>
      <c r="C771" s="1" t="s">
        <v>595</v>
      </c>
      <c r="D771" s="2"/>
      <c r="E771" s="2"/>
      <c r="F771" s="8"/>
      <c r="G771" s="8"/>
      <c r="H771" s="8"/>
      <c r="I771" s="8"/>
      <c r="Q771" s="3"/>
      <c r="T771" s="3"/>
      <c r="W771" s="3"/>
      <c r="X771" s="3">
        <v>5.93</v>
      </c>
      <c r="AA771" s="3">
        <v>4.5999999999999996</v>
      </c>
      <c r="AC771" s="3">
        <f>AA771-X771</f>
        <v>-1.33</v>
      </c>
      <c r="AD771" s="24">
        <v>5.3840000000000003</v>
      </c>
      <c r="AG771" s="3">
        <v>6</v>
      </c>
      <c r="AI771" s="3">
        <f>AG771-AD771</f>
        <v>0.61599999999999966</v>
      </c>
      <c r="AJ771" s="3">
        <v>5</v>
      </c>
      <c r="AL771" s="3">
        <f>AJ771-AG771</f>
        <v>-1</v>
      </c>
      <c r="AM771" s="3">
        <v>4.7</v>
      </c>
      <c r="AO771" s="3">
        <f>AM771-AJ771</f>
        <v>-0.29999999999999982</v>
      </c>
      <c r="AP771" s="3">
        <v>5</v>
      </c>
      <c r="AS771" s="3">
        <v>6.1</v>
      </c>
      <c r="AV771" s="3">
        <v>6.1</v>
      </c>
      <c r="AY771" s="3">
        <v>6.1</v>
      </c>
      <c r="AZ771" s="3">
        <v>5.9</v>
      </c>
      <c r="BA771" s="1" t="s">
        <v>852</v>
      </c>
      <c r="BC771" s="3">
        <v>5.9</v>
      </c>
      <c r="BE771" s="1" t="s">
        <v>852</v>
      </c>
    </row>
    <row r="772" spans="1:61">
      <c r="B772" s="1" t="s">
        <v>666</v>
      </c>
      <c r="C772" s="1" t="s">
        <v>700</v>
      </c>
      <c r="D772" s="2"/>
      <c r="E772" s="2"/>
      <c r="F772" s="8"/>
      <c r="G772" s="8"/>
      <c r="H772" s="8"/>
      <c r="I772" s="8"/>
      <c r="Q772" s="3"/>
      <c r="T772" s="3"/>
      <c r="W772" s="3"/>
      <c r="AA772" s="3">
        <v>4.5999999999999996</v>
      </c>
      <c r="AD772" s="24">
        <v>5.3840000000000003</v>
      </c>
      <c r="AG772" s="3">
        <v>6</v>
      </c>
      <c r="AJ772" s="3">
        <v>5</v>
      </c>
      <c r="AM772" s="3">
        <v>4.5</v>
      </c>
      <c r="AP772" s="3">
        <v>4.8</v>
      </c>
      <c r="AS772" s="3">
        <v>5.8</v>
      </c>
      <c r="AV772" s="3">
        <v>5.8</v>
      </c>
    </row>
    <row r="773" spans="1:61">
      <c r="B773" s="1" t="s">
        <v>666</v>
      </c>
      <c r="C773" s="1" t="s">
        <v>596</v>
      </c>
      <c r="D773" s="2"/>
      <c r="E773" s="2"/>
      <c r="F773" s="8"/>
      <c r="G773" s="8"/>
      <c r="H773" s="8"/>
      <c r="I773" s="8"/>
      <c r="Q773" s="3"/>
      <c r="T773" s="3"/>
      <c r="W773" s="3"/>
      <c r="AD773" s="24">
        <v>4.5</v>
      </c>
      <c r="AG773" s="3">
        <v>5.5</v>
      </c>
      <c r="AJ773" s="3">
        <v>4.9000000000000004</v>
      </c>
      <c r="AM773" s="3">
        <v>4.5</v>
      </c>
      <c r="AP773" s="3">
        <v>4.8</v>
      </c>
      <c r="AS773" s="3">
        <v>5.6</v>
      </c>
      <c r="AV773" s="3">
        <v>5.6</v>
      </c>
      <c r="AY773" s="3">
        <v>5.6</v>
      </c>
      <c r="AZ773" s="3">
        <v>4.9000000000000004</v>
      </c>
      <c r="BA773" s="1" t="s">
        <v>852</v>
      </c>
      <c r="BC773" s="3">
        <v>4.9000000000000004</v>
      </c>
      <c r="BD773" s="3">
        <v>4.484</v>
      </c>
      <c r="BE773" s="1" t="s">
        <v>852</v>
      </c>
      <c r="BG773" s="3">
        <v>4.484</v>
      </c>
      <c r="BH773" s="3">
        <v>5.92</v>
      </c>
      <c r="BI773" s="1" t="s">
        <v>852</v>
      </c>
    </row>
    <row r="774" spans="1:61">
      <c r="A774" s="6">
        <v>12</v>
      </c>
      <c r="B774" s="1" t="s">
        <v>666</v>
      </c>
      <c r="C774" s="1" t="s">
        <v>594</v>
      </c>
      <c r="D774" s="2"/>
      <c r="E774" s="2"/>
      <c r="F774" s="8">
        <v>5.2</v>
      </c>
      <c r="G774" s="8"/>
      <c r="H774" s="8">
        <v>5.2</v>
      </c>
      <c r="I774" s="8"/>
      <c r="M774" s="3">
        <v>4.5</v>
      </c>
      <c r="O774" s="3">
        <v>4.5</v>
      </c>
      <c r="P774" s="1" t="s">
        <v>283</v>
      </c>
      <c r="Q774" s="3">
        <f>O774-H774</f>
        <v>-0.70000000000000018</v>
      </c>
      <c r="R774" s="3">
        <v>7.5</v>
      </c>
      <c r="T774" s="3">
        <f>R774-O774</f>
        <v>3</v>
      </c>
      <c r="U774" s="3">
        <v>8</v>
      </c>
      <c r="W774" s="3">
        <f>U774-R774</f>
        <v>0.5</v>
      </c>
      <c r="X774" s="3">
        <v>5.59</v>
      </c>
      <c r="Z774" s="3">
        <f>X774-U774</f>
        <v>-2.41</v>
      </c>
      <c r="AA774" s="3">
        <v>7.5</v>
      </c>
      <c r="AC774" s="3">
        <f>AA774-X774</f>
        <v>1.9100000000000001</v>
      </c>
      <c r="AD774" s="24">
        <v>8.4610000000000003</v>
      </c>
      <c r="AG774" s="3">
        <v>9.5</v>
      </c>
      <c r="AI774" s="3">
        <f>AG774-AD774</f>
        <v>1.0389999999999997</v>
      </c>
      <c r="AJ774" s="3">
        <v>6.4610000000000003</v>
      </c>
      <c r="AL774" s="3">
        <f>AJ774-AG774</f>
        <v>-3.0389999999999997</v>
      </c>
      <c r="AM774" s="3">
        <v>5.2</v>
      </c>
      <c r="AO774" s="3">
        <f>AM774-AJ774</f>
        <v>-1.2610000000000001</v>
      </c>
      <c r="AP774" s="3">
        <v>6.7</v>
      </c>
      <c r="AS774" s="3">
        <v>4.8</v>
      </c>
      <c r="AV774" s="3">
        <v>4.8</v>
      </c>
      <c r="AY774" s="3">
        <v>4.8</v>
      </c>
      <c r="AZ774" s="3">
        <v>3.9</v>
      </c>
      <c r="BA774" s="1" t="s">
        <v>852</v>
      </c>
      <c r="BC774" s="3">
        <v>3.9</v>
      </c>
      <c r="BD774" s="3">
        <v>3.548</v>
      </c>
      <c r="BE774" s="1" t="s">
        <v>852</v>
      </c>
      <c r="BG774" s="3">
        <v>3.548</v>
      </c>
      <c r="BH774" s="3">
        <v>4.5599999999999996</v>
      </c>
      <c r="BI774" s="1" t="s">
        <v>852</v>
      </c>
    </row>
    <row r="775" spans="1:61">
      <c r="A775" s="6">
        <v>14</v>
      </c>
      <c r="B775" s="1" t="s">
        <v>666</v>
      </c>
      <c r="C775" s="1" t="s">
        <v>58</v>
      </c>
      <c r="D775" s="2"/>
      <c r="E775" s="2"/>
      <c r="F775" s="8">
        <v>13</v>
      </c>
      <c r="G775" s="8"/>
      <c r="H775" s="8">
        <v>13</v>
      </c>
      <c r="I775" s="8"/>
      <c r="L775" s="1" t="s">
        <v>605</v>
      </c>
      <c r="M775" s="3">
        <v>12</v>
      </c>
      <c r="O775" s="3">
        <v>12</v>
      </c>
      <c r="P775" s="1" t="s">
        <v>283</v>
      </c>
      <c r="Q775" s="3">
        <f>O775-H775</f>
        <v>-1</v>
      </c>
      <c r="R775" s="3">
        <v>9.4600000000000009</v>
      </c>
      <c r="T775" s="3">
        <f>R775-O775</f>
        <v>-2.5399999999999991</v>
      </c>
      <c r="U775" s="3">
        <v>10</v>
      </c>
      <c r="W775" s="3">
        <f>U775-R775</f>
        <v>0.53999999999999915</v>
      </c>
      <c r="X775" s="3">
        <v>12.27</v>
      </c>
      <c r="Z775" s="3">
        <f>X775-U775</f>
        <v>2.2699999999999996</v>
      </c>
      <c r="AA775" s="3">
        <v>15.416700000000001</v>
      </c>
      <c r="AC775" s="3">
        <f>AA775-X775</f>
        <v>3.1467000000000009</v>
      </c>
      <c r="AD775" s="24">
        <v>15.384</v>
      </c>
      <c r="AG775" s="3">
        <v>14.5</v>
      </c>
      <c r="AI775" s="3">
        <f>AG775-AD775</f>
        <v>-0.88400000000000034</v>
      </c>
      <c r="AJ775" s="3">
        <v>10.5</v>
      </c>
      <c r="AL775" s="3">
        <f>AJ775-AG775</f>
        <v>-4</v>
      </c>
      <c r="AM775" s="3">
        <v>9.5</v>
      </c>
      <c r="AO775" s="3">
        <f>AM775-AJ775</f>
        <v>-1</v>
      </c>
      <c r="AP775" s="3">
        <v>13.1</v>
      </c>
      <c r="AS775" s="3">
        <v>7.1</v>
      </c>
      <c r="AV775" s="3">
        <v>7.1</v>
      </c>
      <c r="AY775" s="3">
        <v>7.1</v>
      </c>
      <c r="AZ775" s="3">
        <v>6.4</v>
      </c>
      <c r="BA775" s="1" t="s">
        <v>852</v>
      </c>
      <c r="BC775" s="3">
        <v>6.4</v>
      </c>
      <c r="BD775" s="3">
        <v>5.16</v>
      </c>
      <c r="BE775" s="1" t="s">
        <v>852</v>
      </c>
      <c r="BG775" s="3">
        <v>5.16</v>
      </c>
      <c r="BH775" s="3">
        <v>7.3070000000000004</v>
      </c>
      <c r="BI775" s="1" t="s">
        <v>852</v>
      </c>
    </row>
    <row r="776" spans="1:61">
      <c r="B776" s="1" t="s">
        <v>666</v>
      </c>
      <c r="C776" s="1" t="s">
        <v>868</v>
      </c>
      <c r="D776" s="2"/>
      <c r="E776" s="2"/>
      <c r="F776" s="8"/>
      <c r="G776" s="8"/>
      <c r="H776" s="8"/>
      <c r="I776" s="8"/>
      <c r="Q776" s="3"/>
      <c r="T776" s="3"/>
      <c r="W776" s="3"/>
      <c r="BD776" s="3">
        <v>6.774</v>
      </c>
      <c r="BE776" s="1" t="s">
        <v>852</v>
      </c>
      <c r="BG776" s="3">
        <v>6.774</v>
      </c>
      <c r="BH776" s="3">
        <v>8.59</v>
      </c>
      <c r="BI776" s="1" t="s">
        <v>852</v>
      </c>
    </row>
    <row r="777" spans="1:61">
      <c r="B777" s="1" t="s">
        <v>666</v>
      </c>
      <c r="C777" s="1" t="s">
        <v>607</v>
      </c>
      <c r="D777" s="2"/>
      <c r="E777" s="2"/>
      <c r="F777" s="8"/>
      <c r="G777" s="8"/>
      <c r="H777" s="8"/>
      <c r="I777" s="8"/>
      <c r="Q777" s="3"/>
      <c r="T777" s="3"/>
      <c r="W777" s="3"/>
      <c r="AD777" s="24">
        <v>19.5</v>
      </c>
      <c r="AG777" s="3">
        <v>19.5</v>
      </c>
      <c r="AP777" s="3">
        <v>36</v>
      </c>
      <c r="AS777" s="3">
        <v>38.200000000000003</v>
      </c>
      <c r="AV777" s="3">
        <v>38.200000000000003</v>
      </c>
      <c r="AY777" s="3">
        <v>38.200000000000003</v>
      </c>
      <c r="AZ777" s="3">
        <v>37.5</v>
      </c>
      <c r="BA777" s="1" t="s">
        <v>852</v>
      </c>
      <c r="BC777" s="3">
        <v>37.5</v>
      </c>
      <c r="BD777" s="3">
        <v>20.32</v>
      </c>
      <c r="BE777" s="1" t="s">
        <v>852</v>
      </c>
      <c r="BG777" s="3">
        <v>20.32</v>
      </c>
      <c r="BH777" s="3">
        <v>48.08</v>
      </c>
      <c r="BI777" s="1" t="s">
        <v>852</v>
      </c>
    </row>
    <row r="778" spans="1:61">
      <c r="B778" s="1" t="s">
        <v>666</v>
      </c>
      <c r="C778" s="1" t="s">
        <v>854</v>
      </c>
      <c r="D778" s="2"/>
      <c r="E778" s="2"/>
      <c r="F778" s="8"/>
      <c r="G778" s="8"/>
      <c r="H778" s="8"/>
      <c r="I778" s="8"/>
      <c r="Q778" s="3"/>
      <c r="T778" s="3"/>
      <c r="W778" s="3"/>
      <c r="AI778" s="3"/>
      <c r="AL778" s="3"/>
      <c r="AO778" s="3"/>
      <c r="BD778" s="3">
        <v>50.61</v>
      </c>
      <c r="BE778" s="1" t="s">
        <v>852</v>
      </c>
      <c r="BG778" s="3">
        <v>50.61</v>
      </c>
      <c r="BH778" s="3">
        <v>99.35</v>
      </c>
      <c r="BI778" s="1" t="s">
        <v>852</v>
      </c>
    </row>
    <row r="779" spans="1:61">
      <c r="B779" s="1" t="s">
        <v>666</v>
      </c>
      <c r="C779" s="1" t="s">
        <v>857</v>
      </c>
      <c r="D779" s="2"/>
      <c r="E779" s="2"/>
      <c r="F779" s="8"/>
      <c r="G779" s="8"/>
      <c r="H779" s="8"/>
      <c r="I779" s="8"/>
      <c r="Q779" s="3"/>
      <c r="T779" s="3"/>
      <c r="W779" s="3"/>
      <c r="BD779" s="3">
        <v>4.9000000000000004</v>
      </c>
      <c r="BE779" s="1" t="s">
        <v>852</v>
      </c>
      <c r="BG779" s="3">
        <v>4.9000000000000004</v>
      </c>
      <c r="BH779" s="3">
        <v>6.5037000000000003</v>
      </c>
      <c r="BI779" s="1" t="s">
        <v>852</v>
      </c>
    </row>
    <row r="780" spans="1:61">
      <c r="B780" s="1" t="s">
        <v>666</v>
      </c>
      <c r="C780" s="1" t="s">
        <v>289</v>
      </c>
      <c r="D780" s="2"/>
      <c r="E780" s="2"/>
      <c r="F780" s="8"/>
      <c r="G780" s="8"/>
      <c r="H780" s="8"/>
      <c r="I780" s="8"/>
      <c r="Q780" s="3"/>
      <c r="T780" s="3"/>
      <c r="W780" s="3"/>
      <c r="AD780" s="24">
        <v>8.5</v>
      </c>
      <c r="AG780" s="3">
        <v>8.5</v>
      </c>
      <c r="AI780" s="3">
        <f>AG780-AD780</f>
        <v>0</v>
      </c>
      <c r="AJ780" s="3">
        <v>7</v>
      </c>
      <c r="AL780" s="3">
        <f>AJ780-AG780</f>
        <v>-1.5</v>
      </c>
      <c r="AM780" s="3">
        <v>9.6</v>
      </c>
      <c r="AO780" s="3">
        <f>AM780-AJ780</f>
        <v>2.5999999999999996</v>
      </c>
      <c r="AP780" s="3">
        <v>7.2</v>
      </c>
      <c r="AS780" s="3">
        <v>7.7</v>
      </c>
      <c r="AV780" s="3">
        <v>7.7</v>
      </c>
      <c r="AY780" s="3">
        <v>7.7</v>
      </c>
      <c r="AZ780" s="3">
        <v>7.4</v>
      </c>
      <c r="BA780" s="1" t="s">
        <v>852</v>
      </c>
      <c r="BC780" s="3">
        <v>7.4</v>
      </c>
      <c r="BD780" s="3">
        <v>5.2249999999999996</v>
      </c>
      <c r="BE780" s="1" t="s">
        <v>852</v>
      </c>
      <c r="BG780" s="3">
        <v>5.2249999999999996</v>
      </c>
      <c r="BH780" s="3">
        <v>6.7690000000000001</v>
      </c>
      <c r="BI780" s="1" t="s">
        <v>852</v>
      </c>
    </row>
    <row r="781" spans="1:61">
      <c r="B781" s="1" t="s">
        <v>666</v>
      </c>
      <c r="C781" s="1" t="s">
        <v>74</v>
      </c>
      <c r="D781" s="2"/>
      <c r="E781" s="2"/>
      <c r="F781" s="8"/>
      <c r="G781" s="8"/>
      <c r="H781" s="8"/>
      <c r="I781" s="8"/>
      <c r="Q781" s="3"/>
      <c r="T781" s="3"/>
      <c r="W781" s="3"/>
      <c r="AI781" s="3"/>
      <c r="AO781" s="3"/>
      <c r="AS781" s="3">
        <v>11.1</v>
      </c>
      <c r="AV781" s="3">
        <v>11.1</v>
      </c>
      <c r="AY781" s="3">
        <v>11.1</v>
      </c>
      <c r="AZ781" s="3">
        <v>10.8</v>
      </c>
      <c r="BA781" s="1" t="s">
        <v>852</v>
      </c>
      <c r="BC781" s="1">
        <v>10.8</v>
      </c>
      <c r="BD781" s="1"/>
      <c r="BE781" s="1" t="s">
        <v>852</v>
      </c>
    </row>
    <row r="782" spans="1:61">
      <c r="B782" s="1" t="s">
        <v>666</v>
      </c>
      <c r="C782" s="1" t="s">
        <v>290</v>
      </c>
      <c r="D782" s="2"/>
      <c r="E782" s="2"/>
      <c r="F782" s="8"/>
      <c r="G782" s="8"/>
      <c r="H782" s="8"/>
      <c r="I782" s="8"/>
      <c r="Q782" s="3"/>
      <c r="T782" s="3"/>
      <c r="W782" s="3"/>
      <c r="AI782" s="3"/>
      <c r="AJ782" s="3">
        <v>6.2</v>
      </c>
      <c r="AM782" s="3">
        <v>15</v>
      </c>
      <c r="AO782" s="3">
        <f>AM782-AJ782</f>
        <v>8.8000000000000007</v>
      </c>
      <c r="AP782" s="3">
        <v>23.1</v>
      </c>
      <c r="AS782" s="3">
        <v>10.6</v>
      </c>
      <c r="AV782" s="3">
        <v>10.6</v>
      </c>
      <c r="AY782" s="3">
        <v>10.6</v>
      </c>
      <c r="AZ782" s="3">
        <v>10.1</v>
      </c>
      <c r="BA782" s="1" t="s">
        <v>852</v>
      </c>
      <c r="BC782" s="3">
        <v>10.1</v>
      </c>
      <c r="BD782" s="3">
        <v>5.7880000000000003</v>
      </c>
      <c r="BE782" s="1" t="s">
        <v>852</v>
      </c>
      <c r="BG782" s="3">
        <v>5.7880000000000003</v>
      </c>
      <c r="BH782" s="3">
        <v>7.5350000000000001</v>
      </c>
      <c r="BI782" s="1" t="s">
        <v>852</v>
      </c>
    </row>
    <row r="783" spans="1:61">
      <c r="B783" s="1" t="s">
        <v>666</v>
      </c>
      <c r="C783" s="1" t="s">
        <v>64</v>
      </c>
      <c r="D783" s="2"/>
      <c r="E783" s="2"/>
      <c r="F783" s="8"/>
      <c r="G783" s="8"/>
      <c r="H783" s="8"/>
      <c r="I783" s="8"/>
      <c r="Q783" s="3"/>
      <c r="T783" s="3"/>
      <c r="W783" s="3"/>
      <c r="X783" s="3">
        <v>15.6</v>
      </c>
      <c r="AA783" s="3">
        <v>15.278</v>
      </c>
      <c r="AC783" s="3">
        <f>AA783-X783</f>
        <v>-0.32199999999999918</v>
      </c>
      <c r="AD783" s="24">
        <v>16.922999999999998</v>
      </c>
      <c r="AG783" s="3">
        <v>16</v>
      </c>
      <c r="AI783" s="3">
        <f>AG783-AD783</f>
        <v>-0.92299999999999827</v>
      </c>
      <c r="AJ783" s="3">
        <v>13</v>
      </c>
      <c r="AL783" s="3">
        <f>AJ783-AG783</f>
        <v>-3</v>
      </c>
      <c r="AM783" s="3">
        <v>11.8</v>
      </c>
      <c r="AO783" s="3">
        <f>AM783-AJ783</f>
        <v>-1.1999999999999993</v>
      </c>
      <c r="AP783" s="3">
        <v>15</v>
      </c>
      <c r="AS783" s="3">
        <v>8.5</v>
      </c>
      <c r="AV783" s="3">
        <v>8.5</v>
      </c>
      <c r="AY783" s="3">
        <v>8.5</v>
      </c>
      <c r="AZ783" s="3">
        <v>7.9</v>
      </c>
      <c r="BA783" s="1" t="s">
        <v>852</v>
      </c>
      <c r="BC783" s="3">
        <v>7.9</v>
      </c>
      <c r="BD783" s="3">
        <v>5.484</v>
      </c>
      <c r="BE783" s="1" t="s">
        <v>852</v>
      </c>
      <c r="BG783" s="3">
        <v>5.484</v>
      </c>
      <c r="BH783" s="3">
        <v>9.8650000000000002</v>
      </c>
      <c r="BI783" s="1" t="s">
        <v>852</v>
      </c>
    </row>
    <row r="784" spans="1:61">
      <c r="B784" s="1" t="s">
        <v>666</v>
      </c>
      <c r="C784" s="1" t="s">
        <v>962</v>
      </c>
      <c r="D784" s="2"/>
      <c r="E784" s="2"/>
      <c r="F784" s="8"/>
      <c r="G784" s="8"/>
      <c r="H784" s="8"/>
      <c r="I784" s="8"/>
      <c r="Q784" s="3"/>
      <c r="T784" s="3"/>
      <c r="W784" s="3"/>
      <c r="AC784" s="3"/>
      <c r="AI784" s="3"/>
      <c r="AL784" s="3"/>
      <c r="AO784" s="3"/>
      <c r="BH784" s="3">
        <v>11.2</v>
      </c>
      <c r="BI784" s="1" t="s">
        <v>852</v>
      </c>
    </row>
    <row r="785" spans="1:61">
      <c r="B785" s="1" t="s">
        <v>666</v>
      </c>
      <c r="C785" s="1" t="s">
        <v>286</v>
      </c>
      <c r="D785" s="2"/>
      <c r="E785" s="2"/>
      <c r="F785" s="8"/>
      <c r="G785" s="8"/>
      <c r="H785" s="8"/>
      <c r="I785" s="8"/>
      <c r="Q785" s="3"/>
      <c r="T785" s="3"/>
      <c r="W785" s="3"/>
      <c r="X785" s="3">
        <v>15.6</v>
      </c>
      <c r="AA785" s="3">
        <v>10.833</v>
      </c>
      <c r="AC785" s="3">
        <f>AA785-X785</f>
        <v>-4.7669999999999995</v>
      </c>
      <c r="AD785" s="24">
        <v>11.077</v>
      </c>
      <c r="AG785" s="3">
        <v>13</v>
      </c>
      <c r="AI785" s="3">
        <f>AG785-AD785</f>
        <v>1.923</v>
      </c>
      <c r="AJ785" s="3">
        <v>12</v>
      </c>
      <c r="AL785" s="3">
        <f>AJ785-AG785</f>
        <v>-1</v>
      </c>
      <c r="AM785" s="3">
        <v>11.4</v>
      </c>
      <c r="AO785" s="3">
        <f>AM785-AJ785</f>
        <v>-0.59999999999999964</v>
      </c>
      <c r="AP785" s="3">
        <v>13.2</v>
      </c>
      <c r="AS785" s="3">
        <v>11.8</v>
      </c>
      <c r="AV785" s="3">
        <v>11.8</v>
      </c>
      <c r="AY785" s="3">
        <v>11.8</v>
      </c>
      <c r="AZ785" s="3">
        <v>11.1</v>
      </c>
      <c r="BA785" s="1" t="s">
        <v>852</v>
      </c>
      <c r="BC785" s="3">
        <v>11.1</v>
      </c>
      <c r="BD785" s="3">
        <v>6.1289999999999996</v>
      </c>
      <c r="BE785" s="1" t="s">
        <v>852</v>
      </c>
      <c r="BG785" s="3">
        <v>6.1289999999999996</v>
      </c>
      <c r="BH785" s="3">
        <v>9.1340000000000003</v>
      </c>
      <c r="BI785" s="1" t="s">
        <v>852</v>
      </c>
    </row>
    <row r="786" spans="1:61">
      <c r="B786" s="1" t="s">
        <v>666</v>
      </c>
      <c r="C786" s="1" t="s">
        <v>937</v>
      </c>
      <c r="D786" s="2"/>
      <c r="E786" s="2"/>
      <c r="F786" s="8"/>
      <c r="G786" s="8"/>
      <c r="H786" s="8"/>
      <c r="I786" s="8"/>
      <c r="Q786" s="3"/>
      <c r="T786" s="3"/>
      <c r="W786" s="3"/>
      <c r="AC786" s="3"/>
      <c r="AI786" s="3"/>
      <c r="AL786" s="3"/>
      <c r="AO786" s="3"/>
      <c r="BH786" s="3">
        <v>25.32</v>
      </c>
      <c r="BI786" s="1" t="s">
        <v>852</v>
      </c>
    </row>
    <row r="787" spans="1:61">
      <c r="B787" s="1" t="s">
        <v>666</v>
      </c>
      <c r="C787" s="1" t="s">
        <v>963</v>
      </c>
      <c r="D787" s="2"/>
      <c r="E787" s="2"/>
      <c r="F787" s="8"/>
      <c r="G787" s="8"/>
      <c r="H787" s="8"/>
      <c r="I787" s="8"/>
      <c r="Q787" s="3"/>
      <c r="T787" s="3"/>
      <c r="W787" s="3"/>
      <c r="AC787" s="3"/>
      <c r="AI787" s="3"/>
      <c r="AL787" s="3"/>
      <c r="AO787" s="3"/>
      <c r="BH787" s="3">
        <v>56.09</v>
      </c>
      <c r="BI787" s="1" t="s">
        <v>852</v>
      </c>
    </row>
    <row r="788" spans="1:61">
      <c r="B788" s="1" t="s">
        <v>666</v>
      </c>
      <c r="C788" s="1" t="s">
        <v>288</v>
      </c>
      <c r="D788" s="2"/>
      <c r="E788" s="2"/>
      <c r="F788" s="8"/>
      <c r="G788" s="8"/>
      <c r="H788" s="8"/>
      <c r="I788" s="8"/>
      <c r="Q788" s="3"/>
      <c r="T788" s="3"/>
      <c r="W788" s="3"/>
      <c r="X788" s="3">
        <v>15.6</v>
      </c>
      <c r="AA788" s="3">
        <v>9.7349999999999994</v>
      </c>
      <c r="AC788" s="3">
        <f>AA788-X788</f>
        <v>-5.8650000000000002</v>
      </c>
      <c r="AD788" s="24">
        <v>10.307</v>
      </c>
      <c r="AG788" s="3">
        <v>12.5</v>
      </c>
      <c r="AI788" s="3">
        <f>AG788-AD788</f>
        <v>2.1929999999999996</v>
      </c>
      <c r="AJ788" s="3">
        <v>12</v>
      </c>
      <c r="AL788" s="3">
        <f>AJ788-AG788</f>
        <v>-0.5</v>
      </c>
      <c r="AM788" s="3">
        <v>11.4</v>
      </c>
      <c r="AO788" s="3">
        <f>AM788-AJ788</f>
        <v>-0.59999999999999964</v>
      </c>
      <c r="AP788" s="3">
        <v>14.5</v>
      </c>
      <c r="AS788" s="3">
        <v>8.6</v>
      </c>
      <c r="AV788" s="3">
        <v>8.6</v>
      </c>
      <c r="AY788" s="3">
        <v>8.6</v>
      </c>
      <c r="AZ788" s="3">
        <v>7.8</v>
      </c>
      <c r="BA788" s="1" t="s">
        <v>852</v>
      </c>
      <c r="BC788" s="3">
        <v>7.8</v>
      </c>
      <c r="BD788" s="3">
        <v>6.08</v>
      </c>
      <c r="BE788" s="1" t="s">
        <v>852</v>
      </c>
      <c r="BG788" s="3">
        <v>6.08</v>
      </c>
      <c r="BH788" s="3">
        <v>9.1340000000000003</v>
      </c>
      <c r="BI788" s="1" t="s">
        <v>852</v>
      </c>
    </row>
    <row r="789" spans="1:61">
      <c r="A789" s="6">
        <v>11</v>
      </c>
      <c r="B789" s="1" t="s">
        <v>666</v>
      </c>
      <c r="C789" s="1" t="s">
        <v>57</v>
      </c>
      <c r="D789" s="2"/>
      <c r="E789" s="2"/>
      <c r="F789" s="8">
        <v>30</v>
      </c>
      <c r="G789" s="8">
        <v>9.5</v>
      </c>
      <c r="H789" s="8">
        <v>9.5</v>
      </c>
      <c r="I789" s="8"/>
      <c r="L789" s="1" t="s">
        <v>387</v>
      </c>
      <c r="M789" s="3">
        <v>45</v>
      </c>
      <c r="O789" s="3">
        <v>45</v>
      </c>
      <c r="P789" s="1" t="s">
        <v>283</v>
      </c>
      <c r="Q789" s="3">
        <f>O789-H789</f>
        <v>35.5</v>
      </c>
      <c r="R789" s="3">
        <v>17.32</v>
      </c>
      <c r="T789" s="3">
        <f>R789-O789</f>
        <v>-27.68</v>
      </c>
      <c r="U789" s="3">
        <v>19</v>
      </c>
      <c r="W789" s="3">
        <f>U789-R789</f>
        <v>1.6799999999999997</v>
      </c>
    </row>
    <row r="790" spans="1:61">
      <c r="B790" s="1" t="s">
        <v>666</v>
      </c>
      <c r="C790" s="1" t="s">
        <v>287</v>
      </c>
      <c r="D790" s="2"/>
      <c r="E790" s="2"/>
      <c r="F790" s="8"/>
      <c r="G790" s="8"/>
      <c r="H790" s="8"/>
      <c r="I790" s="8"/>
      <c r="Q790" s="3"/>
      <c r="T790" s="3"/>
      <c r="W790" s="3"/>
      <c r="AD790" s="24">
        <v>8.5</v>
      </c>
      <c r="AG790" s="3">
        <v>9</v>
      </c>
      <c r="AI790" s="3">
        <f>AG790-AD790</f>
        <v>0.5</v>
      </c>
      <c r="AJ790" s="3">
        <v>9</v>
      </c>
      <c r="AL790" s="3">
        <f>AJ790-AG790</f>
        <v>0</v>
      </c>
      <c r="AM790" s="3">
        <v>8.9</v>
      </c>
      <c r="AO790" s="3">
        <f>AM790-AJ790</f>
        <v>-9.9999999999999645E-2</v>
      </c>
      <c r="AP790" s="3">
        <v>11.9</v>
      </c>
      <c r="AS790" s="3">
        <v>11.1</v>
      </c>
      <c r="AV790" s="3">
        <v>11.1</v>
      </c>
      <c r="BD790" s="3">
        <v>4.8380000000000001</v>
      </c>
      <c r="BE790" s="1" t="s">
        <v>852</v>
      </c>
      <c r="BG790" s="3">
        <v>4.8380000000000001</v>
      </c>
      <c r="BH790" s="3">
        <v>8.1839999999999993</v>
      </c>
      <c r="BI790" s="1" t="s">
        <v>852</v>
      </c>
    </row>
    <row r="791" spans="1:61">
      <c r="A791" s="6">
        <v>1</v>
      </c>
      <c r="B791" s="103" t="s">
        <v>575</v>
      </c>
      <c r="C791" s="1" t="s">
        <v>52</v>
      </c>
      <c r="D791" s="2">
        <v>0.42</v>
      </c>
      <c r="E791" s="2"/>
      <c r="F791" s="9">
        <v>0</v>
      </c>
      <c r="G791" s="9">
        <v>12</v>
      </c>
      <c r="H791" s="9">
        <v>12</v>
      </c>
      <c r="I791" s="8">
        <f>H791-D791</f>
        <v>11.58</v>
      </c>
      <c r="K791" s="3"/>
      <c r="M791" s="2" t="s">
        <v>685</v>
      </c>
      <c r="O791" s="2" t="s">
        <v>685</v>
      </c>
    </row>
    <row r="792" spans="1:61">
      <c r="A792" s="6">
        <v>3</v>
      </c>
      <c r="B792" s="103" t="s">
        <v>575</v>
      </c>
      <c r="C792" s="1" t="s">
        <v>54</v>
      </c>
      <c r="D792" s="2"/>
      <c r="E792" s="2"/>
      <c r="F792" s="9">
        <v>44</v>
      </c>
      <c r="H792" s="9">
        <v>44</v>
      </c>
      <c r="L792" s="1" t="s">
        <v>527</v>
      </c>
      <c r="M792" s="2" t="s">
        <v>685</v>
      </c>
      <c r="O792" s="2" t="s">
        <v>685</v>
      </c>
    </row>
    <row r="793" spans="1:61">
      <c r="A793" s="6">
        <v>4</v>
      </c>
      <c r="B793" s="103" t="s">
        <v>575</v>
      </c>
      <c r="C793" s="1" t="s">
        <v>55</v>
      </c>
      <c r="D793" s="2"/>
      <c r="E793" s="2"/>
      <c r="F793" s="9">
        <v>0</v>
      </c>
      <c r="H793" s="9">
        <v>0</v>
      </c>
      <c r="M793" s="2" t="s">
        <v>685</v>
      </c>
      <c r="O793" s="2" t="s">
        <v>685</v>
      </c>
    </row>
    <row r="794" spans="1:61">
      <c r="A794" s="6">
        <v>5</v>
      </c>
      <c r="B794" s="103" t="s">
        <v>575</v>
      </c>
      <c r="C794" s="1" t="s">
        <v>56</v>
      </c>
      <c r="D794" s="2"/>
      <c r="E794" s="2"/>
      <c r="F794" s="9">
        <v>0</v>
      </c>
      <c r="H794" s="9">
        <v>0</v>
      </c>
      <c r="M794" s="2" t="s">
        <v>685</v>
      </c>
      <c r="O794" s="2" t="s">
        <v>685</v>
      </c>
    </row>
    <row r="795" spans="1:61">
      <c r="A795" s="6">
        <v>2</v>
      </c>
      <c r="B795" s="103" t="s">
        <v>575</v>
      </c>
      <c r="C795" s="1" t="s">
        <v>53</v>
      </c>
      <c r="D795" s="2">
        <v>12.8</v>
      </c>
      <c r="E795" s="2"/>
      <c r="F795" s="9">
        <v>12</v>
      </c>
      <c r="G795" s="9">
        <v>44</v>
      </c>
      <c r="H795" s="9">
        <v>44</v>
      </c>
      <c r="I795" s="10">
        <f>H795-D795</f>
        <v>31.2</v>
      </c>
      <c r="K795" s="3"/>
      <c r="L795" s="1" t="s">
        <v>72</v>
      </c>
      <c r="M795" s="2">
        <v>46</v>
      </c>
      <c r="O795" s="2">
        <v>46</v>
      </c>
      <c r="Q795" s="3">
        <f>O795-H795</f>
        <v>2</v>
      </c>
    </row>
    <row r="796" spans="1:61">
      <c r="B796" s="103" t="s">
        <v>575</v>
      </c>
      <c r="C796" s="1" t="s">
        <v>597</v>
      </c>
      <c r="D796" s="2"/>
      <c r="E796" s="2"/>
      <c r="K796" s="3"/>
      <c r="Q796" s="3"/>
      <c r="T796" s="3"/>
      <c r="W796" s="3"/>
      <c r="AC796" s="3"/>
      <c r="AD796" s="24">
        <v>14.5</v>
      </c>
      <c r="AG796" s="3">
        <v>15</v>
      </c>
      <c r="AJ796" s="3">
        <v>15</v>
      </c>
      <c r="AM796" s="3">
        <v>15</v>
      </c>
      <c r="AP796" s="3">
        <v>15</v>
      </c>
      <c r="AS796" s="3">
        <v>16</v>
      </c>
      <c r="AV796" s="3">
        <v>21</v>
      </c>
      <c r="BH796" s="3">
        <v>27.5</v>
      </c>
      <c r="BI796" s="1" t="s">
        <v>852</v>
      </c>
    </row>
    <row r="797" spans="1:61">
      <c r="B797" s="103" t="s">
        <v>575</v>
      </c>
      <c r="C797" s="1" t="s">
        <v>595</v>
      </c>
      <c r="D797" s="2"/>
      <c r="E797" s="2"/>
      <c r="K797" s="3"/>
      <c r="Q797" s="3"/>
      <c r="R797" s="3">
        <v>12</v>
      </c>
      <c r="T797" s="3"/>
      <c r="U797" s="3">
        <v>11</v>
      </c>
      <c r="W797" s="3">
        <f>U797-R797</f>
        <v>-1</v>
      </c>
      <c r="X797" s="3">
        <v>8.24</v>
      </c>
      <c r="Z797" s="3">
        <f>X797-U797</f>
        <v>-2.76</v>
      </c>
      <c r="AA797" s="3">
        <v>10.050000000000001</v>
      </c>
      <c r="AC797" s="3">
        <f>AA797-X797</f>
        <v>1.8100000000000005</v>
      </c>
      <c r="AD797" s="24">
        <v>9.35</v>
      </c>
      <c r="AF797" s="24">
        <f>AD797-AA797</f>
        <v>-0.70000000000000107</v>
      </c>
      <c r="AG797" s="3">
        <v>15</v>
      </c>
      <c r="AI797" s="3">
        <f>AG797-AD797</f>
        <v>5.65</v>
      </c>
      <c r="AJ797" s="3">
        <v>16</v>
      </c>
      <c r="AL797" s="3">
        <f>AJ797-AG797</f>
        <v>1</v>
      </c>
    </row>
    <row r="798" spans="1:61">
      <c r="A798" s="6">
        <v>12</v>
      </c>
      <c r="B798" s="103" t="s">
        <v>575</v>
      </c>
      <c r="C798" s="1" t="s">
        <v>594</v>
      </c>
      <c r="D798" s="2">
        <v>0.24</v>
      </c>
      <c r="E798" s="2"/>
      <c r="F798" s="9">
        <v>2.8</v>
      </c>
      <c r="G798" s="9">
        <v>2.8</v>
      </c>
      <c r="H798" s="9">
        <v>2.8</v>
      </c>
      <c r="I798" s="9">
        <f>H798-D798</f>
        <v>2.5599999999999996</v>
      </c>
      <c r="K798" s="3"/>
      <c r="M798" s="3">
        <v>4.25</v>
      </c>
      <c r="O798" s="3">
        <v>4.25</v>
      </c>
      <c r="Q798" s="3">
        <f>O798-H798</f>
        <v>1.4500000000000002</v>
      </c>
      <c r="R798" s="3">
        <v>3.67</v>
      </c>
      <c r="T798" s="3">
        <f>R798-O798</f>
        <v>-0.58000000000000007</v>
      </c>
      <c r="U798" s="3">
        <v>2</v>
      </c>
      <c r="W798" s="3">
        <f>U798-R798</f>
        <v>-1.67</v>
      </c>
      <c r="X798" s="3">
        <v>2.27</v>
      </c>
      <c r="Z798" s="3">
        <f>X798-U798</f>
        <v>0.27</v>
      </c>
      <c r="AA798" s="3">
        <v>8.3800000000000008</v>
      </c>
      <c r="AC798" s="3">
        <f>AA798-X798</f>
        <v>6.1100000000000012</v>
      </c>
      <c r="AD798" s="24">
        <v>6.61</v>
      </c>
      <c r="AF798" s="24">
        <f>AD798-AA798</f>
        <v>-1.7700000000000005</v>
      </c>
      <c r="AG798" s="3">
        <v>7</v>
      </c>
      <c r="AI798" s="3">
        <f>AG798-AD798</f>
        <v>0.38999999999999968</v>
      </c>
      <c r="AJ798" s="3">
        <v>7.6</v>
      </c>
      <c r="AL798" s="3">
        <f>AJ798-AG798</f>
        <v>0.59999999999999964</v>
      </c>
      <c r="AM798" s="3">
        <v>8.6</v>
      </c>
      <c r="AO798" s="3">
        <f>AM798-AJ798</f>
        <v>1</v>
      </c>
      <c r="AP798" s="3">
        <v>17.64</v>
      </c>
      <c r="AS798" s="3">
        <v>18</v>
      </c>
      <c r="AV798" s="3">
        <v>8</v>
      </c>
      <c r="AY798" s="3">
        <v>8</v>
      </c>
      <c r="AZ798" s="3">
        <v>7</v>
      </c>
      <c r="BA798" s="1" t="s">
        <v>852</v>
      </c>
      <c r="BC798" s="3">
        <v>7</v>
      </c>
      <c r="BD798" s="3">
        <v>7.17</v>
      </c>
      <c r="BE798" s="1" t="s">
        <v>852</v>
      </c>
      <c r="BH798" s="3">
        <v>7</v>
      </c>
      <c r="BI798" s="1" t="s">
        <v>852</v>
      </c>
    </row>
    <row r="799" spans="1:61">
      <c r="A799" s="6">
        <v>14</v>
      </c>
      <c r="B799" s="103" t="s">
        <v>575</v>
      </c>
      <c r="C799" s="1" t="s">
        <v>58</v>
      </c>
      <c r="D799" s="2">
        <v>0.24</v>
      </c>
      <c r="E799" s="2"/>
      <c r="F799" s="9">
        <v>10.3</v>
      </c>
      <c r="G799" s="9">
        <v>10.3</v>
      </c>
      <c r="H799" s="9">
        <v>10.3</v>
      </c>
      <c r="I799" s="9">
        <f>H799-D799</f>
        <v>10.06</v>
      </c>
      <c r="K799" s="3"/>
      <c r="M799" s="3">
        <v>14.05</v>
      </c>
      <c r="O799" s="3">
        <v>14.05</v>
      </c>
      <c r="Q799" s="3">
        <f>O799-H799</f>
        <v>3.75</v>
      </c>
      <c r="R799" s="3">
        <v>13</v>
      </c>
      <c r="T799" s="3">
        <f>R799-O799</f>
        <v>-1.0500000000000007</v>
      </c>
      <c r="U799" s="3">
        <v>13.5</v>
      </c>
      <c r="W799" s="3">
        <f>U799-R799</f>
        <v>0.5</v>
      </c>
      <c r="X799" s="3">
        <v>14</v>
      </c>
      <c r="Z799" s="3">
        <f>X799-U799</f>
        <v>0.5</v>
      </c>
      <c r="AA799" s="3">
        <v>16.25</v>
      </c>
      <c r="AC799" s="3">
        <f>AA799-X799</f>
        <v>2.25</v>
      </c>
      <c r="AD799" s="24">
        <v>14</v>
      </c>
      <c r="AF799" s="24">
        <f>AD799-AA799</f>
        <v>-2.25</v>
      </c>
      <c r="AG799" s="3">
        <v>15</v>
      </c>
      <c r="AI799" s="3">
        <f>AG799-AD799</f>
        <v>1</v>
      </c>
      <c r="AJ799" s="3">
        <v>14</v>
      </c>
      <c r="AL799" s="3">
        <f>AJ799-AG799</f>
        <v>-1</v>
      </c>
      <c r="AM799" s="3">
        <v>14</v>
      </c>
      <c r="AO799" s="3">
        <f>AM799-AJ799</f>
        <v>0</v>
      </c>
      <c r="AP799" s="3">
        <v>12</v>
      </c>
      <c r="AS799" s="3">
        <v>12</v>
      </c>
      <c r="AV799" s="3">
        <v>10</v>
      </c>
      <c r="AY799" s="3">
        <v>10</v>
      </c>
      <c r="AZ799" s="3">
        <v>14</v>
      </c>
      <c r="BA799" s="1" t="s">
        <v>852</v>
      </c>
      <c r="BC799" s="3">
        <v>14</v>
      </c>
      <c r="BD799" s="3">
        <v>12.86</v>
      </c>
      <c r="BE799" s="1" t="s">
        <v>852</v>
      </c>
      <c r="BH799" s="3">
        <v>13.97</v>
      </c>
      <c r="BI799" s="1" t="s">
        <v>852</v>
      </c>
    </row>
    <row r="800" spans="1:61">
      <c r="B800" s="103" t="s">
        <v>575</v>
      </c>
      <c r="C800" s="1" t="s">
        <v>289</v>
      </c>
      <c r="D800" s="2"/>
      <c r="E800" s="2"/>
      <c r="K800" s="3"/>
      <c r="Q800" s="3"/>
      <c r="T800" s="3"/>
      <c r="W800" s="3"/>
      <c r="AC800" s="3"/>
      <c r="AF800" s="24"/>
      <c r="AI800" s="3"/>
      <c r="AL800" s="3"/>
      <c r="AO800" s="3"/>
      <c r="AP800" s="3">
        <v>55.88</v>
      </c>
      <c r="AS800" s="3">
        <v>45</v>
      </c>
      <c r="AV800" s="3">
        <v>12</v>
      </c>
      <c r="AY800" s="3">
        <v>12</v>
      </c>
      <c r="AZ800" s="3">
        <v>12</v>
      </c>
      <c r="BA800" s="1" t="s">
        <v>852</v>
      </c>
      <c r="BC800" s="3">
        <v>12</v>
      </c>
      <c r="BD800" s="3">
        <v>13.88</v>
      </c>
      <c r="BE800" s="1" t="s">
        <v>852</v>
      </c>
      <c r="BH800" s="3">
        <v>16</v>
      </c>
      <c r="BI800" s="1" t="s">
        <v>852</v>
      </c>
    </row>
    <row r="801" spans="1:61">
      <c r="B801" s="103" t="s">
        <v>575</v>
      </c>
      <c r="C801" s="1" t="s">
        <v>290</v>
      </c>
      <c r="D801" s="2"/>
      <c r="E801" s="2"/>
      <c r="K801" s="3"/>
      <c r="Q801" s="3"/>
      <c r="T801" s="3"/>
      <c r="W801" s="3"/>
      <c r="AC801" s="3"/>
      <c r="AF801" s="24"/>
      <c r="AI801" s="3"/>
      <c r="AL801" s="3"/>
      <c r="AO801" s="3"/>
      <c r="AZ801" s="3">
        <v>13.75</v>
      </c>
      <c r="BA801" s="1" t="s">
        <v>852</v>
      </c>
      <c r="BC801" s="3">
        <v>13.75</v>
      </c>
      <c r="BD801" s="3">
        <v>10.199999999999999</v>
      </c>
      <c r="BE801" s="1" t="s">
        <v>852</v>
      </c>
      <c r="BH801" s="3">
        <v>32.380000000000003</v>
      </c>
      <c r="BI801" s="1" t="s">
        <v>852</v>
      </c>
    </row>
    <row r="802" spans="1:61">
      <c r="B802" s="103" t="s">
        <v>575</v>
      </c>
      <c r="C802" s="1" t="s">
        <v>64</v>
      </c>
      <c r="D802" s="2"/>
      <c r="E802" s="2"/>
      <c r="K802" s="3"/>
      <c r="Q802" s="3"/>
      <c r="R802" s="3">
        <v>16</v>
      </c>
      <c r="T802" s="3"/>
      <c r="U802" s="3">
        <v>18</v>
      </c>
      <c r="W802" s="3">
        <f>U802-R802</f>
        <v>2</v>
      </c>
      <c r="X802" s="3">
        <v>16</v>
      </c>
      <c r="Z802" s="3">
        <f>X802-U802</f>
        <v>-2</v>
      </c>
      <c r="AA802" s="3">
        <v>20.95</v>
      </c>
      <c r="AC802" s="3">
        <f>AA802-X802</f>
        <v>4.9499999999999993</v>
      </c>
      <c r="AD802" s="24">
        <v>12.86</v>
      </c>
      <c r="AF802" s="24">
        <f>AD802-AA802</f>
        <v>-8.09</v>
      </c>
      <c r="AG802" s="3">
        <v>13</v>
      </c>
      <c r="AI802" s="3">
        <f>AG802-AD802</f>
        <v>0.14000000000000057</v>
      </c>
      <c r="AJ802" s="3">
        <v>12</v>
      </c>
      <c r="AL802" s="3">
        <f>AJ802-AG802</f>
        <v>-1</v>
      </c>
      <c r="AM802" s="3">
        <v>12</v>
      </c>
      <c r="AO802" s="3">
        <f>AM802-AJ802</f>
        <v>0</v>
      </c>
      <c r="AP802" s="3">
        <v>13</v>
      </c>
      <c r="AS802" s="3">
        <v>14</v>
      </c>
      <c r="AV802" s="3">
        <v>12</v>
      </c>
      <c r="AY802" s="3">
        <v>12</v>
      </c>
      <c r="AZ802" s="3">
        <v>12.86</v>
      </c>
      <c r="BA802" s="1" t="s">
        <v>852</v>
      </c>
      <c r="BC802" s="3">
        <v>12.86</v>
      </c>
      <c r="BD802" s="3">
        <v>10.38</v>
      </c>
      <c r="BE802" s="1" t="s">
        <v>852</v>
      </c>
      <c r="BH802" s="3">
        <v>21.36</v>
      </c>
      <c r="BI802" s="1" t="s">
        <v>852</v>
      </c>
    </row>
    <row r="803" spans="1:61">
      <c r="B803" s="103" t="s">
        <v>575</v>
      </c>
      <c r="C803" s="1" t="s">
        <v>286</v>
      </c>
      <c r="D803" s="2"/>
      <c r="E803" s="2"/>
      <c r="K803" s="3"/>
      <c r="Q803" s="3"/>
      <c r="R803" s="3">
        <v>18.5</v>
      </c>
      <c r="T803" s="3"/>
      <c r="U803" s="3">
        <v>18</v>
      </c>
      <c r="W803" s="3">
        <f>U803-R803</f>
        <v>-0.5</v>
      </c>
      <c r="X803" s="3">
        <v>5</v>
      </c>
      <c r="Z803" s="3">
        <f>X803-U803</f>
        <v>-13</v>
      </c>
      <c r="AA803" s="3">
        <v>24.33</v>
      </c>
      <c r="AC803" s="3">
        <f>AA803-X803</f>
        <v>19.329999999999998</v>
      </c>
      <c r="AD803" s="24">
        <v>15.16</v>
      </c>
      <c r="AF803" s="24">
        <f>AD803-AA803</f>
        <v>-9.1699999999999982</v>
      </c>
      <c r="AG803" s="3">
        <v>15.16</v>
      </c>
      <c r="AI803" s="3">
        <f>AG803-AD803</f>
        <v>0</v>
      </c>
      <c r="AJ803" s="3">
        <v>20.12</v>
      </c>
      <c r="AL803" s="3">
        <f>AJ803-AG803</f>
        <v>4.9600000000000009</v>
      </c>
      <c r="AP803" s="3">
        <v>14</v>
      </c>
      <c r="BH803" s="3">
        <v>21</v>
      </c>
      <c r="BI803" s="1" t="s">
        <v>852</v>
      </c>
    </row>
    <row r="804" spans="1:61">
      <c r="B804" s="103" t="s">
        <v>575</v>
      </c>
      <c r="C804" s="1" t="s">
        <v>937</v>
      </c>
      <c r="D804" s="2"/>
      <c r="E804" s="2"/>
      <c r="K804" s="3"/>
      <c r="Q804" s="3"/>
      <c r="T804" s="3"/>
      <c r="W804" s="3"/>
      <c r="AC804" s="3"/>
      <c r="AF804" s="24"/>
      <c r="AI804" s="3"/>
      <c r="AL804" s="3"/>
      <c r="BH804" s="3">
        <v>16.21</v>
      </c>
      <c r="BI804" s="1" t="s">
        <v>852</v>
      </c>
    </row>
    <row r="805" spans="1:61">
      <c r="B805" s="103" t="s">
        <v>575</v>
      </c>
      <c r="C805" s="1" t="s">
        <v>288</v>
      </c>
      <c r="D805" s="2"/>
      <c r="E805" s="2"/>
      <c r="K805" s="3"/>
      <c r="Q805" s="3"/>
      <c r="R805" s="3">
        <v>35</v>
      </c>
      <c r="T805" s="3"/>
      <c r="U805" s="3">
        <v>35</v>
      </c>
      <c r="W805" s="3">
        <f>U805-R805</f>
        <v>0</v>
      </c>
      <c r="X805" s="3">
        <v>5</v>
      </c>
      <c r="Z805" s="3">
        <f>X805-U805</f>
        <v>-30</v>
      </c>
      <c r="AA805" s="3">
        <v>22.12</v>
      </c>
      <c r="AC805" s="3">
        <f>AA805-X805</f>
        <v>17.12</v>
      </c>
      <c r="AD805" s="24">
        <v>13.78</v>
      </c>
      <c r="AF805" s="24">
        <f>AD805-AA805</f>
        <v>-8.3400000000000016</v>
      </c>
      <c r="AG805" s="3">
        <v>9</v>
      </c>
      <c r="AI805" s="3">
        <f>AG805-AD805</f>
        <v>-4.7799999999999994</v>
      </c>
      <c r="AJ805" s="3">
        <v>10</v>
      </c>
      <c r="AL805" s="3">
        <f>AJ805-AG805</f>
        <v>1</v>
      </c>
      <c r="AM805" s="3">
        <v>7.7</v>
      </c>
      <c r="AO805" s="3">
        <f>AM805-AJ805</f>
        <v>-2.2999999999999998</v>
      </c>
      <c r="AP805" s="3">
        <v>11</v>
      </c>
      <c r="AS805" s="3">
        <v>10</v>
      </c>
      <c r="AV805" s="3">
        <v>12</v>
      </c>
      <c r="AY805" s="3">
        <v>12</v>
      </c>
      <c r="AZ805" s="3">
        <v>8.8000000000000007</v>
      </c>
      <c r="BA805" s="1" t="s">
        <v>852</v>
      </c>
      <c r="BC805" s="3">
        <v>8.8000000000000007</v>
      </c>
      <c r="BD805" s="3">
        <v>8.8000000000000007</v>
      </c>
      <c r="BE805" s="1" t="s">
        <v>852</v>
      </c>
      <c r="BH805" s="3">
        <v>13.91</v>
      </c>
      <c r="BI805" s="1" t="s">
        <v>852</v>
      </c>
    </row>
    <row r="806" spans="1:61">
      <c r="B806" s="103" t="s">
        <v>575</v>
      </c>
      <c r="C806" s="1" t="s">
        <v>877</v>
      </c>
      <c r="D806" s="2"/>
      <c r="E806" s="2"/>
      <c r="K806" s="3"/>
      <c r="Q806" s="3"/>
      <c r="T806" s="3"/>
      <c r="W806" s="3"/>
      <c r="AC806" s="3"/>
      <c r="AF806" s="24"/>
      <c r="AI806" s="3"/>
      <c r="AL806" s="3"/>
      <c r="AO806" s="3"/>
      <c r="BH806" s="3">
        <v>21.18</v>
      </c>
      <c r="BI806" s="1" t="s">
        <v>852</v>
      </c>
    </row>
    <row r="807" spans="1:61">
      <c r="B807" s="103" t="s">
        <v>575</v>
      </c>
      <c r="C807" s="1" t="s">
        <v>875</v>
      </c>
      <c r="D807" s="2"/>
      <c r="E807" s="2"/>
      <c r="K807" s="3"/>
      <c r="Q807" s="3"/>
      <c r="T807" s="3"/>
      <c r="W807" s="3"/>
      <c r="AC807" s="3"/>
      <c r="AF807" s="24"/>
      <c r="AI807" s="3"/>
      <c r="AL807" s="3"/>
      <c r="AO807" s="3"/>
      <c r="BH807" s="3">
        <v>18.77</v>
      </c>
      <c r="BI807" s="1" t="s">
        <v>852</v>
      </c>
    </row>
    <row r="808" spans="1:61">
      <c r="B808" s="103" t="s">
        <v>575</v>
      </c>
      <c r="C808" s="1" t="s">
        <v>874</v>
      </c>
      <c r="D808" s="2"/>
      <c r="E808" s="2"/>
      <c r="K808" s="3"/>
      <c r="Q808" s="3"/>
      <c r="T808" s="3"/>
      <c r="W808" s="3"/>
      <c r="AC808" s="3"/>
      <c r="AF808" s="24"/>
      <c r="AI808" s="3"/>
      <c r="AL808" s="3"/>
      <c r="AO808" s="3"/>
      <c r="BH808" s="3">
        <v>23.38</v>
      </c>
      <c r="BI808" s="1" t="s">
        <v>852</v>
      </c>
    </row>
    <row r="809" spans="1:61">
      <c r="A809" s="6">
        <v>11</v>
      </c>
      <c r="B809" s="103" t="s">
        <v>575</v>
      </c>
      <c r="C809" s="1" t="s">
        <v>57</v>
      </c>
      <c r="D809" s="2"/>
      <c r="E809" s="2"/>
      <c r="F809" s="9">
        <v>0</v>
      </c>
      <c r="H809" s="9">
        <v>0</v>
      </c>
      <c r="M809" s="2" t="s">
        <v>685</v>
      </c>
      <c r="O809" s="2" t="s">
        <v>685</v>
      </c>
    </row>
    <row r="810" spans="1:61">
      <c r="B810" s="103" t="s">
        <v>575</v>
      </c>
      <c r="C810" s="1" t="s">
        <v>287</v>
      </c>
      <c r="D810" s="2"/>
      <c r="E810" s="2"/>
      <c r="K810" s="3"/>
      <c r="Q810" s="3"/>
      <c r="R810" s="3">
        <v>14.7</v>
      </c>
      <c r="T810" s="3"/>
      <c r="U810" s="3">
        <v>15</v>
      </c>
      <c r="W810" s="3">
        <f>U810-R810</f>
        <v>0.30000000000000071</v>
      </c>
      <c r="X810" s="3">
        <v>14</v>
      </c>
      <c r="Z810" s="3">
        <f>X810-U810</f>
        <v>-1</v>
      </c>
      <c r="AA810" s="3">
        <v>23.38</v>
      </c>
      <c r="AC810" s="3">
        <f>AA810-X810</f>
        <v>9.379999999999999</v>
      </c>
      <c r="AD810" s="24">
        <v>12.86</v>
      </c>
      <c r="AF810" s="24">
        <f>AD810-AA810</f>
        <v>-10.52</v>
      </c>
      <c r="AG810" s="3">
        <v>14</v>
      </c>
      <c r="AI810" s="3">
        <f>AG810-AD810</f>
        <v>1.1400000000000006</v>
      </c>
      <c r="AJ810" s="3">
        <v>14</v>
      </c>
      <c r="AL810" s="3">
        <f>AJ810-AG810</f>
        <v>0</v>
      </c>
      <c r="AM810" s="3">
        <v>14</v>
      </c>
      <c r="AO810" s="3">
        <f>AM810-AJ810</f>
        <v>0</v>
      </c>
      <c r="AP810" s="3">
        <v>15</v>
      </c>
      <c r="AS810" s="3">
        <v>15</v>
      </c>
      <c r="AV810" s="3">
        <v>13</v>
      </c>
      <c r="AY810" s="3">
        <v>13</v>
      </c>
      <c r="AZ810" s="3">
        <v>13</v>
      </c>
      <c r="BA810" s="1" t="s">
        <v>852</v>
      </c>
      <c r="BC810" s="3">
        <v>13</v>
      </c>
      <c r="BD810" s="3">
        <v>12.4</v>
      </c>
      <c r="BE810" s="1" t="s">
        <v>852</v>
      </c>
      <c r="BH810" s="3">
        <v>8.64</v>
      </c>
      <c r="BI810" s="1" t="s">
        <v>852</v>
      </c>
    </row>
    <row r="811" spans="1:61">
      <c r="A811" s="6">
        <v>1</v>
      </c>
      <c r="B811" s="103" t="s">
        <v>363</v>
      </c>
      <c r="C811" s="1" t="s">
        <v>52</v>
      </c>
      <c r="D811" s="2"/>
      <c r="E811" s="2"/>
      <c r="K811" s="3"/>
      <c r="Q811" s="3"/>
      <c r="T811" s="3"/>
      <c r="W811" s="3"/>
      <c r="AN811" s="1" t="s">
        <v>285</v>
      </c>
      <c r="AQ811" s="1" t="s">
        <v>285</v>
      </c>
      <c r="AT811" s="1" t="s">
        <v>285</v>
      </c>
      <c r="AW811" s="1" t="s">
        <v>285</v>
      </c>
    </row>
    <row r="812" spans="1:61">
      <c r="A812" s="6">
        <v>3</v>
      </c>
      <c r="B812" s="103" t="s">
        <v>363</v>
      </c>
      <c r="C812" s="1" t="s">
        <v>54</v>
      </c>
      <c r="D812" s="2"/>
      <c r="E812" s="2"/>
      <c r="K812" s="3"/>
      <c r="Q812" s="3"/>
      <c r="T812" s="3"/>
      <c r="W812" s="3"/>
      <c r="AN812" s="1" t="s">
        <v>285</v>
      </c>
      <c r="AQ812" s="1" t="s">
        <v>285</v>
      </c>
      <c r="AT812" s="1" t="s">
        <v>285</v>
      </c>
      <c r="AW812" s="1" t="s">
        <v>285</v>
      </c>
    </row>
    <row r="813" spans="1:61">
      <c r="A813" s="6">
        <v>4</v>
      </c>
      <c r="B813" s="103" t="s">
        <v>363</v>
      </c>
      <c r="C813" s="1" t="s">
        <v>55</v>
      </c>
      <c r="D813" s="2"/>
      <c r="E813" s="2"/>
      <c r="K813" s="3"/>
      <c r="Q813" s="3"/>
      <c r="T813" s="3"/>
      <c r="W813" s="3"/>
      <c r="AN813" s="1" t="s">
        <v>285</v>
      </c>
      <c r="AQ813" s="1" t="s">
        <v>285</v>
      </c>
      <c r="AT813" s="1" t="s">
        <v>285</v>
      </c>
      <c r="AW813" s="1" t="s">
        <v>285</v>
      </c>
    </row>
    <row r="814" spans="1:61">
      <c r="A814" s="6">
        <v>5</v>
      </c>
      <c r="B814" s="103" t="s">
        <v>363</v>
      </c>
      <c r="C814" s="1" t="s">
        <v>56</v>
      </c>
      <c r="D814" s="2"/>
      <c r="E814" s="2"/>
      <c r="K814" s="3"/>
      <c r="Q814" s="3"/>
      <c r="T814" s="3"/>
      <c r="W814" s="3"/>
      <c r="AN814" s="1" t="s">
        <v>285</v>
      </c>
      <c r="AQ814" s="1" t="s">
        <v>285</v>
      </c>
      <c r="AT814" s="1" t="s">
        <v>285</v>
      </c>
      <c r="AW814" s="1" t="s">
        <v>285</v>
      </c>
    </row>
    <row r="815" spans="1:61">
      <c r="A815" s="6">
        <v>2</v>
      </c>
      <c r="B815" s="103" t="s">
        <v>363</v>
      </c>
      <c r="C815" s="1" t="s">
        <v>53</v>
      </c>
      <c r="D815" s="2"/>
      <c r="E815" s="2"/>
      <c r="K815" s="3"/>
      <c r="Q815" s="3"/>
      <c r="T815" s="3"/>
      <c r="W815" s="3"/>
      <c r="AN815" s="1" t="s">
        <v>285</v>
      </c>
      <c r="AQ815" s="1" t="s">
        <v>285</v>
      </c>
      <c r="AT815" s="1" t="s">
        <v>285</v>
      </c>
      <c r="AW815" s="1" t="s">
        <v>285</v>
      </c>
    </row>
    <row r="816" spans="1:61">
      <c r="A816" s="6">
        <v>12</v>
      </c>
      <c r="B816" s="103" t="s">
        <v>363</v>
      </c>
      <c r="C816" s="1" t="s">
        <v>594</v>
      </c>
      <c r="D816" s="2"/>
      <c r="E816" s="2"/>
      <c r="K816" s="3"/>
      <c r="Q816" s="3"/>
      <c r="T816" s="3"/>
      <c r="U816" s="3">
        <v>13.7</v>
      </c>
      <c r="W816" s="3"/>
      <c r="X816" s="3">
        <v>12</v>
      </c>
      <c r="Z816" s="3">
        <f>X816-U816</f>
        <v>-1.6999999999999993</v>
      </c>
      <c r="AA816" s="3">
        <v>13</v>
      </c>
      <c r="AC816" s="3">
        <f>AA816-X816</f>
        <v>1</v>
      </c>
      <c r="AD816" s="24">
        <v>11.5</v>
      </c>
      <c r="AG816" s="3">
        <v>12</v>
      </c>
      <c r="AI816" s="3">
        <f>AG816-AD816</f>
        <v>0.5</v>
      </c>
      <c r="AJ816" s="3">
        <v>6</v>
      </c>
      <c r="AL816" s="3">
        <f>AJ816-AG816</f>
        <v>-6</v>
      </c>
      <c r="AN816" s="1" t="s">
        <v>285</v>
      </c>
      <c r="AQ816" s="1" t="s">
        <v>285</v>
      </c>
      <c r="AT816" s="1" t="s">
        <v>285</v>
      </c>
      <c r="AW816" s="1" t="s">
        <v>285</v>
      </c>
      <c r="AZ816" s="3">
        <v>6</v>
      </c>
      <c r="BA816" s="1" t="s">
        <v>852</v>
      </c>
      <c r="BC816" s="3">
        <v>6</v>
      </c>
      <c r="BD816" s="3">
        <v>6</v>
      </c>
      <c r="BE816" s="1" t="s">
        <v>852</v>
      </c>
      <c r="BG816" s="3">
        <v>6</v>
      </c>
      <c r="BH816" s="3">
        <v>6</v>
      </c>
      <c r="BI816" s="1" t="s">
        <v>852</v>
      </c>
    </row>
    <row r="817" spans="1:61">
      <c r="A817" s="6">
        <v>14</v>
      </c>
      <c r="B817" s="103" t="s">
        <v>363</v>
      </c>
      <c r="C817" s="1" t="s">
        <v>58</v>
      </c>
      <c r="D817" s="2"/>
      <c r="E817" s="2"/>
      <c r="K817" s="3"/>
      <c r="Q817" s="3"/>
      <c r="T817" s="3"/>
      <c r="W817" s="3"/>
      <c r="X817" s="3">
        <v>18</v>
      </c>
      <c r="AA817" s="3">
        <v>18</v>
      </c>
      <c r="AC817" s="3">
        <f>AA817-X817</f>
        <v>0</v>
      </c>
      <c r="AD817" s="24">
        <v>17</v>
      </c>
      <c r="AG817" s="3">
        <v>17</v>
      </c>
      <c r="AI817" s="3">
        <f>AG817-AD817</f>
        <v>0</v>
      </c>
      <c r="AJ817" s="3">
        <v>6.1</v>
      </c>
      <c r="AL817" s="3">
        <f>AJ817-AG817</f>
        <v>-10.9</v>
      </c>
      <c r="AN817" s="1" t="s">
        <v>285</v>
      </c>
      <c r="AQ817" s="1" t="s">
        <v>285</v>
      </c>
      <c r="AT817" s="1" t="s">
        <v>285</v>
      </c>
      <c r="AW817" s="1" t="s">
        <v>285</v>
      </c>
      <c r="AZ817" s="3">
        <v>12.5</v>
      </c>
      <c r="BA817" s="1" t="s">
        <v>852</v>
      </c>
      <c r="BC817" s="3">
        <v>12.5</v>
      </c>
      <c r="BD817" s="3">
        <v>12.5</v>
      </c>
      <c r="BE817" s="1" t="s">
        <v>852</v>
      </c>
      <c r="BG817" s="3">
        <v>12.5</v>
      </c>
      <c r="BH817" s="3">
        <v>12.5</v>
      </c>
      <c r="BI817" s="1" t="s">
        <v>852</v>
      </c>
    </row>
    <row r="818" spans="1:61">
      <c r="B818" s="103" t="s">
        <v>363</v>
      </c>
      <c r="C818" s="1" t="s">
        <v>289</v>
      </c>
      <c r="D818" s="2"/>
      <c r="E818" s="2"/>
      <c r="K818" s="3"/>
      <c r="Q818" s="3"/>
      <c r="T818" s="3"/>
      <c r="W818" s="3"/>
      <c r="X818" s="3">
        <v>15</v>
      </c>
      <c r="AJ818" s="3">
        <v>14</v>
      </c>
      <c r="AN818" s="1" t="s">
        <v>285</v>
      </c>
      <c r="AQ818" s="1" t="s">
        <v>285</v>
      </c>
      <c r="AT818" s="1" t="s">
        <v>285</v>
      </c>
      <c r="AW818" s="1" t="s">
        <v>285</v>
      </c>
      <c r="AZ818" s="3">
        <v>19</v>
      </c>
      <c r="BA818" s="1" t="s">
        <v>852</v>
      </c>
      <c r="BC818" s="3">
        <v>19</v>
      </c>
      <c r="BD818" s="3">
        <v>19</v>
      </c>
      <c r="BE818" s="1" t="s">
        <v>852</v>
      </c>
      <c r="BG818" s="3">
        <v>19</v>
      </c>
      <c r="BH818" s="3">
        <v>19</v>
      </c>
      <c r="BI818" s="1" t="s">
        <v>852</v>
      </c>
    </row>
    <row r="819" spans="1:61">
      <c r="B819" s="103" t="s">
        <v>363</v>
      </c>
      <c r="C819" s="1" t="s">
        <v>290</v>
      </c>
      <c r="D819" s="2"/>
      <c r="E819" s="2"/>
      <c r="K819" s="3"/>
      <c r="Q819" s="3"/>
      <c r="T819" s="3"/>
      <c r="W819" s="3"/>
      <c r="AC819" s="3"/>
      <c r="AJ819" s="3">
        <v>14.2</v>
      </c>
      <c r="AN819" s="1" t="s">
        <v>285</v>
      </c>
      <c r="AQ819" s="1" t="s">
        <v>285</v>
      </c>
      <c r="AT819" s="1" t="s">
        <v>285</v>
      </c>
      <c r="AW819" s="1" t="s">
        <v>285</v>
      </c>
    </row>
    <row r="820" spans="1:61" ht="9.6" customHeight="1">
      <c r="B820" s="103" t="s">
        <v>363</v>
      </c>
      <c r="C820" s="1" t="s">
        <v>64</v>
      </c>
      <c r="D820" s="2"/>
      <c r="E820" s="2"/>
      <c r="K820" s="3"/>
      <c r="Q820" s="3"/>
      <c r="T820" s="3"/>
      <c r="W820" s="3"/>
      <c r="X820" s="3">
        <v>34</v>
      </c>
      <c r="AA820" s="3">
        <v>33</v>
      </c>
      <c r="AC820" s="3">
        <f>AA820-X820</f>
        <v>-1</v>
      </c>
      <c r="AD820" s="24">
        <v>35</v>
      </c>
      <c r="AG820" s="3">
        <v>35</v>
      </c>
      <c r="AI820" s="3">
        <f>AG820-AD820</f>
        <v>0</v>
      </c>
      <c r="AJ820" s="3">
        <v>11.6</v>
      </c>
      <c r="AL820" s="3">
        <f>AJ820-AG820</f>
        <v>-23.4</v>
      </c>
      <c r="AN820" s="1" t="s">
        <v>285</v>
      </c>
      <c r="AQ820" s="1" t="s">
        <v>285</v>
      </c>
      <c r="AT820" s="1" t="s">
        <v>285</v>
      </c>
      <c r="AW820" s="1" t="s">
        <v>285</v>
      </c>
      <c r="AZ820" s="3">
        <v>16</v>
      </c>
      <c r="BA820" s="1" t="s">
        <v>852</v>
      </c>
      <c r="BC820" s="3">
        <v>16</v>
      </c>
      <c r="BD820" s="3">
        <v>16</v>
      </c>
      <c r="BE820" s="1" t="s">
        <v>852</v>
      </c>
      <c r="BG820" s="3">
        <v>16</v>
      </c>
      <c r="BH820" s="3">
        <v>16</v>
      </c>
      <c r="BI820" s="1" t="s">
        <v>852</v>
      </c>
    </row>
    <row r="821" spans="1:61">
      <c r="B821" s="103" t="s">
        <v>363</v>
      </c>
      <c r="C821" s="1" t="s">
        <v>286</v>
      </c>
      <c r="D821" s="2"/>
      <c r="E821" s="2"/>
      <c r="K821" s="3"/>
      <c r="Q821" s="3"/>
      <c r="T821" s="3"/>
      <c r="W821" s="3"/>
      <c r="X821" s="3">
        <v>43</v>
      </c>
      <c r="AD821" s="24">
        <v>40</v>
      </c>
      <c r="AG821" s="3">
        <v>45</v>
      </c>
      <c r="AI821" s="3">
        <f>AG821-AD821</f>
        <v>5</v>
      </c>
      <c r="AJ821" s="3">
        <v>25</v>
      </c>
      <c r="AL821" s="3">
        <f>AJ821-AG821</f>
        <v>-20</v>
      </c>
      <c r="AN821" s="1" t="s">
        <v>285</v>
      </c>
      <c r="AQ821" s="1" t="s">
        <v>285</v>
      </c>
      <c r="AT821" s="1" t="s">
        <v>285</v>
      </c>
      <c r="AW821" s="1" t="s">
        <v>285</v>
      </c>
      <c r="AZ821" s="3">
        <v>14</v>
      </c>
      <c r="BA821" s="1" t="s">
        <v>852</v>
      </c>
      <c r="BC821" s="3">
        <v>14</v>
      </c>
      <c r="BD821" s="3">
        <v>14</v>
      </c>
      <c r="BE821" s="1" t="s">
        <v>852</v>
      </c>
      <c r="BG821" s="3">
        <v>14</v>
      </c>
      <c r="BH821" s="3">
        <v>14</v>
      </c>
      <c r="BI821" s="1" t="s">
        <v>852</v>
      </c>
    </row>
    <row r="822" spans="1:61">
      <c r="B822" s="103" t="s">
        <v>363</v>
      </c>
      <c r="C822" s="1" t="s">
        <v>288</v>
      </c>
      <c r="D822" s="2"/>
      <c r="E822" s="2"/>
      <c r="K822" s="3"/>
      <c r="Q822" s="3"/>
      <c r="T822" s="3"/>
      <c r="W822" s="3"/>
      <c r="X822" s="3">
        <v>43</v>
      </c>
      <c r="AA822" s="3">
        <v>40</v>
      </c>
      <c r="AC822" s="3">
        <f>AA822-X822</f>
        <v>-3</v>
      </c>
      <c r="AD822" s="24">
        <v>40</v>
      </c>
      <c r="AJ822" s="3">
        <v>26</v>
      </c>
      <c r="AL822" s="3"/>
      <c r="AN822" s="1" t="s">
        <v>285</v>
      </c>
      <c r="AQ822" s="1" t="s">
        <v>285</v>
      </c>
      <c r="AT822" s="1" t="s">
        <v>285</v>
      </c>
      <c r="AW822" s="1" t="s">
        <v>285</v>
      </c>
      <c r="AZ822" s="3">
        <v>19</v>
      </c>
      <c r="BA822" s="1" t="s">
        <v>852</v>
      </c>
      <c r="BC822" s="3">
        <v>19</v>
      </c>
      <c r="BD822" s="3">
        <v>19</v>
      </c>
      <c r="BE822" s="1" t="s">
        <v>852</v>
      </c>
      <c r="BG822" s="3">
        <v>19</v>
      </c>
      <c r="BH822" s="3">
        <v>19</v>
      </c>
      <c r="BI822" s="1" t="s">
        <v>852</v>
      </c>
    </row>
    <row r="823" spans="1:61">
      <c r="A823" s="6">
        <v>11</v>
      </c>
      <c r="B823" s="103" t="s">
        <v>363</v>
      </c>
      <c r="C823" s="1" t="s">
        <v>57</v>
      </c>
      <c r="D823" s="2"/>
      <c r="E823" s="2"/>
      <c r="K823" s="3"/>
      <c r="Q823" s="3"/>
      <c r="T823" s="3"/>
      <c r="W823" s="3"/>
      <c r="AN823" s="1" t="s">
        <v>285</v>
      </c>
      <c r="AQ823" s="1" t="s">
        <v>285</v>
      </c>
      <c r="AT823" s="1" t="s">
        <v>285</v>
      </c>
      <c r="AW823" s="1" t="s">
        <v>285</v>
      </c>
    </row>
    <row r="824" spans="1:61">
      <c r="A824" s="6">
        <v>1</v>
      </c>
      <c r="B824" s="103" t="s">
        <v>245</v>
      </c>
      <c r="C824" s="1" t="s">
        <v>52</v>
      </c>
      <c r="D824" s="2"/>
      <c r="E824" s="2"/>
      <c r="K824" s="3"/>
      <c r="Q824" s="3"/>
      <c r="T824" s="3"/>
      <c r="U824" s="3">
        <v>36.799999999999997</v>
      </c>
      <c r="W824" s="3"/>
    </row>
    <row r="825" spans="1:61">
      <c r="A825" s="6">
        <v>3</v>
      </c>
      <c r="B825" s="103" t="s">
        <v>245</v>
      </c>
      <c r="C825" s="1" t="s">
        <v>54</v>
      </c>
      <c r="D825" s="2"/>
      <c r="E825" s="2"/>
      <c r="K825" s="3"/>
      <c r="Q825" s="3"/>
      <c r="T825" s="3"/>
      <c r="W825" s="3"/>
    </row>
    <row r="826" spans="1:61">
      <c r="A826" s="6">
        <v>4</v>
      </c>
      <c r="B826" s="103" t="s">
        <v>245</v>
      </c>
      <c r="C826" s="1" t="s">
        <v>55</v>
      </c>
      <c r="D826" s="2"/>
      <c r="E826" s="2"/>
      <c r="K826" s="3"/>
      <c r="Q826" s="3"/>
      <c r="T826" s="3"/>
      <c r="W826" s="3"/>
    </row>
    <row r="827" spans="1:61">
      <c r="A827" s="6">
        <v>5</v>
      </c>
      <c r="B827" s="103" t="s">
        <v>245</v>
      </c>
      <c r="C827" s="1" t="s">
        <v>56</v>
      </c>
      <c r="D827" s="2"/>
      <c r="E827" s="2"/>
      <c r="K827" s="3"/>
      <c r="Q827" s="3"/>
      <c r="T827" s="3"/>
      <c r="W827" s="3"/>
    </row>
    <row r="828" spans="1:61">
      <c r="A828" s="6">
        <v>2</v>
      </c>
      <c r="B828" s="103" t="s">
        <v>245</v>
      </c>
      <c r="C828" s="1" t="s">
        <v>53</v>
      </c>
      <c r="D828" s="2"/>
      <c r="E828" s="2"/>
      <c r="K828" s="3"/>
      <c r="Q828" s="3"/>
      <c r="T828" s="3"/>
      <c r="U828" s="3">
        <v>39.200000000000003</v>
      </c>
      <c r="W828" s="3"/>
    </row>
    <row r="829" spans="1:61">
      <c r="A829" s="6">
        <v>12</v>
      </c>
      <c r="B829" s="103" t="s">
        <v>245</v>
      </c>
      <c r="C829" s="1" t="s">
        <v>594</v>
      </c>
      <c r="D829" s="2"/>
      <c r="E829" s="2"/>
      <c r="K829" s="3"/>
      <c r="Q829" s="3"/>
      <c r="T829" s="3"/>
      <c r="U829" s="3">
        <v>29.4</v>
      </c>
      <c r="W829" s="3"/>
      <c r="X829" s="3">
        <v>36.799999999999997</v>
      </c>
      <c r="AD829" s="24">
        <v>40</v>
      </c>
      <c r="AG829" s="3">
        <v>50</v>
      </c>
      <c r="AJ829" s="3">
        <v>50</v>
      </c>
      <c r="AL829" s="3">
        <f>AJ829-AG829</f>
        <v>0</v>
      </c>
      <c r="AM829" s="3">
        <v>30.8</v>
      </c>
      <c r="AO829" s="3">
        <f>AM829-AJ829</f>
        <v>-19.2</v>
      </c>
      <c r="AP829" s="3">
        <v>30</v>
      </c>
      <c r="AS829" s="3">
        <v>38</v>
      </c>
      <c r="AV829" s="3">
        <v>18</v>
      </c>
      <c r="AY829" s="3">
        <v>18</v>
      </c>
      <c r="AZ829" s="3">
        <v>16</v>
      </c>
      <c r="BA829" s="1" t="s">
        <v>852</v>
      </c>
      <c r="BC829" s="3">
        <v>16</v>
      </c>
      <c r="BD829" s="3">
        <v>17</v>
      </c>
      <c r="BE829" s="1" t="s">
        <v>852</v>
      </c>
      <c r="BG829" s="3">
        <v>17</v>
      </c>
      <c r="BH829" s="3">
        <v>25</v>
      </c>
    </row>
    <row r="830" spans="1:61">
      <c r="B830" s="103" t="s">
        <v>245</v>
      </c>
      <c r="C830" s="1" t="s">
        <v>851</v>
      </c>
      <c r="D830" s="2"/>
      <c r="E830" s="2"/>
      <c r="K830" s="3"/>
      <c r="Q830" s="3"/>
      <c r="T830" s="3"/>
      <c r="W830" s="3"/>
      <c r="AL830" s="3"/>
      <c r="AO830" s="3"/>
      <c r="AY830" s="3">
        <v>16</v>
      </c>
      <c r="AZ830" s="3">
        <v>15</v>
      </c>
      <c r="BA830" s="1" t="s">
        <v>852</v>
      </c>
    </row>
    <row r="831" spans="1:61">
      <c r="A831" s="6">
        <v>14</v>
      </c>
      <c r="B831" s="103" t="s">
        <v>245</v>
      </c>
      <c r="C831" s="1" t="s">
        <v>58</v>
      </c>
      <c r="D831" s="2"/>
      <c r="E831" s="2"/>
      <c r="K831" s="3"/>
      <c r="Q831" s="3"/>
      <c r="T831" s="3"/>
      <c r="U831" s="3">
        <v>39.200000000000003</v>
      </c>
      <c r="W831" s="3"/>
      <c r="X831" s="3">
        <v>46.6</v>
      </c>
      <c r="AA831" s="3">
        <v>47.7</v>
      </c>
      <c r="AC831" s="3">
        <f>AA831-X831</f>
        <v>1.1000000000000014</v>
      </c>
      <c r="AD831" s="24">
        <v>35</v>
      </c>
      <c r="AG831" s="3">
        <v>70</v>
      </c>
      <c r="AJ831" s="3">
        <v>70</v>
      </c>
      <c r="AL831" s="3">
        <f>AJ831-AG831</f>
        <v>0</v>
      </c>
      <c r="AM831" s="3">
        <v>46.15</v>
      </c>
      <c r="AO831" s="3">
        <f>AM831-AJ831</f>
        <v>-23.85</v>
      </c>
      <c r="AP831" s="3">
        <v>38</v>
      </c>
      <c r="AS831" s="3">
        <v>38</v>
      </c>
      <c r="AV831" s="3">
        <v>16</v>
      </c>
      <c r="BC831" s="3">
        <v>15</v>
      </c>
      <c r="BD831" s="3">
        <v>15.9</v>
      </c>
      <c r="BE831" s="1" t="s">
        <v>852</v>
      </c>
      <c r="BG831" s="3">
        <v>15.9</v>
      </c>
      <c r="BH831" s="3">
        <v>17</v>
      </c>
    </row>
    <row r="832" spans="1:61">
      <c r="B832" s="103" t="s">
        <v>245</v>
      </c>
      <c r="C832" s="1" t="s">
        <v>289</v>
      </c>
      <c r="D832" s="2"/>
      <c r="E832" s="2"/>
      <c r="K832" s="3"/>
      <c r="Q832" s="3"/>
      <c r="T832" s="3"/>
      <c r="W832" s="3"/>
      <c r="AD832" s="24">
        <v>60</v>
      </c>
      <c r="AG832" s="3">
        <v>85</v>
      </c>
      <c r="AJ832" s="3">
        <v>85</v>
      </c>
      <c r="AL832" s="3">
        <f>AJ832-AG832</f>
        <v>0</v>
      </c>
      <c r="AV832" s="3">
        <v>27</v>
      </c>
      <c r="AY832" s="3">
        <v>27</v>
      </c>
      <c r="AZ832" s="3">
        <v>26</v>
      </c>
      <c r="BA832" s="1" t="s">
        <v>852</v>
      </c>
      <c r="BC832" s="3">
        <v>26</v>
      </c>
      <c r="BD832" s="3">
        <v>35</v>
      </c>
      <c r="BE832" s="1" t="s">
        <v>852</v>
      </c>
      <c r="BG832" s="3">
        <v>35</v>
      </c>
      <c r="BH832" s="3">
        <v>32</v>
      </c>
    </row>
    <row r="833" spans="1:60">
      <c r="B833" s="103" t="s">
        <v>245</v>
      </c>
      <c r="C833" s="1" t="s">
        <v>64</v>
      </c>
      <c r="D833" s="2"/>
      <c r="E833" s="2"/>
      <c r="K833" s="3"/>
      <c r="Q833" s="3"/>
      <c r="T833" s="3"/>
      <c r="U833" s="3">
        <v>40</v>
      </c>
      <c r="W833" s="3"/>
      <c r="AM833" s="3">
        <v>71.8</v>
      </c>
      <c r="AP833" s="3">
        <v>60</v>
      </c>
      <c r="AS833" s="3">
        <v>60</v>
      </c>
      <c r="AV833" s="3">
        <v>30</v>
      </c>
      <c r="AY833" s="3">
        <v>30</v>
      </c>
      <c r="AZ833" s="3">
        <v>15</v>
      </c>
      <c r="BA833" s="1" t="s">
        <v>852</v>
      </c>
      <c r="BC833" s="3">
        <v>15</v>
      </c>
      <c r="BD833" s="3">
        <v>50</v>
      </c>
      <c r="BE833" s="1" t="s">
        <v>852</v>
      </c>
      <c r="BG833" s="3">
        <v>50</v>
      </c>
      <c r="BH833" s="3">
        <v>45</v>
      </c>
    </row>
    <row r="834" spans="1:60">
      <c r="B834" s="103" t="s">
        <v>245</v>
      </c>
      <c r="C834" s="1" t="s">
        <v>288</v>
      </c>
      <c r="D834" s="2"/>
      <c r="E834" s="2"/>
      <c r="K834" s="3"/>
      <c r="Q834" s="3"/>
      <c r="T834" s="3"/>
      <c r="W834" s="3"/>
      <c r="AM834" s="3">
        <v>76.900000000000006</v>
      </c>
      <c r="AP834" s="3">
        <v>65</v>
      </c>
      <c r="AS834" s="3">
        <v>65</v>
      </c>
      <c r="AV834" s="3">
        <v>24</v>
      </c>
      <c r="AY834" s="3">
        <v>24</v>
      </c>
      <c r="AZ834" s="3">
        <v>17</v>
      </c>
      <c r="BA834" s="1" t="s">
        <v>852</v>
      </c>
      <c r="BC834" s="3">
        <v>17</v>
      </c>
      <c r="BD834" s="3">
        <v>50</v>
      </c>
      <c r="BE834" s="1" t="s">
        <v>852</v>
      </c>
      <c r="BG834" s="3">
        <v>50</v>
      </c>
      <c r="BH834" s="3">
        <v>45</v>
      </c>
    </row>
    <row r="835" spans="1:60">
      <c r="A835" s="6">
        <v>11</v>
      </c>
      <c r="B835" s="103" t="s">
        <v>245</v>
      </c>
      <c r="C835" s="1" t="s">
        <v>57</v>
      </c>
      <c r="D835" s="2"/>
      <c r="E835" s="2"/>
      <c r="K835" s="3"/>
      <c r="Q835" s="3"/>
      <c r="T835" s="3"/>
      <c r="U835" s="3">
        <v>39.200000000000003</v>
      </c>
      <c r="W835" s="3"/>
    </row>
    <row r="836" spans="1:60">
      <c r="A836" s="6">
        <v>1</v>
      </c>
      <c r="B836" s="1" t="s">
        <v>844</v>
      </c>
      <c r="C836" s="1" t="s">
        <v>52</v>
      </c>
      <c r="D836" s="2"/>
      <c r="E836" s="2"/>
      <c r="F836" s="8">
        <v>8.9</v>
      </c>
      <c r="G836" s="8"/>
      <c r="H836" s="8">
        <v>8.9</v>
      </c>
      <c r="I836" s="8"/>
      <c r="N836" s="3" t="s">
        <v>420</v>
      </c>
      <c r="O836" s="3" t="s">
        <v>420</v>
      </c>
    </row>
    <row r="837" spans="1:60">
      <c r="A837" s="6">
        <v>3</v>
      </c>
      <c r="B837" s="1" t="s">
        <v>844</v>
      </c>
      <c r="C837" s="1" t="s">
        <v>54</v>
      </c>
      <c r="D837" s="2"/>
      <c r="E837" s="2"/>
      <c r="F837" s="8">
        <v>0</v>
      </c>
      <c r="G837" s="8"/>
      <c r="H837" s="8">
        <v>0</v>
      </c>
      <c r="I837" s="8"/>
      <c r="N837" s="3" t="s">
        <v>420</v>
      </c>
      <c r="O837" s="3" t="s">
        <v>420</v>
      </c>
    </row>
    <row r="838" spans="1:60">
      <c r="A838" s="6">
        <v>4</v>
      </c>
      <c r="B838" s="1" t="s">
        <v>844</v>
      </c>
      <c r="C838" s="1" t="s">
        <v>55</v>
      </c>
      <c r="D838" s="2"/>
      <c r="E838" s="2"/>
      <c r="F838" s="8">
        <v>0</v>
      </c>
      <c r="G838" s="8"/>
      <c r="H838" s="8">
        <v>0</v>
      </c>
      <c r="I838" s="8"/>
      <c r="N838" s="3" t="s">
        <v>420</v>
      </c>
      <c r="O838" s="3" t="s">
        <v>420</v>
      </c>
    </row>
    <row r="839" spans="1:60">
      <c r="A839" s="6">
        <v>5</v>
      </c>
      <c r="B839" s="1" t="s">
        <v>844</v>
      </c>
      <c r="C839" s="1" t="s">
        <v>56</v>
      </c>
      <c r="D839" s="2"/>
      <c r="E839" s="2"/>
      <c r="F839" s="8">
        <v>0</v>
      </c>
      <c r="G839" s="8"/>
      <c r="H839" s="8">
        <v>0</v>
      </c>
      <c r="I839" s="8"/>
      <c r="N839" s="3" t="s">
        <v>420</v>
      </c>
      <c r="O839" s="3" t="s">
        <v>420</v>
      </c>
    </row>
    <row r="840" spans="1:60">
      <c r="A840" s="6">
        <v>2</v>
      </c>
      <c r="B840" s="1" t="s">
        <v>844</v>
      </c>
      <c r="C840" s="1" t="s">
        <v>53</v>
      </c>
      <c r="D840" s="2"/>
      <c r="E840" s="2"/>
      <c r="F840" s="8">
        <v>7.69</v>
      </c>
      <c r="G840" s="8"/>
      <c r="H840" s="8">
        <v>7.69</v>
      </c>
      <c r="I840" s="8"/>
      <c r="N840" s="3" t="s">
        <v>420</v>
      </c>
      <c r="O840" s="3" t="s">
        <v>420</v>
      </c>
    </row>
    <row r="841" spans="1:60">
      <c r="B841" s="1" t="s">
        <v>844</v>
      </c>
      <c r="C841" s="1" t="s">
        <v>158</v>
      </c>
      <c r="D841" s="2"/>
      <c r="E841" s="2"/>
      <c r="F841" s="8"/>
      <c r="G841" s="8"/>
      <c r="H841" s="8"/>
      <c r="I841" s="8"/>
      <c r="AG841" s="3">
        <v>3.6</v>
      </c>
      <c r="AJ841" s="3">
        <v>3.4</v>
      </c>
      <c r="AM841" s="3">
        <v>2.8</v>
      </c>
      <c r="AP841" s="3">
        <v>2.8</v>
      </c>
      <c r="AS841" s="3">
        <v>2.4</v>
      </c>
      <c r="AV841" s="3">
        <v>2.7</v>
      </c>
      <c r="AY841" s="3">
        <v>2.7</v>
      </c>
      <c r="AZ841" s="3">
        <v>2.4</v>
      </c>
      <c r="BC841" s="3">
        <v>2.2000000000000002</v>
      </c>
      <c r="BD841" s="3">
        <v>2.2000000000000002</v>
      </c>
      <c r="BH841" s="3">
        <v>4.5</v>
      </c>
    </row>
    <row r="842" spans="1:60">
      <c r="B842" s="1" t="s">
        <v>844</v>
      </c>
      <c r="C842" s="1" t="s">
        <v>700</v>
      </c>
      <c r="D842" s="2"/>
      <c r="E842" s="2"/>
      <c r="F842" s="8"/>
      <c r="G842" s="8"/>
      <c r="H842" s="8"/>
      <c r="I842" s="8"/>
      <c r="Q842" s="3"/>
      <c r="T842" s="3"/>
      <c r="W842" s="3"/>
      <c r="X842" s="3">
        <v>0.5</v>
      </c>
      <c r="AA842" s="3">
        <v>0.7</v>
      </c>
      <c r="AC842" s="3">
        <f>AA842-X842</f>
        <v>0.19999999999999996</v>
      </c>
      <c r="AD842" s="24">
        <v>0.42</v>
      </c>
      <c r="AG842" s="3">
        <v>0.42</v>
      </c>
      <c r="AJ842" s="3">
        <v>0.38</v>
      </c>
    </row>
    <row r="843" spans="1:60">
      <c r="A843" s="6">
        <v>12</v>
      </c>
      <c r="B843" s="1" t="s">
        <v>844</v>
      </c>
      <c r="C843" s="1" t="s">
        <v>594</v>
      </c>
      <c r="D843" s="2"/>
      <c r="E843" s="2"/>
      <c r="F843" s="8">
        <v>5</v>
      </c>
      <c r="G843" s="8"/>
      <c r="H843" s="8">
        <v>5</v>
      </c>
      <c r="I843" s="8"/>
      <c r="M843" s="3">
        <v>3.78</v>
      </c>
      <c r="O843" s="3">
        <v>3.78</v>
      </c>
      <c r="Q843" s="3">
        <f>O843-H843</f>
        <v>-1.2200000000000002</v>
      </c>
      <c r="R843" s="3">
        <v>4.7</v>
      </c>
      <c r="T843" s="3">
        <f>R843-O843</f>
        <v>0.92000000000000037</v>
      </c>
      <c r="U843" s="3">
        <v>4.4800000000000004</v>
      </c>
      <c r="W843" s="3">
        <f>U843-R843</f>
        <v>-0.21999999999999975</v>
      </c>
      <c r="X843" s="3">
        <v>5.43</v>
      </c>
      <c r="Z843" s="3">
        <f>X843-U843</f>
        <v>0.94999999999999929</v>
      </c>
      <c r="AA843" s="3">
        <v>6.2</v>
      </c>
      <c r="AC843" s="3">
        <f>AA843-X843</f>
        <v>0.77000000000000046</v>
      </c>
      <c r="AD843" s="24">
        <v>11</v>
      </c>
      <c r="AG843" s="3">
        <v>12.3</v>
      </c>
      <c r="AI843" s="3">
        <f>AG843-AD843</f>
        <v>1.3000000000000007</v>
      </c>
      <c r="AJ843" s="3">
        <v>8.9</v>
      </c>
      <c r="AL843" s="3">
        <f>AJ843-AG843</f>
        <v>-3.4000000000000004</v>
      </c>
      <c r="AM843" s="3">
        <v>6.8</v>
      </c>
      <c r="AO843" s="3">
        <f>AM843-AJ843</f>
        <v>-2.1000000000000005</v>
      </c>
      <c r="AP843" s="3">
        <v>6.5</v>
      </c>
      <c r="AS843" s="3">
        <v>7.1</v>
      </c>
      <c r="AV843" s="3">
        <v>7.3</v>
      </c>
      <c r="AY843" s="3">
        <v>7.3</v>
      </c>
      <c r="AZ843" s="3">
        <v>8</v>
      </c>
      <c r="BC843" s="3">
        <v>8</v>
      </c>
      <c r="BD843" s="3">
        <v>8.1999999999999993</v>
      </c>
      <c r="BH843" s="3">
        <v>9.1999999999999993</v>
      </c>
    </row>
    <row r="844" spans="1:60">
      <c r="A844" s="6">
        <v>14</v>
      </c>
      <c r="B844" s="1" t="s">
        <v>844</v>
      </c>
      <c r="C844" s="1" t="s">
        <v>58</v>
      </c>
      <c r="D844" s="2"/>
      <c r="E844" s="2"/>
      <c r="F844" s="8">
        <v>12.36</v>
      </c>
      <c r="G844" s="8"/>
      <c r="H844" s="8">
        <v>12.36</v>
      </c>
      <c r="I844" s="8"/>
      <c r="L844" s="1" t="s">
        <v>603</v>
      </c>
      <c r="M844" s="3">
        <v>8.25</v>
      </c>
      <c r="O844" s="3">
        <v>8.25</v>
      </c>
      <c r="Q844" s="3">
        <f>O844-H844</f>
        <v>-4.1099999999999994</v>
      </c>
      <c r="R844" s="3">
        <v>8.5</v>
      </c>
      <c r="T844" s="3">
        <f>R844-O844</f>
        <v>0.25</v>
      </c>
      <c r="U844" s="3">
        <v>8.48</v>
      </c>
      <c r="W844" s="3">
        <f>U844-R844</f>
        <v>-1.9999999999999574E-2</v>
      </c>
      <c r="X844" s="3">
        <v>10.44</v>
      </c>
      <c r="Z844" s="3">
        <f>X844-U844</f>
        <v>1.9599999999999991</v>
      </c>
      <c r="AA844" s="3">
        <v>11.4</v>
      </c>
      <c r="AC844" s="3">
        <f>AA844-X844</f>
        <v>0.96000000000000085</v>
      </c>
      <c r="AD844" s="24">
        <v>8.8000000000000007</v>
      </c>
      <c r="AG844" s="3">
        <v>8.1999999999999993</v>
      </c>
      <c r="AI844" s="3">
        <f>AG844-AD844</f>
        <v>-0.60000000000000142</v>
      </c>
      <c r="AJ844" s="3">
        <v>5.9</v>
      </c>
      <c r="AL844" s="3">
        <f>AJ844-AG844</f>
        <v>-2.2999999999999989</v>
      </c>
      <c r="AM844" s="3">
        <v>4.8</v>
      </c>
      <c r="AO844" s="3">
        <f>AM844-AJ844</f>
        <v>-1.1000000000000005</v>
      </c>
      <c r="AP844" s="3">
        <v>4.8</v>
      </c>
      <c r="AS844" s="3">
        <v>5.7</v>
      </c>
      <c r="AV844" s="3">
        <v>5.5</v>
      </c>
      <c r="AY844" s="3">
        <v>5.5</v>
      </c>
      <c r="AZ844" s="3">
        <v>6</v>
      </c>
      <c r="BC844" s="3">
        <v>6</v>
      </c>
      <c r="BD844" s="3">
        <v>5.7</v>
      </c>
      <c r="BH844" s="3">
        <v>8.5</v>
      </c>
    </row>
    <row r="845" spans="1:60">
      <c r="B845" s="1" t="s">
        <v>844</v>
      </c>
      <c r="C845" s="1" t="s">
        <v>857</v>
      </c>
      <c r="D845" s="2"/>
      <c r="E845" s="2"/>
      <c r="F845" s="8"/>
      <c r="G845" s="8"/>
      <c r="H845" s="8"/>
      <c r="I845" s="8"/>
      <c r="Q845" s="3"/>
      <c r="T845" s="3"/>
      <c r="W845" s="3"/>
      <c r="AC845" s="3"/>
      <c r="AI845" s="3"/>
      <c r="AL845" s="3"/>
      <c r="AO845" s="3"/>
      <c r="BH845" s="3">
        <v>10</v>
      </c>
    </row>
    <row r="846" spans="1:60">
      <c r="B846" s="1" t="s">
        <v>844</v>
      </c>
      <c r="C846" s="1" t="s">
        <v>289</v>
      </c>
      <c r="D846" s="2"/>
      <c r="E846" s="2"/>
      <c r="F846" s="8"/>
      <c r="G846" s="8"/>
      <c r="H846" s="8"/>
      <c r="I846" s="8"/>
      <c r="Q846" s="3"/>
      <c r="T846" s="3"/>
      <c r="W846" s="3"/>
      <c r="X846" s="3">
        <v>10.84</v>
      </c>
      <c r="AA846" s="3">
        <v>12</v>
      </c>
      <c r="AC846" s="3">
        <f>AA846-X846</f>
        <v>1.1600000000000001</v>
      </c>
      <c r="AD846" s="24">
        <v>5.7</v>
      </c>
      <c r="AG846" s="3">
        <v>7.27</v>
      </c>
      <c r="AI846" s="3">
        <f>AG846-AD846</f>
        <v>1.5699999999999994</v>
      </c>
      <c r="AJ846" s="3">
        <v>6.4</v>
      </c>
      <c r="AL846" s="3">
        <f>AJ846-AG846</f>
        <v>-0.86999999999999922</v>
      </c>
      <c r="AM846" s="3">
        <v>6.26</v>
      </c>
      <c r="AO846" s="3">
        <f>AM846-AJ846</f>
        <v>-0.14000000000000057</v>
      </c>
      <c r="AP846" s="3">
        <v>6.1</v>
      </c>
      <c r="AS846" s="3">
        <v>5.9</v>
      </c>
      <c r="AV846" s="3">
        <v>6</v>
      </c>
      <c r="AY846" s="3">
        <v>6</v>
      </c>
      <c r="AZ846" s="3">
        <v>6</v>
      </c>
      <c r="BC846" s="3">
        <v>6</v>
      </c>
      <c r="BD846" s="3">
        <v>6</v>
      </c>
      <c r="BH846" s="3">
        <v>8.1999999999999993</v>
      </c>
    </row>
    <row r="847" spans="1:60">
      <c r="B847" s="1" t="s">
        <v>844</v>
      </c>
      <c r="C847" s="1" t="s">
        <v>290</v>
      </c>
      <c r="D847" s="2"/>
      <c r="E847" s="2"/>
      <c r="F847" s="8"/>
      <c r="G847" s="8"/>
      <c r="H847" s="8"/>
      <c r="I847" s="8"/>
      <c r="Q847" s="3"/>
      <c r="T847" s="3"/>
      <c r="W847" s="3"/>
      <c r="X847" s="3">
        <v>10.75</v>
      </c>
      <c r="AA847" s="3">
        <v>12</v>
      </c>
      <c r="AC847" s="3">
        <f>AA847-X847</f>
        <v>1.25</v>
      </c>
      <c r="AD847" s="24">
        <v>5.6</v>
      </c>
      <c r="AG847" s="3">
        <v>7.27</v>
      </c>
      <c r="AI847" s="3">
        <f>AG847-AD847</f>
        <v>1.67</v>
      </c>
      <c r="AJ847" s="3">
        <v>6.4</v>
      </c>
      <c r="AL847" s="3">
        <f>AJ847-AG847</f>
        <v>-0.86999999999999922</v>
      </c>
      <c r="AM847" s="3">
        <v>6.26</v>
      </c>
      <c r="AO847" s="3">
        <f>AM847-AJ847</f>
        <v>-0.14000000000000057</v>
      </c>
      <c r="AP847" s="3">
        <v>6.1</v>
      </c>
      <c r="AS847" s="3">
        <v>5.9</v>
      </c>
      <c r="AV847" s="3">
        <v>6.1</v>
      </c>
      <c r="AY847" s="3">
        <v>6.1</v>
      </c>
      <c r="AZ847" s="3">
        <v>6</v>
      </c>
      <c r="BC847" s="3">
        <v>6</v>
      </c>
      <c r="BD847" s="3">
        <v>6</v>
      </c>
      <c r="BH847" s="3">
        <v>8.3000000000000007</v>
      </c>
    </row>
    <row r="848" spans="1:60">
      <c r="B848" s="1" t="s">
        <v>844</v>
      </c>
      <c r="C848" s="1" t="s">
        <v>64</v>
      </c>
      <c r="D848" s="2"/>
      <c r="E848" s="2"/>
      <c r="F848" s="8"/>
      <c r="G848" s="8"/>
      <c r="H848" s="8"/>
      <c r="I848" s="8"/>
      <c r="Q848" s="3"/>
      <c r="R848" s="3">
        <v>16.3</v>
      </c>
      <c r="T848" s="3"/>
      <c r="U848" s="3">
        <v>12.09</v>
      </c>
      <c r="W848" s="3">
        <f>U848-R848</f>
        <v>-4.2100000000000009</v>
      </c>
      <c r="X848" s="3">
        <v>12.5</v>
      </c>
      <c r="Z848" s="3">
        <f>X848-U848</f>
        <v>0.41000000000000014</v>
      </c>
      <c r="AA848" s="3">
        <v>12.5</v>
      </c>
      <c r="AC848" s="3">
        <f>AA848-X848</f>
        <v>0</v>
      </c>
      <c r="AD848" s="24">
        <v>18</v>
      </c>
      <c r="AG848" s="3">
        <v>16.3</v>
      </c>
      <c r="AI848" s="3">
        <f>AG848-AD848</f>
        <v>-1.6999999999999993</v>
      </c>
      <c r="AJ848" s="3">
        <v>10.8</v>
      </c>
      <c r="AL848" s="3">
        <f>AJ848-AG848</f>
        <v>-5.5</v>
      </c>
      <c r="AM848" s="3">
        <v>10.6</v>
      </c>
      <c r="AO848" s="3">
        <f>AM848-AJ848</f>
        <v>-0.20000000000000107</v>
      </c>
      <c r="AP848" s="3">
        <v>10.3</v>
      </c>
      <c r="AS848" s="3">
        <v>10.3</v>
      </c>
      <c r="AV848" s="3">
        <v>10</v>
      </c>
      <c r="AY848" s="3">
        <v>10</v>
      </c>
      <c r="AZ848" s="3">
        <v>12.2</v>
      </c>
      <c r="BC848" s="3">
        <v>12.2</v>
      </c>
      <c r="BD848" s="3">
        <v>11.6</v>
      </c>
      <c r="BH848" s="3">
        <v>11.6</v>
      </c>
    </row>
    <row r="849" spans="1:61" ht="9.6" customHeight="1">
      <c r="B849" s="1" t="s">
        <v>844</v>
      </c>
      <c r="C849" s="1" t="s">
        <v>855</v>
      </c>
      <c r="D849" s="2"/>
      <c r="E849" s="2"/>
      <c r="F849" s="8"/>
      <c r="G849" s="8"/>
      <c r="H849" s="8"/>
      <c r="I849" s="8"/>
      <c r="Q849" s="3"/>
      <c r="T849" s="3"/>
      <c r="W849" s="3"/>
      <c r="AC849" s="3"/>
      <c r="AI849" s="3"/>
      <c r="AL849" s="3"/>
      <c r="AO849" s="3"/>
      <c r="BD849" s="3">
        <v>9.1999999999999993</v>
      </c>
      <c r="BH849" s="3">
        <v>7</v>
      </c>
    </row>
    <row r="850" spans="1:61">
      <c r="B850" s="1" t="s">
        <v>844</v>
      </c>
      <c r="C850" s="1" t="s">
        <v>288</v>
      </c>
      <c r="D850" s="2"/>
      <c r="E850" s="2"/>
      <c r="F850" s="8"/>
      <c r="G850" s="8"/>
      <c r="H850" s="8"/>
      <c r="I850" s="8"/>
      <c r="Q850" s="3"/>
      <c r="T850" s="3"/>
      <c r="W850" s="3"/>
      <c r="AC850" s="3"/>
      <c r="AD850" s="24">
        <v>15</v>
      </c>
      <c r="AG850" s="3">
        <v>15</v>
      </c>
      <c r="AI850" s="3">
        <f>AG850-AD850</f>
        <v>0</v>
      </c>
      <c r="AJ850" s="3">
        <v>10</v>
      </c>
      <c r="AL850" s="3">
        <f>AJ850-AG850</f>
        <v>-5</v>
      </c>
      <c r="AM850" s="3">
        <v>12</v>
      </c>
      <c r="AO850" s="3">
        <f>AM850-AJ850</f>
        <v>2</v>
      </c>
      <c r="AP850" s="3">
        <v>12</v>
      </c>
      <c r="AS850" s="3">
        <v>13.1</v>
      </c>
      <c r="AV850" s="3">
        <v>13.3</v>
      </c>
      <c r="AY850" s="3">
        <v>13.3</v>
      </c>
      <c r="AZ850" s="3">
        <v>13.8</v>
      </c>
      <c r="BC850" s="3">
        <v>13.8</v>
      </c>
      <c r="BD850" s="3">
        <v>13.6</v>
      </c>
      <c r="BH850" s="3">
        <v>13.6</v>
      </c>
    </row>
    <row r="851" spans="1:61">
      <c r="A851" s="6">
        <v>11</v>
      </c>
      <c r="B851" s="1" t="s">
        <v>844</v>
      </c>
      <c r="C851" s="1" t="s">
        <v>57</v>
      </c>
      <c r="D851" s="2"/>
      <c r="E851" s="2"/>
      <c r="F851" s="8">
        <v>0</v>
      </c>
      <c r="G851" s="8"/>
      <c r="H851" s="8">
        <v>0</v>
      </c>
      <c r="I851" s="8"/>
      <c r="N851" s="3" t="s">
        <v>420</v>
      </c>
      <c r="O851" s="3" t="s">
        <v>420</v>
      </c>
    </row>
    <row r="852" spans="1:61">
      <c r="B852" s="1" t="s">
        <v>844</v>
      </c>
      <c r="C852" s="1" t="s">
        <v>287</v>
      </c>
      <c r="D852" s="2"/>
      <c r="E852" s="2"/>
      <c r="F852" s="8"/>
      <c r="G852" s="8"/>
      <c r="H852" s="8"/>
      <c r="I852" s="8"/>
      <c r="Q852" s="3"/>
      <c r="T852" s="3"/>
      <c r="W852" s="3"/>
      <c r="AC852" s="3"/>
      <c r="AI852" s="3"/>
      <c r="AJ852" s="3">
        <v>5.5</v>
      </c>
      <c r="AM852" s="3">
        <v>5.9</v>
      </c>
      <c r="AO852" s="3">
        <f>AM852-AJ852</f>
        <v>0.40000000000000036</v>
      </c>
      <c r="AP852" s="3">
        <v>5.5</v>
      </c>
      <c r="AS852" s="3">
        <v>5.7</v>
      </c>
      <c r="AV852" s="3">
        <v>5.5</v>
      </c>
      <c r="AY852" s="3">
        <v>5.5</v>
      </c>
      <c r="AZ852" s="3">
        <v>5.5</v>
      </c>
      <c r="BC852" s="3">
        <v>5.5</v>
      </c>
      <c r="BD852" s="3">
        <v>5.5</v>
      </c>
      <c r="BH852" s="3">
        <v>7</v>
      </c>
    </row>
    <row r="853" spans="1:61">
      <c r="A853" s="6">
        <v>1</v>
      </c>
      <c r="B853" s="103" t="s">
        <v>576</v>
      </c>
      <c r="C853" s="1" t="s">
        <v>52</v>
      </c>
      <c r="D853" s="2"/>
      <c r="E853" s="2"/>
      <c r="F853" s="9">
        <v>0</v>
      </c>
      <c r="H853" s="9">
        <v>0</v>
      </c>
      <c r="Y853" s="1" t="s">
        <v>285</v>
      </c>
      <c r="AB853" s="1" t="s">
        <v>285</v>
      </c>
      <c r="AJ853" s="1"/>
    </row>
    <row r="854" spans="1:61">
      <c r="A854" s="6">
        <v>3</v>
      </c>
      <c r="B854" s="103" t="s">
        <v>576</v>
      </c>
      <c r="C854" s="1" t="s">
        <v>54</v>
      </c>
      <c r="D854" s="2"/>
      <c r="E854" s="2"/>
      <c r="F854" s="9">
        <v>0</v>
      </c>
      <c r="H854" s="9">
        <v>0</v>
      </c>
      <c r="Y854" s="1" t="s">
        <v>285</v>
      </c>
      <c r="AB854" s="1" t="s">
        <v>285</v>
      </c>
      <c r="AJ854" s="1"/>
    </row>
    <row r="855" spans="1:61">
      <c r="A855" s="6">
        <v>4</v>
      </c>
      <c r="B855" s="103" t="s">
        <v>576</v>
      </c>
      <c r="C855" s="1" t="s">
        <v>55</v>
      </c>
      <c r="D855" s="2"/>
      <c r="E855" s="2"/>
      <c r="F855" s="9">
        <v>0</v>
      </c>
      <c r="H855" s="9">
        <v>0</v>
      </c>
      <c r="M855" s="3">
        <v>4</v>
      </c>
      <c r="O855" s="3">
        <v>4</v>
      </c>
      <c r="R855" s="3">
        <v>5</v>
      </c>
      <c r="T855" s="3">
        <f>R855-O855</f>
        <v>1</v>
      </c>
      <c r="Y855" s="1" t="s">
        <v>285</v>
      </c>
      <c r="AB855" s="1" t="s">
        <v>285</v>
      </c>
      <c r="AJ855" s="1"/>
    </row>
    <row r="856" spans="1:61">
      <c r="A856" s="6">
        <v>5</v>
      </c>
      <c r="B856" s="103" t="s">
        <v>576</v>
      </c>
      <c r="C856" s="1" t="s">
        <v>56</v>
      </c>
      <c r="D856" s="2"/>
      <c r="E856" s="2"/>
      <c r="F856" s="9">
        <v>0</v>
      </c>
      <c r="H856" s="9">
        <v>0</v>
      </c>
      <c r="Y856" s="1" t="s">
        <v>285</v>
      </c>
      <c r="AB856" s="1" t="s">
        <v>285</v>
      </c>
      <c r="AJ856" s="1"/>
    </row>
    <row r="857" spans="1:61">
      <c r="A857" s="6">
        <v>2</v>
      </c>
      <c r="B857" s="103" t="s">
        <v>576</v>
      </c>
      <c r="C857" s="1" t="s">
        <v>53</v>
      </c>
      <c r="D857" s="2">
        <v>100</v>
      </c>
      <c r="E857" s="2"/>
      <c r="F857" s="9">
        <v>0</v>
      </c>
      <c r="H857" s="9">
        <v>0</v>
      </c>
      <c r="U857" s="3">
        <v>6</v>
      </c>
      <c r="Y857" s="1" t="s">
        <v>285</v>
      </c>
      <c r="AB857" s="1" t="s">
        <v>285</v>
      </c>
      <c r="AJ857" s="1"/>
    </row>
    <row r="858" spans="1:61">
      <c r="B858" s="103" t="s">
        <v>576</v>
      </c>
      <c r="C858" s="1" t="s">
        <v>595</v>
      </c>
      <c r="D858" s="2"/>
      <c r="E858" s="2"/>
      <c r="AJ858" s="1"/>
      <c r="AV858" s="3">
        <v>32</v>
      </c>
    </row>
    <row r="859" spans="1:61">
      <c r="A859" s="6">
        <v>12</v>
      </c>
      <c r="B859" s="103" t="s">
        <v>576</v>
      </c>
      <c r="C859" s="1" t="s">
        <v>594</v>
      </c>
      <c r="D859" s="2"/>
      <c r="E859" s="2"/>
      <c r="F859" s="9">
        <v>0</v>
      </c>
      <c r="H859" s="9">
        <v>0</v>
      </c>
      <c r="M859" s="3">
        <v>20</v>
      </c>
      <c r="O859" s="3">
        <v>20</v>
      </c>
      <c r="Q859" s="3"/>
      <c r="R859" s="3">
        <v>19</v>
      </c>
      <c r="T859" s="3">
        <f>R859-O859</f>
        <v>-1</v>
      </c>
      <c r="Y859" s="1" t="s">
        <v>285</v>
      </c>
      <c r="AB859" s="1" t="s">
        <v>285</v>
      </c>
      <c r="AD859" s="24">
        <v>10.35</v>
      </c>
      <c r="AG859" s="3">
        <v>13.5</v>
      </c>
      <c r="AI859" s="3">
        <f>AG859-AD859</f>
        <v>3.1500000000000004</v>
      </c>
      <c r="AJ859" s="1">
        <v>13.5</v>
      </c>
      <c r="AV859" s="3">
        <v>31</v>
      </c>
      <c r="AZ859" s="3">
        <v>6</v>
      </c>
      <c r="BA859" s="1" t="s">
        <v>863</v>
      </c>
      <c r="BD859" s="3">
        <v>6</v>
      </c>
      <c r="BE859" s="1" t="s">
        <v>863</v>
      </c>
      <c r="BH859" s="3">
        <v>6</v>
      </c>
      <c r="BI859" s="1" t="s">
        <v>1006</v>
      </c>
    </row>
    <row r="860" spans="1:61">
      <c r="B860" s="103" t="s">
        <v>576</v>
      </c>
      <c r="C860" s="1" t="s">
        <v>851</v>
      </c>
      <c r="D860" s="2"/>
      <c r="E860" s="2"/>
      <c r="Q860" s="3"/>
      <c r="T860" s="3"/>
      <c r="AI860" s="3"/>
      <c r="AJ860" s="1"/>
      <c r="AZ860" s="3">
        <v>4.5</v>
      </c>
      <c r="BA860" s="1" t="s">
        <v>864</v>
      </c>
      <c r="BD860" s="3">
        <v>5.5</v>
      </c>
      <c r="BE860" s="1" t="s">
        <v>864</v>
      </c>
      <c r="BH860" s="3">
        <v>5.5</v>
      </c>
      <c r="BI860" s="1" t="s">
        <v>1007</v>
      </c>
    </row>
    <row r="861" spans="1:61">
      <c r="A861" s="6">
        <v>14</v>
      </c>
      <c r="B861" s="103" t="s">
        <v>576</v>
      </c>
      <c r="C861" s="1" t="s">
        <v>58</v>
      </c>
      <c r="D861" s="2"/>
      <c r="E861" s="2"/>
      <c r="F861" s="9">
        <v>0</v>
      </c>
      <c r="H861" s="9">
        <v>0</v>
      </c>
      <c r="Y861" s="1" t="s">
        <v>285</v>
      </c>
      <c r="AB861" s="1" t="s">
        <v>285</v>
      </c>
      <c r="AD861" s="24">
        <v>16.5</v>
      </c>
      <c r="AG861" s="3">
        <v>16.5</v>
      </c>
      <c r="AI861" s="3">
        <f>AG861-AD861</f>
        <v>0</v>
      </c>
      <c r="AJ861" s="1">
        <v>16.5</v>
      </c>
      <c r="AM861" s="3">
        <v>16.5</v>
      </c>
      <c r="AO861" s="3">
        <f>AM861-AJ861</f>
        <v>0</v>
      </c>
      <c r="AP861" s="3">
        <v>16</v>
      </c>
      <c r="AS861" s="3">
        <v>31</v>
      </c>
    </row>
    <row r="862" spans="1:61" ht="9.6" customHeight="1">
      <c r="B862" s="103" t="s">
        <v>576</v>
      </c>
      <c r="C862" s="1" t="s">
        <v>289</v>
      </c>
      <c r="D862" s="2"/>
      <c r="E862" s="2"/>
      <c r="AJ862" s="1"/>
      <c r="AZ862" s="3">
        <v>2.5</v>
      </c>
      <c r="BA862" s="1" t="s">
        <v>864</v>
      </c>
      <c r="BD862" s="3">
        <v>4.5</v>
      </c>
      <c r="BE862" s="1" t="s">
        <v>864</v>
      </c>
      <c r="BH862" s="3">
        <v>4.5</v>
      </c>
      <c r="BI862" s="1" t="s">
        <v>864</v>
      </c>
    </row>
    <row r="863" spans="1:61" ht="9.6" customHeight="1">
      <c r="B863" s="103" t="s">
        <v>576</v>
      </c>
      <c r="C863" s="1" t="s">
        <v>74</v>
      </c>
      <c r="D863" s="2"/>
      <c r="E863" s="2"/>
      <c r="AJ863" s="1"/>
      <c r="AZ863" s="3">
        <v>2.5</v>
      </c>
      <c r="BA863" s="1" t="s">
        <v>864</v>
      </c>
      <c r="BD863" s="3">
        <v>4.5</v>
      </c>
      <c r="BE863" s="1" t="s">
        <v>864</v>
      </c>
      <c r="BH863" s="3">
        <v>4.5</v>
      </c>
      <c r="BI863" s="1" t="s">
        <v>864</v>
      </c>
    </row>
    <row r="864" spans="1:61">
      <c r="B864" s="103" t="s">
        <v>576</v>
      </c>
      <c r="C864" s="1" t="s">
        <v>290</v>
      </c>
      <c r="D864" s="2"/>
      <c r="E864" s="2"/>
      <c r="AJ864" s="1"/>
      <c r="AZ864" s="3">
        <v>2.5</v>
      </c>
      <c r="BA864" s="1" t="s">
        <v>864</v>
      </c>
      <c r="BD864" s="3">
        <v>4.5</v>
      </c>
      <c r="BE864" s="1" t="s">
        <v>864</v>
      </c>
      <c r="BH864" s="3">
        <v>4.5</v>
      </c>
      <c r="BI864" s="1" t="s">
        <v>864</v>
      </c>
    </row>
    <row r="865" spans="1:61">
      <c r="B865" s="103" t="s">
        <v>576</v>
      </c>
      <c r="C865" s="1" t="s">
        <v>64</v>
      </c>
      <c r="D865" s="2"/>
      <c r="E865" s="2"/>
      <c r="AD865" s="24">
        <v>15.8</v>
      </c>
      <c r="AG865" s="3">
        <v>15.8</v>
      </c>
      <c r="AI865" s="3">
        <f>AG865-AD865</f>
        <v>0</v>
      </c>
      <c r="AJ865" s="1">
        <v>15.8</v>
      </c>
      <c r="AM865" s="3">
        <v>15.8</v>
      </c>
      <c r="AO865" s="3">
        <f>AM865-AJ865</f>
        <v>0</v>
      </c>
      <c r="AP865" s="3">
        <v>15</v>
      </c>
      <c r="AS865" s="3">
        <v>32</v>
      </c>
      <c r="AZ865" s="3">
        <v>4.5</v>
      </c>
      <c r="BA865" s="1" t="s">
        <v>864</v>
      </c>
      <c r="BD865" s="3">
        <v>5.5</v>
      </c>
      <c r="BE865" s="1" t="s">
        <v>864</v>
      </c>
      <c r="BH865" s="3">
        <v>5.5</v>
      </c>
      <c r="BI865" s="1" t="s">
        <v>1008</v>
      </c>
    </row>
    <row r="866" spans="1:61">
      <c r="B866" s="103" t="s">
        <v>576</v>
      </c>
      <c r="C866" s="1" t="s">
        <v>855</v>
      </c>
      <c r="D866" s="2"/>
      <c r="E866" s="2"/>
      <c r="AI866" s="3"/>
      <c r="AJ866" s="1"/>
      <c r="AO866" s="3"/>
      <c r="AZ866" s="3">
        <v>4.5</v>
      </c>
      <c r="BA866" s="1" t="s">
        <v>864</v>
      </c>
      <c r="BD866" s="3">
        <v>5.5</v>
      </c>
      <c r="BE866" s="1" t="s">
        <v>864</v>
      </c>
      <c r="BH866" s="3">
        <v>5.5</v>
      </c>
      <c r="BI866" s="1" t="s">
        <v>1008</v>
      </c>
    </row>
    <row r="867" spans="1:61">
      <c r="B867" s="103" t="s">
        <v>576</v>
      </c>
      <c r="C867" s="1" t="s">
        <v>865</v>
      </c>
      <c r="D867" s="2"/>
      <c r="E867" s="2"/>
      <c r="AI867" s="3"/>
      <c r="AJ867" s="1"/>
      <c r="AO867" s="3"/>
      <c r="AZ867" s="3">
        <v>4.5</v>
      </c>
      <c r="BA867" s="1" t="s">
        <v>864</v>
      </c>
      <c r="BD867" s="3">
        <v>5.5</v>
      </c>
      <c r="BE867" s="1" t="s">
        <v>864</v>
      </c>
      <c r="BH867" s="3">
        <v>5.5</v>
      </c>
      <c r="BI867" s="1" t="s">
        <v>1008</v>
      </c>
    </row>
    <row r="868" spans="1:61">
      <c r="B868" s="103" t="s">
        <v>576</v>
      </c>
      <c r="C868" s="1" t="s">
        <v>866</v>
      </c>
      <c r="D868" s="2"/>
      <c r="E868" s="2"/>
      <c r="AI868" s="3"/>
      <c r="AJ868" s="1"/>
      <c r="AO868" s="3"/>
      <c r="AZ868" s="3">
        <v>4.5</v>
      </c>
      <c r="BA868" s="1" t="s">
        <v>864</v>
      </c>
      <c r="BD868" s="3">
        <v>4.5</v>
      </c>
      <c r="BE868" s="1" t="s">
        <v>864</v>
      </c>
      <c r="BH868" s="3">
        <v>4.5</v>
      </c>
      <c r="BI868" s="1" t="s">
        <v>1008</v>
      </c>
    </row>
    <row r="869" spans="1:61">
      <c r="A869" s="6">
        <v>11</v>
      </c>
      <c r="B869" s="103" t="s">
        <v>576</v>
      </c>
      <c r="C869" s="1" t="s">
        <v>57</v>
      </c>
      <c r="D869" s="2"/>
      <c r="E869" s="2"/>
      <c r="F869" s="9">
        <v>0</v>
      </c>
      <c r="H869" s="9">
        <v>0</v>
      </c>
      <c r="Y869" s="1" t="s">
        <v>285</v>
      </c>
      <c r="AB869" s="1" t="s">
        <v>285</v>
      </c>
      <c r="AJ869" s="1"/>
    </row>
    <row r="870" spans="1:61">
      <c r="A870" s="6">
        <v>1</v>
      </c>
      <c r="B870" s="103" t="s">
        <v>577</v>
      </c>
      <c r="C870" s="1" t="s">
        <v>52</v>
      </c>
      <c r="D870" s="2" t="s">
        <v>218</v>
      </c>
      <c r="E870" s="2"/>
      <c r="F870" s="8">
        <v>0</v>
      </c>
      <c r="G870" s="8"/>
      <c r="H870" s="8">
        <v>0</v>
      </c>
      <c r="I870" s="8"/>
      <c r="M870" s="3">
        <v>0</v>
      </c>
      <c r="N870" s="3" t="s">
        <v>420</v>
      </c>
      <c r="O870" s="3" t="s">
        <v>420</v>
      </c>
    </row>
    <row r="871" spans="1:61">
      <c r="A871" s="6">
        <v>3</v>
      </c>
      <c r="B871" s="103" t="s">
        <v>577</v>
      </c>
      <c r="C871" s="1" t="s">
        <v>54</v>
      </c>
      <c r="D871" s="2" t="s">
        <v>218</v>
      </c>
      <c r="E871" s="2"/>
      <c r="F871" s="8">
        <v>0</v>
      </c>
      <c r="G871" s="8"/>
      <c r="H871" s="8">
        <v>0</v>
      </c>
      <c r="I871" s="8"/>
      <c r="M871" s="3">
        <v>0</v>
      </c>
      <c r="N871" s="3" t="s">
        <v>420</v>
      </c>
      <c r="O871" s="3" t="s">
        <v>420</v>
      </c>
    </row>
    <row r="872" spans="1:61">
      <c r="A872" s="6">
        <v>4</v>
      </c>
      <c r="B872" s="103" t="s">
        <v>577</v>
      </c>
      <c r="C872" s="1" t="s">
        <v>55</v>
      </c>
      <c r="D872" s="2" t="s">
        <v>218</v>
      </c>
      <c r="E872" s="2"/>
      <c r="F872" s="8">
        <v>0</v>
      </c>
      <c r="G872" s="8"/>
      <c r="H872" s="8">
        <v>0</v>
      </c>
      <c r="I872" s="8"/>
      <c r="M872" s="3">
        <v>0</v>
      </c>
      <c r="N872" s="3" t="s">
        <v>420</v>
      </c>
      <c r="O872" s="3" t="s">
        <v>420</v>
      </c>
    </row>
    <row r="873" spans="1:61">
      <c r="A873" s="6">
        <v>5</v>
      </c>
      <c r="B873" s="103" t="s">
        <v>577</v>
      </c>
      <c r="C873" s="1" t="s">
        <v>56</v>
      </c>
      <c r="D873" s="2" t="s">
        <v>218</v>
      </c>
      <c r="E873" s="2"/>
      <c r="F873" s="8">
        <v>0</v>
      </c>
      <c r="G873" s="8"/>
      <c r="H873" s="8">
        <v>0</v>
      </c>
      <c r="I873" s="8"/>
      <c r="M873" s="3">
        <v>0</v>
      </c>
      <c r="N873" s="3" t="s">
        <v>420</v>
      </c>
      <c r="O873" s="3" t="s">
        <v>420</v>
      </c>
    </row>
    <row r="874" spans="1:61">
      <c r="A874" s="6">
        <v>2</v>
      </c>
      <c r="B874" s="103" t="s">
        <v>577</v>
      </c>
      <c r="C874" s="1" t="s">
        <v>53</v>
      </c>
      <c r="D874" s="2" t="s">
        <v>218</v>
      </c>
      <c r="E874" s="2"/>
      <c r="F874" s="8">
        <v>0</v>
      </c>
      <c r="G874" s="8"/>
      <c r="H874" s="8">
        <v>0</v>
      </c>
      <c r="I874" s="8"/>
      <c r="M874" s="3">
        <v>0</v>
      </c>
      <c r="N874" s="3" t="s">
        <v>420</v>
      </c>
      <c r="O874" s="3" t="s">
        <v>420</v>
      </c>
    </row>
    <row r="875" spans="1:61">
      <c r="B875" s="103" t="s">
        <v>577</v>
      </c>
      <c r="C875" s="1" t="s">
        <v>596</v>
      </c>
      <c r="D875" s="2"/>
      <c r="E875" s="2"/>
      <c r="F875" s="8"/>
      <c r="G875" s="8"/>
      <c r="H875" s="8"/>
      <c r="K875" s="3"/>
      <c r="T875" s="3"/>
      <c r="AC875" s="3"/>
      <c r="AF875" s="24"/>
      <c r="AI875" s="3"/>
      <c r="AJ875" s="3">
        <v>5.7</v>
      </c>
    </row>
    <row r="876" spans="1:61">
      <c r="A876" s="6">
        <v>12</v>
      </c>
      <c r="B876" s="103" t="s">
        <v>577</v>
      </c>
      <c r="C876" s="1" t="s">
        <v>594</v>
      </c>
      <c r="D876" s="2">
        <v>5.19</v>
      </c>
      <c r="E876" s="2"/>
      <c r="F876" s="8">
        <v>4</v>
      </c>
      <c r="G876" s="8"/>
      <c r="H876" s="8">
        <v>4</v>
      </c>
      <c r="I876" s="8">
        <f>H876-D876</f>
        <v>-1.1900000000000004</v>
      </c>
      <c r="K876" s="3"/>
      <c r="M876" s="3">
        <v>5</v>
      </c>
      <c r="O876" s="3">
        <v>5</v>
      </c>
      <c r="Q876" s="3">
        <f>O876-H876</f>
        <v>1</v>
      </c>
      <c r="R876" s="3">
        <v>4.5023</v>
      </c>
      <c r="S876" s="1" t="s">
        <v>379</v>
      </c>
      <c r="T876" s="3">
        <f>R876-O876</f>
        <v>-0.49770000000000003</v>
      </c>
      <c r="U876" s="3">
        <v>4.1291000000000002</v>
      </c>
      <c r="W876" s="3">
        <f>U876-R876</f>
        <v>-0.37319999999999975</v>
      </c>
      <c r="X876" s="3">
        <v>6.8102</v>
      </c>
      <c r="Z876" s="3">
        <f>X876-U876</f>
        <v>2.6810999999999998</v>
      </c>
      <c r="AA876" s="3">
        <v>6.9276</v>
      </c>
      <c r="AC876" s="3">
        <f>AA876-X876</f>
        <v>0.11739999999999995</v>
      </c>
      <c r="AD876" s="24">
        <v>5.641</v>
      </c>
      <c r="AF876" s="24">
        <f>AD876-AA876</f>
        <v>-1.2866</v>
      </c>
      <c r="AG876" s="3">
        <v>5.7249999999999996</v>
      </c>
      <c r="AI876" s="3">
        <f>AG876-AD876</f>
        <v>8.3999999999999631E-2</v>
      </c>
      <c r="AJ876" s="3">
        <v>5.8</v>
      </c>
      <c r="AL876" s="3">
        <f>AJ876-AG876</f>
        <v>7.5000000000000178E-2</v>
      </c>
      <c r="AM876" s="3">
        <v>5.07</v>
      </c>
      <c r="AO876" s="3">
        <f>AM876-AJ876</f>
        <v>-0.72999999999999954</v>
      </c>
      <c r="AP876" s="3">
        <v>4.87</v>
      </c>
      <c r="AS876" s="3">
        <v>5.55</v>
      </c>
      <c r="AV876" s="3">
        <v>6.14</v>
      </c>
      <c r="AY876" s="3">
        <v>4.97</v>
      </c>
      <c r="AZ876" s="3">
        <v>5.0199999999999996</v>
      </c>
      <c r="BA876" s="1" t="s">
        <v>852</v>
      </c>
      <c r="BC876" s="3">
        <v>5.0199999999999996</v>
      </c>
      <c r="BD876" s="3">
        <v>6.5</v>
      </c>
      <c r="BE876" s="1" t="s">
        <v>852</v>
      </c>
      <c r="BG876" s="3">
        <v>6.5</v>
      </c>
      <c r="BH876" s="3">
        <v>6.35</v>
      </c>
      <c r="BI876" s="1" t="s">
        <v>852</v>
      </c>
    </row>
    <row r="877" spans="1:61">
      <c r="A877" s="6">
        <v>14</v>
      </c>
      <c r="B877" s="103" t="s">
        <v>577</v>
      </c>
      <c r="C877" s="1" t="s">
        <v>58</v>
      </c>
      <c r="D877" s="2">
        <v>9.49</v>
      </c>
      <c r="E877" s="2"/>
      <c r="F877" s="8">
        <v>9</v>
      </c>
      <c r="G877" s="8"/>
      <c r="H877" s="8">
        <v>9</v>
      </c>
      <c r="I877" s="9">
        <f>H877-D877</f>
        <v>-0.49000000000000021</v>
      </c>
      <c r="K877" s="3"/>
      <c r="M877" s="3">
        <v>10</v>
      </c>
      <c r="O877" s="3">
        <v>10</v>
      </c>
      <c r="Q877" s="3">
        <f>O877-H877</f>
        <v>1</v>
      </c>
      <c r="R877" s="3">
        <v>8.7527000000000008</v>
      </c>
      <c r="S877" s="1" t="s">
        <v>379</v>
      </c>
      <c r="T877" s="3">
        <f>R877-O877</f>
        <v>-1.2472999999999992</v>
      </c>
      <c r="U877" s="3">
        <v>9.1233000000000004</v>
      </c>
      <c r="W877" s="3">
        <f>U877-R877</f>
        <v>0.3705999999999996</v>
      </c>
      <c r="X877" s="3">
        <v>9.9540000000000006</v>
      </c>
      <c r="Z877" s="3">
        <f>X877-U877</f>
        <v>0.83070000000000022</v>
      </c>
      <c r="AA877" s="3">
        <v>10.1411</v>
      </c>
      <c r="AC877" s="3">
        <f>AA877-X877</f>
        <v>0.18709999999999916</v>
      </c>
      <c r="AD877" s="24">
        <v>9.3881999999999994</v>
      </c>
      <c r="AF877" s="24">
        <f>AD877-AA877</f>
        <v>-0.75290000000000035</v>
      </c>
      <c r="AG877" s="3">
        <v>9.3312000000000008</v>
      </c>
      <c r="AI877" s="3">
        <f>AG877-AD877</f>
        <v>-5.6999999999998607E-2</v>
      </c>
      <c r="AJ877" s="3">
        <v>8.06</v>
      </c>
      <c r="AL877" s="3">
        <f>AJ877-AG877</f>
        <v>-1.2712000000000003</v>
      </c>
      <c r="AM877" s="3">
        <v>7.3</v>
      </c>
      <c r="AO877" s="3">
        <f>AM877-AJ877</f>
        <v>-0.76000000000000068</v>
      </c>
      <c r="AP877" s="3">
        <v>7.39</v>
      </c>
      <c r="AS877" s="3">
        <v>8.32</v>
      </c>
      <c r="AV877" s="3">
        <v>8.2200000000000006</v>
      </c>
      <c r="AY877" s="3">
        <v>7.61</v>
      </c>
      <c r="AZ877" s="3">
        <v>8.0299999999999994</v>
      </c>
      <c r="BA877" s="1" t="s">
        <v>852</v>
      </c>
      <c r="BC877" s="3">
        <v>8.0299999999999994</v>
      </c>
      <c r="BD877" s="3">
        <v>8.34</v>
      </c>
      <c r="BE877" s="1" t="s">
        <v>852</v>
      </c>
      <c r="BG877" s="3">
        <v>8.34</v>
      </c>
      <c r="BH877" s="3">
        <v>9.1</v>
      </c>
      <c r="BI877" s="1" t="s">
        <v>852</v>
      </c>
    </row>
    <row r="878" spans="1:61">
      <c r="B878" s="103" t="s">
        <v>577</v>
      </c>
      <c r="C878" s="1" t="s">
        <v>856</v>
      </c>
      <c r="D878" s="2"/>
      <c r="E878" s="2"/>
      <c r="F878" s="8"/>
      <c r="G878" s="8"/>
      <c r="H878" s="8"/>
      <c r="K878" s="3"/>
      <c r="Q878" s="3"/>
      <c r="T878" s="3"/>
      <c r="W878" s="3"/>
      <c r="AC878" s="3"/>
      <c r="AF878" s="24"/>
      <c r="AI878" s="3"/>
      <c r="AL878" s="3"/>
      <c r="AO878" s="3"/>
      <c r="BH878" s="3">
        <v>19</v>
      </c>
      <c r="BI878" s="1" t="s">
        <v>852</v>
      </c>
    </row>
    <row r="879" spans="1:61">
      <c r="B879" s="103" t="s">
        <v>577</v>
      </c>
      <c r="C879" s="1" t="s">
        <v>857</v>
      </c>
      <c r="D879" s="2"/>
      <c r="E879" s="2"/>
      <c r="F879" s="8"/>
      <c r="G879" s="8"/>
      <c r="H879" s="8"/>
      <c r="K879" s="3"/>
      <c r="T879" s="3"/>
      <c r="AC879" s="3"/>
      <c r="AF879" s="24"/>
      <c r="AI879" s="3"/>
      <c r="AL879" s="3"/>
      <c r="AO879" s="3"/>
      <c r="AY879" s="3">
        <v>20.37</v>
      </c>
      <c r="AZ879" s="3">
        <v>14.77</v>
      </c>
      <c r="BA879" s="1" t="s">
        <v>852</v>
      </c>
      <c r="BC879" s="3">
        <v>14.77</v>
      </c>
      <c r="BD879" s="3">
        <v>65.09</v>
      </c>
      <c r="BE879" s="1" t="s">
        <v>852</v>
      </c>
      <c r="BG879" s="3">
        <v>65.09</v>
      </c>
      <c r="BH879" s="3">
        <v>46.23</v>
      </c>
      <c r="BI879" s="1" t="s">
        <v>852</v>
      </c>
    </row>
    <row r="880" spans="1:61">
      <c r="B880" s="103" t="s">
        <v>577</v>
      </c>
      <c r="C880" s="1" t="s">
        <v>289</v>
      </c>
      <c r="D880" s="2"/>
      <c r="E880" s="2"/>
      <c r="F880" s="8"/>
      <c r="G880" s="8"/>
      <c r="H880" s="8"/>
      <c r="K880" s="3"/>
      <c r="T880" s="3"/>
      <c r="AC880" s="3"/>
      <c r="AF880" s="24"/>
      <c r="AI880" s="3"/>
      <c r="AL880" s="3"/>
      <c r="AO880" s="3"/>
      <c r="AY880" s="3">
        <v>9.4</v>
      </c>
      <c r="AZ880" s="3">
        <v>11.75</v>
      </c>
      <c r="BA880" s="1" t="s">
        <v>852</v>
      </c>
      <c r="BC880" s="3">
        <v>11.75</v>
      </c>
      <c r="BD880" s="3">
        <v>24.59</v>
      </c>
      <c r="BE880" s="1" t="s">
        <v>852</v>
      </c>
      <c r="BG880" s="3">
        <v>24.59</v>
      </c>
      <c r="BH880" s="3">
        <v>10.14</v>
      </c>
      <c r="BI880" s="1" t="s">
        <v>852</v>
      </c>
    </row>
    <row r="881" spans="1:61">
      <c r="B881" s="103" t="s">
        <v>577</v>
      </c>
      <c r="C881" s="1" t="s">
        <v>290</v>
      </c>
      <c r="D881" s="2"/>
      <c r="E881" s="2"/>
      <c r="F881" s="8"/>
      <c r="G881" s="8"/>
      <c r="H881" s="8"/>
      <c r="K881" s="3"/>
      <c r="T881" s="3"/>
      <c r="AC881" s="3"/>
      <c r="AF881" s="24"/>
      <c r="AI881" s="3"/>
      <c r="AL881" s="3"/>
      <c r="AO881" s="3"/>
      <c r="AZ881" s="3">
        <v>14.1</v>
      </c>
      <c r="BA881" s="1" t="s">
        <v>852</v>
      </c>
      <c r="BC881" s="3">
        <v>14.1</v>
      </c>
      <c r="BD881" s="3">
        <v>22.63</v>
      </c>
      <c r="BE881" s="1" t="s">
        <v>852</v>
      </c>
      <c r="BG881" s="3">
        <v>22.63</v>
      </c>
      <c r="BH881" s="3">
        <v>23.66</v>
      </c>
      <c r="BI881" s="1" t="s">
        <v>852</v>
      </c>
    </row>
    <row r="882" spans="1:61">
      <c r="B882" s="103" t="s">
        <v>577</v>
      </c>
      <c r="C882" s="1" t="s">
        <v>64</v>
      </c>
      <c r="D882" s="2"/>
      <c r="E882" s="2"/>
      <c r="F882" s="8"/>
      <c r="G882" s="8"/>
      <c r="H882" s="8"/>
      <c r="K882" s="3"/>
      <c r="M882" s="3">
        <v>15</v>
      </c>
      <c r="O882" s="3">
        <v>15</v>
      </c>
      <c r="R882" s="3">
        <v>13.0261</v>
      </c>
      <c r="S882" s="1" t="s">
        <v>379</v>
      </c>
      <c r="T882" s="3">
        <f>R882-O882</f>
        <v>-1.9739000000000004</v>
      </c>
      <c r="U882" s="3">
        <v>11.097</v>
      </c>
      <c r="W882" s="3">
        <f>U882-R882</f>
        <v>-1.9291</v>
      </c>
      <c r="X882" s="3">
        <v>12.3993</v>
      </c>
      <c r="Z882" s="3">
        <f>X882-U882</f>
        <v>1.3023000000000007</v>
      </c>
      <c r="AA882" s="3">
        <v>12.2133</v>
      </c>
      <c r="AC882" s="3">
        <f>AA882-X882</f>
        <v>-0.18599999999999994</v>
      </c>
      <c r="AD882" s="24">
        <v>11.5596</v>
      </c>
      <c r="AF882" s="24">
        <f>AD882-AA882</f>
        <v>-0.65370000000000061</v>
      </c>
      <c r="AG882" s="3">
        <v>10.9115</v>
      </c>
      <c r="AI882" s="3">
        <f>AG882-AD882</f>
        <v>-0.64809999999999945</v>
      </c>
      <c r="AJ882" s="3">
        <v>9.94</v>
      </c>
      <c r="AL882" s="3">
        <f>AJ882-AG882</f>
        <v>-0.9715000000000007</v>
      </c>
      <c r="AM882" s="3">
        <v>7.4</v>
      </c>
      <c r="AO882" s="3">
        <f>AM882-AJ882</f>
        <v>-2.5399999999999991</v>
      </c>
      <c r="AP882" s="3">
        <v>9.25</v>
      </c>
      <c r="AS882" s="3">
        <v>9.66</v>
      </c>
      <c r="AV882" s="3">
        <v>9.35</v>
      </c>
      <c r="AY882" s="3">
        <v>7.55</v>
      </c>
      <c r="AZ882" s="3">
        <v>8.84</v>
      </c>
      <c r="BA882" s="1" t="s">
        <v>852</v>
      </c>
      <c r="BC882" s="3">
        <v>8.84</v>
      </c>
      <c r="BD882" s="3">
        <v>9.0299999999999994</v>
      </c>
      <c r="BE882" s="1" t="s">
        <v>852</v>
      </c>
      <c r="BG882" s="3">
        <v>9.0299999999999994</v>
      </c>
      <c r="BH882" s="3">
        <v>10.71</v>
      </c>
      <c r="BI882" s="1" t="s">
        <v>852</v>
      </c>
    </row>
    <row r="883" spans="1:61">
      <c r="B883" s="103" t="s">
        <v>577</v>
      </c>
      <c r="C883" s="1" t="s">
        <v>286</v>
      </c>
      <c r="D883" s="2"/>
      <c r="E883" s="2"/>
      <c r="F883" s="8"/>
      <c r="G883" s="8"/>
      <c r="H883" s="8"/>
      <c r="K883" s="3"/>
      <c r="M883" s="3">
        <v>15</v>
      </c>
      <c r="O883" s="3">
        <v>15</v>
      </c>
      <c r="R883" s="3">
        <v>11.2601</v>
      </c>
      <c r="S883" s="1" t="s">
        <v>379</v>
      </c>
      <c r="T883" s="3">
        <f>R883-O883</f>
        <v>-3.7399000000000004</v>
      </c>
      <c r="U883" s="3">
        <v>12.884</v>
      </c>
      <c r="W883" s="3">
        <f>U883-R883</f>
        <v>1.6239000000000008</v>
      </c>
      <c r="X883" s="3">
        <v>15.4977</v>
      </c>
      <c r="Z883" s="3">
        <f>X883-U883</f>
        <v>2.6136999999999997</v>
      </c>
      <c r="AA883" s="3">
        <v>15.321099999999999</v>
      </c>
      <c r="AC883" s="3">
        <f>AA883-X883</f>
        <v>-0.17660000000000053</v>
      </c>
      <c r="AD883" s="24">
        <v>12.885</v>
      </c>
      <c r="AF883" s="24">
        <f>AD883-AA883</f>
        <v>-2.4360999999999997</v>
      </c>
      <c r="AG883" s="3">
        <v>12.891299999999999</v>
      </c>
      <c r="AI883" s="3">
        <f>AG883-AD883</f>
        <v>6.2999999999995282E-3</v>
      </c>
      <c r="AJ883" s="3">
        <v>11.34</v>
      </c>
      <c r="AL883" s="3">
        <f>AJ883-AG883</f>
        <v>-1.5512999999999995</v>
      </c>
      <c r="AM883" s="3">
        <v>7.17</v>
      </c>
      <c r="AO883" s="3">
        <f>AM883-AJ883</f>
        <v>-4.17</v>
      </c>
      <c r="AP883" s="3">
        <v>10.19</v>
      </c>
      <c r="AS883" s="3">
        <v>10.77</v>
      </c>
      <c r="AV883" s="3">
        <v>10.56</v>
      </c>
      <c r="AY883" s="3">
        <v>9.57</v>
      </c>
      <c r="AZ883" s="3">
        <v>8.73</v>
      </c>
      <c r="BA883" s="1" t="s">
        <v>852</v>
      </c>
      <c r="BC883" s="3">
        <v>8.73</v>
      </c>
      <c r="BD883" s="3">
        <v>10.01</v>
      </c>
      <c r="BE883" s="1" t="s">
        <v>852</v>
      </c>
      <c r="BG883" s="3">
        <v>10.01</v>
      </c>
      <c r="BH883" s="3">
        <v>8.48</v>
      </c>
      <c r="BI883" s="1" t="s">
        <v>852</v>
      </c>
    </row>
    <row r="884" spans="1:61">
      <c r="B884" s="103" t="s">
        <v>577</v>
      </c>
      <c r="C884" s="1" t="s">
        <v>288</v>
      </c>
      <c r="D884" s="2"/>
      <c r="E884" s="2"/>
      <c r="F884" s="8"/>
      <c r="G884" s="8"/>
      <c r="H884" s="8"/>
      <c r="K884" s="3"/>
      <c r="M884" s="3">
        <v>19</v>
      </c>
      <c r="O884" s="3">
        <v>19</v>
      </c>
      <c r="R884" s="3">
        <v>11.118399999999999</v>
      </c>
      <c r="S884" s="1" t="s">
        <v>379</v>
      </c>
      <c r="T884" s="3">
        <f>R884-O884</f>
        <v>-7.8816000000000006</v>
      </c>
      <c r="U884" s="3">
        <v>12.5848</v>
      </c>
      <c r="W884" s="3">
        <f>U884-R884</f>
        <v>1.4664000000000001</v>
      </c>
      <c r="X884" s="3">
        <v>14.9628</v>
      </c>
      <c r="Z884" s="3">
        <f>X884-U884</f>
        <v>2.3780000000000001</v>
      </c>
      <c r="AA884" s="3">
        <v>14.7982</v>
      </c>
      <c r="AC884" s="3">
        <f>AA884-X884</f>
        <v>-0.16460000000000008</v>
      </c>
      <c r="AD884" s="24">
        <v>11.398199999999999</v>
      </c>
      <c r="AF884" s="24">
        <f>AD884-AA884</f>
        <v>-3.4000000000000004</v>
      </c>
      <c r="AG884" s="3">
        <v>11.633900000000001</v>
      </c>
      <c r="AI884" s="3">
        <f>AG884-AD884</f>
        <v>0.23570000000000135</v>
      </c>
      <c r="AJ884" s="3">
        <v>9.73</v>
      </c>
      <c r="AL884" s="3">
        <f>AJ884-AG884</f>
        <v>-1.9039000000000001</v>
      </c>
      <c r="AM884" s="3">
        <v>9.07</v>
      </c>
      <c r="AO884" s="3">
        <f>AM884-AJ884</f>
        <v>-0.66000000000000014</v>
      </c>
      <c r="AP884" s="3">
        <v>8.92</v>
      </c>
      <c r="AS884" s="3">
        <v>9.11</v>
      </c>
      <c r="AV884" s="3">
        <v>9.0500000000000007</v>
      </c>
      <c r="AY884" s="3">
        <v>9.15</v>
      </c>
      <c r="AZ884" s="3">
        <v>8.73</v>
      </c>
      <c r="BA884" s="1" t="s">
        <v>852</v>
      </c>
      <c r="BC884" s="3">
        <v>8.73</v>
      </c>
      <c r="BD884" s="3">
        <v>8.7100000000000009</v>
      </c>
      <c r="BE884" s="1" t="s">
        <v>852</v>
      </c>
      <c r="BG884" s="3">
        <v>8.7100000000000009</v>
      </c>
      <c r="BH884" s="3">
        <v>9.8699999999999992</v>
      </c>
      <c r="BI884" s="1" t="s">
        <v>852</v>
      </c>
    </row>
    <row r="885" spans="1:61">
      <c r="A885" s="6">
        <v>11</v>
      </c>
      <c r="B885" s="103" t="s">
        <v>577</v>
      </c>
      <c r="C885" s="1" t="s">
        <v>57</v>
      </c>
      <c r="D885" s="2" t="s">
        <v>218</v>
      </c>
      <c r="E885" s="2"/>
      <c r="F885" s="8">
        <v>0</v>
      </c>
      <c r="G885" s="8"/>
      <c r="H885" s="8">
        <v>0</v>
      </c>
      <c r="I885" s="8"/>
      <c r="M885" s="3">
        <v>0</v>
      </c>
      <c r="N885" s="3" t="s">
        <v>420</v>
      </c>
      <c r="O885" s="3" t="s">
        <v>420</v>
      </c>
    </row>
    <row r="886" spans="1:61">
      <c r="B886" s="103" t="s">
        <v>577</v>
      </c>
      <c r="C886" s="1" t="s">
        <v>287</v>
      </c>
      <c r="D886" s="2"/>
      <c r="E886" s="2"/>
      <c r="F886" s="8"/>
      <c r="G886" s="8"/>
      <c r="H886" s="8"/>
      <c r="K886" s="3"/>
      <c r="M886" s="3">
        <v>14</v>
      </c>
      <c r="O886" s="3">
        <v>14</v>
      </c>
      <c r="R886" s="3">
        <v>11.359299999999999</v>
      </c>
      <c r="S886" s="1" t="s">
        <v>379</v>
      </c>
      <c r="T886" s="3">
        <f>R886-O886</f>
        <v>-2.6407000000000007</v>
      </c>
      <c r="X886" s="3">
        <v>14.8149</v>
      </c>
      <c r="AA886" s="3">
        <v>14.619300000000001</v>
      </c>
      <c r="AC886" s="3">
        <f>AA886-X886</f>
        <v>-0.19559999999999889</v>
      </c>
      <c r="AD886" s="24">
        <v>12.042400000000001</v>
      </c>
      <c r="AF886" s="24">
        <f>AD886-AA886</f>
        <v>-2.5769000000000002</v>
      </c>
      <c r="AG886" s="3">
        <v>12.1065</v>
      </c>
      <c r="AI886" s="3">
        <f>AG886-AD886</f>
        <v>6.4099999999999824E-2</v>
      </c>
      <c r="AJ886" s="3">
        <v>11.13</v>
      </c>
      <c r="AL886" s="3">
        <f>AJ886-AG886</f>
        <v>-0.9764999999999997</v>
      </c>
      <c r="AM886" s="3">
        <v>7.72</v>
      </c>
      <c r="AO886" s="3">
        <f>AM886-AJ886</f>
        <v>-3.410000000000001</v>
      </c>
      <c r="AP886" s="3">
        <v>9.4600000000000009</v>
      </c>
      <c r="AS886" s="3">
        <v>9.89</v>
      </c>
      <c r="AV886" s="3">
        <v>9.61</v>
      </c>
      <c r="AY886" s="3">
        <v>9.15</v>
      </c>
      <c r="AZ886" s="3">
        <v>8.73</v>
      </c>
      <c r="BA886" s="1" t="s">
        <v>852</v>
      </c>
      <c r="BC886" s="3">
        <v>8.73</v>
      </c>
      <c r="BD886" s="3">
        <v>11.31</v>
      </c>
      <c r="BE886" s="1" t="s">
        <v>852</v>
      </c>
      <c r="BG886" s="3">
        <v>11.31</v>
      </c>
      <c r="BH886" s="3">
        <v>10.95</v>
      </c>
      <c r="BI886" s="1" t="s">
        <v>852</v>
      </c>
    </row>
    <row r="887" spans="1:61">
      <c r="A887" s="6">
        <v>1</v>
      </c>
      <c r="B887" s="103" t="s">
        <v>578</v>
      </c>
      <c r="C887" s="1" t="s">
        <v>52</v>
      </c>
      <c r="D887" s="2">
        <v>11.41</v>
      </c>
      <c r="E887" s="2"/>
      <c r="F887" s="8">
        <v>0</v>
      </c>
      <c r="G887" s="8"/>
      <c r="H887" s="8">
        <v>0</v>
      </c>
      <c r="I887" s="8"/>
      <c r="K887" s="3"/>
      <c r="AK887" s="1" t="s">
        <v>285</v>
      </c>
      <c r="AT887" s="1" t="s">
        <v>285</v>
      </c>
    </row>
    <row r="888" spans="1:61">
      <c r="A888" s="6">
        <v>3</v>
      </c>
      <c r="B888" s="103" t="s">
        <v>578</v>
      </c>
      <c r="C888" s="1" t="s">
        <v>54</v>
      </c>
      <c r="D888" s="2"/>
      <c r="E888" s="2"/>
      <c r="F888" s="8">
        <v>14.29</v>
      </c>
      <c r="G888" s="8"/>
      <c r="H888" s="8">
        <v>14.29</v>
      </c>
      <c r="I888" s="8"/>
      <c r="AK888" s="1" t="s">
        <v>285</v>
      </c>
      <c r="AT888" s="1" t="s">
        <v>285</v>
      </c>
    </row>
    <row r="889" spans="1:61">
      <c r="A889" s="6">
        <v>4</v>
      </c>
      <c r="B889" s="103" t="s">
        <v>578</v>
      </c>
      <c r="C889" s="1" t="s">
        <v>55</v>
      </c>
      <c r="D889" s="2"/>
      <c r="E889" s="2"/>
      <c r="F889" s="8">
        <v>0</v>
      </c>
      <c r="G889" s="8"/>
      <c r="H889" s="8">
        <v>0</v>
      </c>
      <c r="I889" s="8"/>
      <c r="AK889" s="1" t="s">
        <v>285</v>
      </c>
      <c r="AT889" s="1" t="s">
        <v>285</v>
      </c>
    </row>
    <row r="890" spans="1:61">
      <c r="A890" s="6">
        <v>5</v>
      </c>
      <c r="B890" s="103" t="s">
        <v>578</v>
      </c>
      <c r="C890" s="1" t="s">
        <v>56</v>
      </c>
      <c r="D890" s="2"/>
      <c r="E890" s="2"/>
      <c r="F890" s="8">
        <v>0</v>
      </c>
      <c r="G890" s="8"/>
      <c r="H890" s="8">
        <v>0</v>
      </c>
      <c r="I890" s="8"/>
      <c r="AK890" s="1" t="s">
        <v>285</v>
      </c>
      <c r="AT890" s="1" t="s">
        <v>285</v>
      </c>
    </row>
    <row r="891" spans="1:61">
      <c r="A891" s="6">
        <v>2</v>
      </c>
      <c r="B891" s="103" t="s">
        <v>578</v>
      </c>
      <c r="C891" s="1" t="s">
        <v>53</v>
      </c>
      <c r="D891" s="2">
        <v>14.26</v>
      </c>
      <c r="E891" s="2"/>
      <c r="F891" s="8">
        <v>11.43</v>
      </c>
      <c r="G891" s="8"/>
      <c r="H891" s="8">
        <v>11.43</v>
      </c>
      <c r="I891" s="10">
        <f>H891-D891</f>
        <v>-2.83</v>
      </c>
      <c r="K891" s="3"/>
      <c r="L891" s="1" t="s">
        <v>70</v>
      </c>
      <c r="R891" s="3">
        <v>14.628</v>
      </c>
      <c r="S891" s="1" t="s">
        <v>380</v>
      </c>
      <c r="T891" s="3"/>
      <c r="AK891" s="1" t="s">
        <v>285</v>
      </c>
      <c r="AT891" s="1" t="s">
        <v>285</v>
      </c>
    </row>
    <row r="892" spans="1:61">
      <c r="B892" s="103" t="s">
        <v>578</v>
      </c>
      <c r="C892" s="1" t="s">
        <v>595</v>
      </c>
      <c r="D892" s="2"/>
      <c r="E892" s="2"/>
      <c r="F892" s="8"/>
      <c r="G892" s="8"/>
      <c r="H892" s="8"/>
      <c r="K892" s="3"/>
      <c r="Q892" s="3"/>
      <c r="T892" s="3"/>
      <c r="AM892" s="3">
        <v>11</v>
      </c>
      <c r="AP892" s="3">
        <v>11</v>
      </c>
      <c r="AT892" s="1" t="s">
        <v>285</v>
      </c>
      <c r="AZ892" s="3">
        <v>12.36</v>
      </c>
      <c r="BD892" s="3">
        <v>12.36</v>
      </c>
    </row>
    <row r="893" spans="1:61">
      <c r="B893" s="103" t="s">
        <v>578</v>
      </c>
      <c r="C893" s="1" t="s">
        <v>289</v>
      </c>
      <c r="D893" s="2"/>
      <c r="E893" s="2"/>
      <c r="F893" s="8"/>
      <c r="G893" s="8"/>
      <c r="H893" s="8"/>
      <c r="K893" s="3"/>
      <c r="Q893" s="3"/>
      <c r="T893" s="3"/>
      <c r="BH893" s="3">
        <v>5.54</v>
      </c>
    </row>
    <row r="894" spans="1:61">
      <c r="B894" s="103" t="s">
        <v>578</v>
      </c>
      <c r="C894" s="1" t="s">
        <v>290</v>
      </c>
      <c r="D894" s="2"/>
      <c r="E894" s="2"/>
      <c r="F894" s="8"/>
      <c r="G894" s="8"/>
      <c r="H894" s="8"/>
      <c r="K894" s="3"/>
      <c r="Q894" s="3"/>
      <c r="T894" s="3"/>
      <c r="BH894" s="3">
        <v>21.9</v>
      </c>
    </row>
    <row r="895" spans="1:61">
      <c r="A895" s="6">
        <v>12</v>
      </c>
      <c r="B895" s="103" t="s">
        <v>578</v>
      </c>
      <c r="C895" s="1" t="s">
        <v>594</v>
      </c>
      <c r="D895" s="2">
        <v>7.42</v>
      </c>
      <c r="E895" s="2"/>
      <c r="F895" s="8">
        <v>7.46</v>
      </c>
      <c r="G895" s="8"/>
      <c r="H895" s="8">
        <v>7.46</v>
      </c>
      <c r="I895" s="8">
        <f>H895-D895</f>
        <v>4.0000000000000036E-2</v>
      </c>
      <c r="K895" s="3"/>
      <c r="M895" s="3">
        <v>7.46</v>
      </c>
      <c r="O895" s="3">
        <v>7.46</v>
      </c>
      <c r="Q895" s="3">
        <f>O895-H895</f>
        <v>0</v>
      </c>
      <c r="R895" s="3">
        <v>7.6360000000000001</v>
      </c>
      <c r="T895" s="3">
        <f>R895-O895</f>
        <v>0.17600000000000016</v>
      </c>
      <c r="U895" s="3">
        <v>8.3699999999999992</v>
      </c>
      <c r="W895" s="3">
        <f>U895-R895</f>
        <v>0.7339999999999991</v>
      </c>
      <c r="X895" s="3">
        <v>9</v>
      </c>
      <c r="AA895" s="3">
        <v>10</v>
      </c>
      <c r="AC895" s="3">
        <f>AA895-X895</f>
        <v>1</v>
      </c>
      <c r="AD895" s="24">
        <v>8.3699999999999992</v>
      </c>
      <c r="AG895" s="3">
        <v>8.3699999999999992</v>
      </c>
      <c r="AI895" s="3">
        <f>AG895-AD895</f>
        <v>0</v>
      </c>
      <c r="AK895" s="1" t="s">
        <v>285</v>
      </c>
      <c r="AM895" s="3">
        <v>7</v>
      </c>
      <c r="AP895" s="3">
        <v>7</v>
      </c>
      <c r="AT895" s="1" t="s">
        <v>285</v>
      </c>
      <c r="AV895" s="3">
        <v>10</v>
      </c>
      <c r="AZ895" s="3">
        <v>5.21</v>
      </c>
      <c r="BD895" s="3">
        <v>5.21</v>
      </c>
      <c r="BH895" s="3">
        <v>8.5</v>
      </c>
    </row>
    <row r="896" spans="1:61">
      <c r="A896" s="6">
        <v>14</v>
      </c>
      <c r="B896" s="103" t="s">
        <v>578</v>
      </c>
      <c r="C896" s="1" t="s">
        <v>58</v>
      </c>
      <c r="D896" s="2">
        <v>11.27</v>
      </c>
      <c r="E896" s="2"/>
      <c r="F896" s="8">
        <v>12.01</v>
      </c>
      <c r="G896" s="8"/>
      <c r="H896" s="8">
        <v>12.01</v>
      </c>
      <c r="I896" s="9">
        <f>H896-D896</f>
        <v>0.74000000000000021</v>
      </c>
      <c r="K896" s="3"/>
      <c r="L896" s="1" t="s">
        <v>602</v>
      </c>
      <c r="M896" s="3">
        <v>12.01</v>
      </c>
      <c r="O896" s="3">
        <v>12.01</v>
      </c>
      <c r="Q896" s="3">
        <f>O896-H896</f>
        <v>0</v>
      </c>
      <c r="R896" s="3">
        <v>12.294</v>
      </c>
      <c r="T896" s="3">
        <f>R896-O896</f>
        <v>0.2840000000000007</v>
      </c>
      <c r="X896" s="3">
        <v>16</v>
      </c>
      <c r="AK896" s="1" t="s">
        <v>285</v>
      </c>
      <c r="AM896" s="3">
        <v>9</v>
      </c>
      <c r="AP896" s="3">
        <v>9</v>
      </c>
      <c r="AT896" s="1" t="s">
        <v>285</v>
      </c>
      <c r="AZ896" s="3">
        <v>8.4</v>
      </c>
      <c r="BD896" s="3">
        <v>8.4</v>
      </c>
      <c r="BH896" s="3">
        <v>19.440000000000001</v>
      </c>
    </row>
    <row r="897" spans="1:60">
      <c r="B897" s="103" t="s">
        <v>578</v>
      </c>
      <c r="C897" s="1" t="s">
        <v>64</v>
      </c>
      <c r="D897" s="2"/>
      <c r="E897" s="2"/>
      <c r="F897" s="8"/>
      <c r="G897" s="8"/>
      <c r="H897" s="8"/>
      <c r="K897" s="3"/>
      <c r="Q897" s="3"/>
      <c r="R897" s="3">
        <v>15.673999999999999</v>
      </c>
      <c r="T897" s="3"/>
      <c r="U897" s="3">
        <v>14.94</v>
      </c>
      <c r="W897" s="3">
        <f>U897-R897</f>
        <v>-0.73399999999999999</v>
      </c>
      <c r="X897" s="3">
        <v>21</v>
      </c>
      <c r="AA897" s="3">
        <v>14</v>
      </c>
      <c r="AC897" s="3">
        <f>AA897-X897</f>
        <v>-7</v>
      </c>
      <c r="AD897" s="24">
        <v>14.94</v>
      </c>
      <c r="AG897" s="3">
        <v>14.94</v>
      </c>
      <c r="AI897" s="3">
        <f>AG897-AD897</f>
        <v>0</v>
      </c>
      <c r="AK897" s="1" t="s">
        <v>285</v>
      </c>
      <c r="AM897" s="3">
        <v>12</v>
      </c>
      <c r="AP897" s="3">
        <v>12</v>
      </c>
      <c r="AT897" s="1" t="s">
        <v>285</v>
      </c>
      <c r="AZ897" s="3">
        <v>11.3</v>
      </c>
      <c r="BD897" s="3">
        <v>11.3</v>
      </c>
      <c r="BH897" s="3">
        <v>16.09</v>
      </c>
    </row>
    <row r="898" spans="1:60">
      <c r="B898" s="103" t="s">
        <v>578</v>
      </c>
      <c r="C898" s="1" t="s">
        <v>286</v>
      </c>
      <c r="D898" s="2"/>
      <c r="E898" s="2"/>
      <c r="F898" s="8"/>
      <c r="G898" s="8"/>
      <c r="H898" s="8"/>
      <c r="K898" s="3"/>
      <c r="Q898" s="3"/>
      <c r="R898" s="3">
        <v>15.907999999999999</v>
      </c>
      <c r="T898" s="3"/>
      <c r="X898" s="3">
        <v>20</v>
      </c>
      <c r="AA898" s="3">
        <v>18</v>
      </c>
      <c r="AC898" s="3">
        <f>AA898-X898</f>
        <v>-2</v>
      </c>
      <c r="AK898" s="1" t="s">
        <v>285</v>
      </c>
      <c r="AM898" s="3">
        <v>10</v>
      </c>
      <c r="AP898" s="3">
        <v>10</v>
      </c>
      <c r="AT898" s="1" t="s">
        <v>285</v>
      </c>
      <c r="AZ898" s="3">
        <v>10.17</v>
      </c>
      <c r="BD898" s="3">
        <v>10.17</v>
      </c>
      <c r="BH898" s="3">
        <v>19.86</v>
      </c>
    </row>
    <row r="899" spans="1:60">
      <c r="B899" s="103" t="s">
        <v>578</v>
      </c>
      <c r="C899" s="1" t="s">
        <v>288</v>
      </c>
      <c r="D899" s="2"/>
      <c r="E899" s="2"/>
      <c r="F899" s="8"/>
      <c r="G899" s="8"/>
      <c r="H899" s="8"/>
      <c r="K899" s="3"/>
      <c r="Q899" s="3"/>
      <c r="T899" s="3"/>
      <c r="X899" s="3">
        <v>18</v>
      </c>
      <c r="AA899" s="3">
        <v>20</v>
      </c>
      <c r="AC899" s="3">
        <f>AA899-X899</f>
        <v>2</v>
      </c>
      <c r="AK899" s="1" t="s">
        <v>285</v>
      </c>
      <c r="AM899" s="3">
        <v>10</v>
      </c>
      <c r="AP899" s="3">
        <v>10</v>
      </c>
      <c r="AT899" s="1" t="s">
        <v>285</v>
      </c>
      <c r="AZ899" s="3">
        <v>10.19</v>
      </c>
      <c r="BD899" s="3">
        <v>10.19</v>
      </c>
      <c r="BH899" s="3">
        <v>24.8</v>
      </c>
    </row>
    <row r="900" spans="1:60">
      <c r="A900" s="6">
        <v>11</v>
      </c>
      <c r="B900" s="103" t="s">
        <v>578</v>
      </c>
      <c r="C900" s="1" t="s">
        <v>57</v>
      </c>
      <c r="D900" s="2">
        <v>18.7</v>
      </c>
      <c r="E900" s="2"/>
      <c r="F900" s="8">
        <v>0</v>
      </c>
      <c r="G900" s="8"/>
      <c r="H900" s="8">
        <v>0</v>
      </c>
      <c r="I900" s="8"/>
      <c r="AK900" s="1" t="s">
        <v>285</v>
      </c>
      <c r="AT900" s="1" t="s">
        <v>285</v>
      </c>
    </row>
    <row r="901" spans="1:60">
      <c r="B901" s="103" t="s">
        <v>578</v>
      </c>
      <c r="C901" s="1" t="s">
        <v>287</v>
      </c>
      <c r="D901" s="2"/>
      <c r="E901" s="2"/>
      <c r="F901" s="8"/>
      <c r="G901" s="8"/>
      <c r="H901" s="8"/>
      <c r="K901" s="3"/>
      <c r="Q901" s="3"/>
      <c r="T901" s="3"/>
      <c r="U901" s="3">
        <v>12.5</v>
      </c>
      <c r="AG901" s="3">
        <v>12.5</v>
      </c>
      <c r="AK901" s="1" t="s">
        <v>285</v>
      </c>
      <c r="AT901" s="1" t="s">
        <v>285</v>
      </c>
    </row>
    <row r="902" spans="1:60">
      <c r="A902" s="6">
        <v>1</v>
      </c>
      <c r="B902" s="103" t="s">
        <v>579</v>
      </c>
      <c r="C902" s="1" t="s">
        <v>52</v>
      </c>
      <c r="D902" s="2"/>
      <c r="E902" s="2"/>
      <c r="F902" s="8">
        <v>0</v>
      </c>
      <c r="G902" s="8"/>
      <c r="H902" s="8">
        <v>0</v>
      </c>
      <c r="I902" s="8"/>
      <c r="K902" s="3"/>
      <c r="R902" s="2" t="s">
        <v>685</v>
      </c>
      <c r="S902" s="1" t="s">
        <v>381</v>
      </c>
      <c r="AE902" s="1" t="s">
        <v>285</v>
      </c>
      <c r="AQ902" s="1" t="s">
        <v>285</v>
      </c>
      <c r="AT902" s="1" t="s">
        <v>285</v>
      </c>
    </row>
    <row r="903" spans="1:60">
      <c r="A903" s="6">
        <v>3</v>
      </c>
      <c r="B903" s="103" t="s">
        <v>579</v>
      </c>
      <c r="C903" s="1" t="s">
        <v>54</v>
      </c>
      <c r="D903" s="2"/>
      <c r="E903" s="2"/>
      <c r="F903" s="8">
        <v>0</v>
      </c>
      <c r="G903" s="8"/>
      <c r="H903" s="8">
        <v>0</v>
      </c>
      <c r="I903" s="8"/>
      <c r="K903" s="3"/>
      <c r="R903" s="2" t="s">
        <v>685</v>
      </c>
      <c r="AE903" s="1" t="s">
        <v>285</v>
      </c>
      <c r="AQ903" s="1" t="s">
        <v>285</v>
      </c>
      <c r="AT903" s="1" t="s">
        <v>285</v>
      </c>
    </row>
    <row r="904" spans="1:60">
      <c r="A904" s="6">
        <v>4</v>
      </c>
      <c r="B904" s="103" t="s">
        <v>579</v>
      </c>
      <c r="C904" s="1" t="s">
        <v>55</v>
      </c>
      <c r="D904" s="2"/>
      <c r="E904" s="2"/>
      <c r="F904" s="8">
        <v>0</v>
      </c>
      <c r="G904" s="8"/>
      <c r="H904" s="8">
        <v>0</v>
      </c>
      <c r="I904" s="8"/>
      <c r="K904" s="3"/>
      <c r="R904" s="2" t="s">
        <v>685</v>
      </c>
      <c r="AE904" s="1" t="s">
        <v>285</v>
      </c>
      <c r="AQ904" s="1" t="s">
        <v>285</v>
      </c>
      <c r="AT904" s="1" t="s">
        <v>285</v>
      </c>
    </row>
    <row r="905" spans="1:60">
      <c r="A905" s="6">
        <v>5</v>
      </c>
      <c r="B905" s="103" t="s">
        <v>579</v>
      </c>
      <c r="C905" s="1" t="s">
        <v>56</v>
      </c>
      <c r="D905" s="2"/>
      <c r="E905" s="2"/>
      <c r="F905" s="8">
        <v>17.3</v>
      </c>
      <c r="G905" s="8"/>
      <c r="H905" s="8">
        <v>17.3</v>
      </c>
      <c r="I905" s="8"/>
      <c r="K905" s="3"/>
      <c r="L905" s="1" t="s">
        <v>707</v>
      </c>
      <c r="M905" s="3">
        <v>13</v>
      </c>
      <c r="O905" s="3">
        <v>13</v>
      </c>
      <c r="Q905" s="3">
        <f>O905-H905</f>
        <v>-4.3000000000000007</v>
      </c>
      <c r="R905" s="3">
        <v>13</v>
      </c>
      <c r="T905" s="3">
        <f>R905-O905</f>
        <v>0</v>
      </c>
      <c r="AE905" s="1" t="s">
        <v>285</v>
      </c>
      <c r="AQ905" s="1" t="s">
        <v>285</v>
      </c>
      <c r="AT905" s="1" t="s">
        <v>285</v>
      </c>
    </row>
    <row r="906" spans="1:60">
      <c r="A906" s="6">
        <v>2</v>
      </c>
      <c r="B906" s="103" t="s">
        <v>579</v>
      </c>
      <c r="C906" s="1" t="s">
        <v>53</v>
      </c>
      <c r="D906" s="2"/>
      <c r="E906" s="2"/>
      <c r="F906" s="8">
        <v>11</v>
      </c>
      <c r="G906" s="8"/>
      <c r="H906" s="8">
        <v>11</v>
      </c>
      <c r="I906" s="8"/>
      <c r="K906" s="3"/>
      <c r="L906" s="1" t="s">
        <v>233</v>
      </c>
      <c r="M906" s="3">
        <v>7.5</v>
      </c>
      <c r="O906" s="3">
        <v>7.5</v>
      </c>
      <c r="Q906" s="3">
        <f>O906-H906</f>
        <v>-3.5</v>
      </c>
      <c r="R906" s="3">
        <v>7.5</v>
      </c>
      <c r="T906" s="3">
        <f>R906-O906</f>
        <v>0</v>
      </c>
      <c r="AE906" s="1" t="s">
        <v>285</v>
      </c>
      <c r="AQ906" s="1" t="s">
        <v>285</v>
      </c>
      <c r="AT906" s="1" t="s">
        <v>285</v>
      </c>
    </row>
    <row r="907" spans="1:60">
      <c r="B907" s="103" t="s">
        <v>579</v>
      </c>
      <c r="C907" s="1" t="s">
        <v>700</v>
      </c>
      <c r="D907" s="2"/>
      <c r="E907" s="2"/>
      <c r="F907" s="8"/>
      <c r="G907" s="8"/>
      <c r="H907" s="8"/>
      <c r="I907" s="8"/>
      <c r="K907" s="3"/>
      <c r="T907" s="3"/>
      <c r="AA907" s="3">
        <v>16.670000000000002</v>
      </c>
      <c r="AE907" s="1" t="s">
        <v>285</v>
      </c>
      <c r="AQ907" s="1" t="s">
        <v>285</v>
      </c>
      <c r="AT907" s="1" t="s">
        <v>285</v>
      </c>
    </row>
    <row r="908" spans="1:60">
      <c r="B908" s="103" t="s">
        <v>579</v>
      </c>
      <c r="C908" s="1" t="s">
        <v>596</v>
      </c>
      <c r="D908" s="2"/>
      <c r="E908" s="2"/>
      <c r="F908" s="8"/>
      <c r="G908" s="8"/>
      <c r="H908" s="8"/>
      <c r="I908" s="8"/>
      <c r="K908" s="3"/>
      <c r="T908" s="3"/>
      <c r="U908" s="3">
        <v>7</v>
      </c>
      <c r="X908" s="3">
        <v>7</v>
      </c>
      <c r="Z908" s="3">
        <f>X908-U908</f>
        <v>0</v>
      </c>
      <c r="AE908" s="1" t="s">
        <v>285</v>
      </c>
      <c r="AQ908" s="1" t="s">
        <v>285</v>
      </c>
      <c r="AT908" s="1" t="s">
        <v>285</v>
      </c>
    </row>
    <row r="909" spans="1:60" ht="9.6" customHeight="1">
      <c r="A909" s="6">
        <v>12</v>
      </c>
      <c r="B909" s="103" t="s">
        <v>579</v>
      </c>
      <c r="C909" s="1" t="s">
        <v>594</v>
      </c>
      <c r="D909" s="2"/>
      <c r="E909" s="2"/>
      <c r="F909" s="8">
        <v>12.4</v>
      </c>
      <c r="G909" s="8"/>
      <c r="H909" s="8">
        <v>12.4</v>
      </c>
      <c r="I909" s="8"/>
      <c r="K909" s="3"/>
      <c r="L909" s="1" t="s">
        <v>358</v>
      </c>
      <c r="M909" s="3">
        <v>10</v>
      </c>
      <c r="O909" s="3">
        <v>10</v>
      </c>
      <c r="Q909" s="3">
        <f>O909-H909</f>
        <v>-2.4000000000000004</v>
      </c>
      <c r="R909" s="3">
        <v>10</v>
      </c>
      <c r="T909" s="3">
        <f>R909-O909</f>
        <v>0</v>
      </c>
      <c r="AA909" s="3">
        <v>8.33</v>
      </c>
      <c r="AE909" s="1" t="s">
        <v>285</v>
      </c>
      <c r="AG909" s="3">
        <v>7.6</v>
      </c>
      <c r="AJ909" s="3">
        <v>8</v>
      </c>
      <c r="AL909" s="3">
        <f>AJ909-AG909</f>
        <v>0.40000000000000036</v>
      </c>
      <c r="AM909" s="3">
        <v>6</v>
      </c>
      <c r="AO909" s="3">
        <f>AM909-AJ909</f>
        <v>-2</v>
      </c>
      <c r="AQ909" s="1" t="s">
        <v>285</v>
      </c>
      <c r="AT909" s="1" t="s">
        <v>285</v>
      </c>
      <c r="AV909" s="3">
        <v>6.25</v>
      </c>
      <c r="AY909" s="3">
        <v>8</v>
      </c>
      <c r="AZ909" s="3">
        <v>8</v>
      </c>
      <c r="BA909" s="1" t="s">
        <v>852</v>
      </c>
      <c r="BD909" s="3">
        <v>8</v>
      </c>
      <c r="BG909" s="3">
        <v>8</v>
      </c>
      <c r="BH909" s="3">
        <v>7</v>
      </c>
    </row>
    <row r="910" spans="1:60">
      <c r="B910" s="103" t="s">
        <v>579</v>
      </c>
      <c r="C910" s="1" t="s">
        <v>851</v>
      </c>
      <c r="D910" s="2"/>
      <c r="E910" s="2"/>
      <c r="F910" s="8"/>
      <c r="G910" s="8"/>
      <c r="H910" s="8"/>
      <c r="I910" s="8"/>
      <c r="K910" s="3"/>
      <c r="T910" s="3"/>
      <c r="W910" s="3"/>
      <c r="AC910" s="3"/>
      <c r="AL910" s="3"/>
      <c r="AO910" s="3"/>
      <c r="AZ910" s="3">
        <v>10</v>
      </c>
      <c r="BA910" s="1" t="s">
        <v>852</v>
      </c>
      <c r="BD910" s="3">
        <v>10</v>
      </c>
    </row>
    <row r="911" spans="1:60">
      <c r="A911" s="6">
        <v>14</v>
      </c>
      <c r="B911" s="103" t="s">
        <v>579</v>
      </c>
      <c r="C911" s="1" t="s">
        <v>58</v>
      </c>
      <c r="D911" s="2"/>
      <c r="E911" s="2"/>
      <c r="F911" s="8">
        <v>0</v>
      </c>
      <c r="G911" s="8"/>
      <c r="H911" s="8">
        <v>0</v>
      </c>
      <c r="I911" s="8"/>
      <c r="K911" s="3"/>
      <c r="R911" s="3">
        <v>10</v>
      </c>
      <c r="T911" s="3"/>
      <c r="U911" s="3">
        <v>11.4</v>
      </c>
      <c r="W911" s="3">
        <f>U911-R911</f>
        <v>1.4000000000000004</v>
      </c>
      <c r="X911" s="3">
        <v>20</v>
      </c>
      <c r="Z911" s="3">
        <f>X911-U911</f>
        <v>8.6</v>
      </c>
      <c r="AA911" s="3">
        <v>16.670000000000002</v>
      </c>
      <c r="AC911" s="3">
        <f>AA911-X911</f>
        <v>-3.3299999999999983</v>
      </c>
      <c r="AE911" s="1" t="s">
        <v>285</v>
      </c>
      <c r="AJ911" s="3">
        <v>12</v>
      </c>
      <c r="AL911" s="3"/>
      <c r="AM911" s="3">
        <v>11</v>
      </c>
      <c r="AO911" s="3">
        <f>AM911-AJ911</f>
        <v>-1</v>
      </c>
      <c r="AQ911" s="1" t="s">
        <v>285</v>
      </c>
      <c r="AT911" s="1" t="s">
        <v>285</v>
      </c>
      <c r="AV911" s="3">
        <v>9.375</v>
      </c>
      <c r="BG911" s="3">
        <v>12</v>
      </c>
      <c r="BH911" s="3">
        <v>10</v>
      </c>
    </row>
    <row r="912" spans="1:60">
      <c r="B912" s="103" t="s">
        <v>579</v>
      </c>
      <c r="C912" s="1" t="s">
        <v>289</v>
      </c>
      <c r="D912" s="2"/>
      <c r="E912" s="2"/>
      <c r="F912" s="8"/>
      <c r="G912" s="8"/>
      <c r="H912" s="8"/>
      <c r="I912" s="8"/>
      <c r="K912" s="3"/>
      <c r="T912" s="3"/>
      <c r="U912" s="3">
        <v>21.4</v>
      </c>
      <c r="X912" s="3">
        <v>21.4</v>
      </c>
      <c r="Z912" s="3">
        <f>X912-U912</f>
        <v>0</v>
      </c>
      <c r="AA912" s="3">
        <v>16.670000000000002</v>
      </c>
      <c r="AC912" s="3">
        <f>AA912-X912</f>
        <v>-4.7299999999999969</v>
      </c>
      <c r="AE912" s="1" t="s">
        <v>285</v>
      </c>
      <c r="AG912" s="3">
        <v>11.4</v>
      </c>
      <c r="AM912" s="3">
        <v>8</v>
      </c>
      <c r="AQ912" s="1" t="s">
        <v>285</v>
      </c>
      <c r="AT912" s="1" t="s">
        <v>285</v>
      </c>
      <c r="AV912" s="3">
        <v>6.25</v>
      </c>
      <c r="AY912" s="3">
        <v>10</v>
      </c>
      <c r="AZ912" s="3">
        <v>10</v>
      </c>
      <c r="BA912" s="1" t="s">
        <v>852</v>
      </c>
      <c r="BD912" s="3">
        <v>10</v>
      </c>
      <c r="BG912" s="3">
        <v>10.8</v>
      </c>
      <c r="BH912" s="3">
        <v>8</v>
      </c>
    </row>
    <row r="913" spans="1:60">
      <c r="B913" s="103" t="s">
        <v>579</v>
      </c>
      <c r="C913" s="1" t="s">
        <v>290</v>
      </c>
      <c r="D913" s="2"/>
      <c r="E913" s="2"/>
      <c r="F913" s="8"/>
      <c r="G913" s="8"/>
      <c r="H913" s="8"/>
      <c r="I913" s="8"/>
      <c r="K913" s="3"/>
      <c r="T913" s="3"/>
      <c r="AC913" s="3"/>
      <c r="AV913" s="3">
        <v>20.83</v>
      </c>
      <c r="AY913" s="3">
        <v>20</v>
      </c>
      <c r="AZ913" s="3">
        <v>20</v>
      </c>
      <c r="BA913" s="1" t="s">
        <v>852</v>
      </c>
      <c r="BD913" s="3">
        <v>20</v>
      </c>
      <c r="BG913" s="3">
        <v>24</v>
      </c>
      <c r="BH913" s="3">
        <v>20</v>
      </c>
    </row>
    <row r="914" spans="1:60">
      <c r="B914" s="103" t="s">
        <v>579</v>
      </c>
      <c r="C914" s="1" t="s">
        <v>64</v>
      </c>
      <c r="D914" s="2"/>
      <c r="E914" s="2"/>
      <c r="F914" s="8"/>
      <c r="G914" s="8"/>
      <c r="H914" s="8"/>
      <c r="I914" s="8"/>
      <c r="K914" s="3"/>
      <c r="T914" s="3"/>
      <c r="U914" s="3">
        <v>10.6</v>
      </c>
      <c r="X914" s="3">
        <v>10.6</v>
      </c>
      <c r="Z914" s="3">
        <f>X914-U914</f>
        <v>0</v>
      </c>
      <c r="AA914" s="3">
        <v>20</v>
      </c>
      <c r="AC914" s="3">
        <f>AA914-X914</f>
        <v>9.4</v>
      </c>
      <c r="AE914" s="1" t="s">
        <v>285</v>
      </c>
      <c r="AG914" s="3">
        <v>20.27</v>
      </c>
      <c r="AJ914" s="3">
        <v>15</v>
      </c>
      <c r="AL914" s="3">
        <f>AJ914-AG914</f>
        <v>-5.27</v>
      </c>
      <c r="AM914" s="3">
        <v>10</v>
      </c>
      <c r="AO914" s="3">
        <f>AM914-AJ914</f>
        <v>-5</v>
      </c>
      <c r="AQ914" s="1" t="s">
        <v>285</v>
      </c>
      <c r="AT914" s="1" t="s">
        <v>285</v>
      </c>
      <c r="AV914" s="3">
        <v>16.66</v>
      </c>
      <c r="AY914" s="3">
        <v>14</v>
      </c>
      <c r="AZ914" s="3">
        <v>14</v>
      </c>
      <c r="BA914" s="1" t="s">
        <v>852</v>
      </c>
      <c r="BD914" s="3">
        <v>14</v>
      </c>
      <c r="BG914" s="3">
        <v>14</v>
      </c>
      <c r="BH914" s="3">
        <v>14</v>
      </c>
    </row>
    <row r="915" spans="1:60">
      <c r="B915" s="103" t="s">
        <v>579</v>
      </c>
      <c r="C915" s="1" t="s">
        <v>281</v>
      </c>
      <c r="D915" s="2"/>
      <c r="E915" s="2"/>
      <c r="F915" s="8"/>
      <c r="G915" s="8"/>
      <c r="H915" s="8"/>
      <c r="I915" s="8"/>
      <c r="K915" s="3"/>
      <c r="T915" s="3"/>
      <c r="X915" s="3">
        <v>5.5</v>
      </c>
      <c r="AE915" s="1" t="s">
        <v>285</v>
      </c>
      <c r="AQ915" s="1" t="s">
        <v>285</v>
      </c>
      <c r="AT915" s="1" t="s">
        <v>285</v>
      </c>
    </row>
    <row r="916" spans="1:60">
      <c r="B916" s="103" t="s">
        <v>579</v>
      </c>
      <c r="C916" s="1" t="s">
        <v>180</v>
      </c>
      <c r="D916" s="2"/>
      <c r="E916" s="2"/>
      <c r="F916" s="8"/>
      <c r="G916" s="8"/>
      <c r="H916" s="8"/>
      <c r="I916" s="8"/>
      <c r="K916" s="3"/>
      <c r="T916" s="3"/>
      <c r="U916" s="3">
        <v>5.5</v>
      </c>
      <c r="AE916" s="1" t="s">
        <v>285</v>
      </c>
      <c r="AQ916" s="1" t="s">
        <v>285</v>
      </c>
      <c r="AT916" s="1" t="s">
        <v>285</v>
      </c>
    </row>
    <row r="917" spans="1:60">
      <c r="B917" s="103" t="s">
        <v>579</v>
      </c>
      <c r="C917" s="1" t="s">
        <v>855</v>
      </c>
      <c r="D917" s="2"/>
      <c r="E917" s="2"/>
      <c r="F917" s="8"/>
      <c r="G917" s="8"/>
      <c r="H917" s="8"/>
      <c r="I917" s="8"/>
      <c r="K917" s="3"/>
      <c r="T917" s="3"/>
      <c r="AY917" s="3">
        <v>14</v>
      </c>
      <c r="AZ917" s="3">
        <v>14</v>
      </c>
      <c r="BA917" s="1" t="s">
        <v>852</v>
      </c>
    </row>
    <row r="918" spans="1:60">
      <c r="B918" s="103" t="s">
        <v>579</v>
      </c>
      <c r="C918" s="1" t="s">
        <v>286</v>
      </c>
      <c r="D918" s="2"/>
      <c r="E918" s="2"/>
      <c r="F918" s="8"/>
      <c r="G918" s="8"/>
      <c r="H918" s="8"/>
      <c r="I918" s="8"/>
      <c r="K918" s="3"/>
      <c r="T918" s="3"/>
      <c r="AA918" s="3">
        <v>15</v>
      </c>
      <c r="AE918" s="1" t="s">
        <v>285</v>
      </c>
      <c r="AG918" s="3">
        <v>15.2</v>
      </c>
      <c r="AQ918" s="1" t="s">
        <v>285</v>
      </c>
      <c r="AT918" s="1" t="s">
        <v>285</v>
      </c>
      <c r="AV918" s="3">
        <v>16.66</v>
      </c>
    </row>
    <row r="919" spans="1:60">
      <c r="B919" s="103" t="s">
        <v>579</v>
      </c>
      <c r="C919" s="1" t="s">
        <v>288</v>
      </c>
      <c r="D919" s="2"/>
      <c r="E919" s="2"/>
      <c r="F919" s="8"/>
      <c r="G919" s="8"/>
      <c r="H919" s="8"/>
      <c r="I919" s="8"/>
      <c r="K919" s="3"/>
      <c r="T919" s="3"/>
      <c r="U919" s="3">
        <v>10.5</v>
      </c>
      <c r="X919" s="3">
        <v>10.5</v>
      </c>
      <c r="Z919" s="3">
        <f>X919-U919</f>
        <v>0</v>
      </c>
      <c r="AA919" s="3">
        <v>13.33</v>
      </c>
      <c r="AC919" s="3">
        <f>AA919-X919</f>
        <v>2.83</v>
      </c>
      <c r="AE919" s="1" t="s">
        <v>285</v>
      </c>
      <c r="AM919" s="3">
        <v>17</v>
      </c>
      <c r="AQ919" s="1" t="s">
        <v>285</v>
      </c>
      <c r="AT919" s="1" t="s">
        <v>285</v>
      </c>
      <c r="AV919" s="3">
        <v>18.75</v>
      </c>
      <c r="AY919" s="3">
        <v>12</v>
      </c>
      <c r="AZ919" s="3">
        <v>12</v>
      </c>
      <c r="BA919" s="1" t="s">
        <v>852</v>
      </c>
      <c r="BD919" s="3">
        <v>24</v>
      </c>
      <c r="BG919" s="3">
        <v>14</v>
      </c>
      <c r="BH919" s="3">
        <v>14</v>
      </c>
    </row>
    <row r="920" spans="1:60">
      <c r="A920" s="6">
        <v>11</v>
      </c>
      <c r="B920" s="103" t="s">
        <v>579</v>
      </c>
      <c r="C920" s="1" t="s">
        <v>57</v>
      </c>
      <c r="D920" s="2"/>
      <c r="E920" s="2"/>
      <c r="F920" s="8">
        <v>0</v>
      </c>
      <c r="G920" s="8"/>
      <c r="H920" s="8">
        <v>0</v>
      </c>
      <c r="I920" s="8"/>
      <c r="K920" s="3"/>
      <c r="R920" s="2" t="s">
        <v>685</v>
      </c>
      <c r="AE920" s="1" t="s">
        <v>285</v>
      </c>
      <c r="AQ920" s="1" t="s">
        <v>285</v>
      </c>
      <c r="AT920" s="1" t="s">
        <v>285</v>
      </c>
    </row>
    <row r="921" spans="1:60">
      <c r="B921" s="103" t="s">
        <v>579</v>
      </c>
      <c r="C921" s="1" t="s">
        <v>287</v>
      </c>
      <c r="D921" s="2"/>
      <c r="E921" s="2"/>
      <c r="F921" s="8"/>
      <c r="G921" s="8"/>
      <c r="H921" s="8"/>
      <c r="I921" s="8"/>
      <c r="K921" s="3"/>
      <c r="T921" s="3"/>
      <c r="AA921" s="3">
        <v>13.5</v>
      </c>
      <c r="AE921" s="1" t="s">
        <v>285</v>
      </c>
      <c r="AQ921" s="1" t="s">
        <v>285</v>
      </c>
      <c r="AT921" s="1" t="s">
        <v>285</v>
      </c>
    </row>
    <row r="922" spans="1:60">
      <c r="B922" s="103" t="s">
        <v>579</v>
      </c>
      <c r="C922" s="1" t="s">
        <v>872</v>
      </c>
      <c r="D922" s="2"/>
      <c r="E922" s="2"/>
      <c r="F922" s="8"/>
      <c r="G922" s="8"/>
      <c r="H922" s="8"/>
      <c r="I922" s="8"/>
      <c r="K922" s="3"/>
      <c r="T922" s="3"/>
      <c r="BG922" s="3">
        <v>13</v>
      </c>
      <c r="BH922" s="3">
        <v>13</v>
      </c>
    </row>
    <row r="923" spans="1:60">
      <c r="A923" s="6">
        <v>1</v>
      </c>
      <c r="B923" s="103" t="s">
        <v>580</v>
      </c>
      <c r="C923" s="1" t="s">
        <v>52</v>
      </c>
      <c r="D923" s="2"/>
      <c r="E923" s="2"/>
      <c r="F923" s="8">
        <v>0</v>
      </c>
      <c r="G923" s="8"/>
      <c r="H923" s="8">
        <v>0</v>
      </c>
      <c r="I923" s="8"/>
    </row>
    <row r="924" spans="1:60">
      <c r="A924" s="6">
        <v>3</v>
      </c>
      <c r="B924" s="103" t="s">
        <v>580</v>
      </c>
      <c r="C924" s="1" t="s">
        <v>54</v>
      </c>
      <c r="D924" s="2"/>
      <c r="E924" s="2"/>
      <c r="F924" s="8">
        <v>0</v>
      </c>
      <c r="G924" s="8"/>
      <c r="H924" s="8">
        <v>0</v>
      </c>
      <c r="I924" s="8"/>
    </row>
    <row r="925" spans="1:60">
      <c r="A925" s="6">
        <v>4</v>
      </c>
      <c r="B925" s="103" t="s">
        <v>580</v>
      </c>
      <c r="C925" s="1" t="s">
        <v>55</v>
      </c>
      <c r="D925" s="2"/>
      <c r="E925" s="2"/>
      <c r="F925" s="8">
        <v>0</v>
      </c>
      <c r="G925" s="8"/>
      <c r="H925" s="8">
        <v>0</v>
      </c>
      <c r="I925" s="8"/>
    </row>
    <row r="926" spans="1:60">
      <c r="A926" s="6">
        <v>5</v>
      </c>
      <c r="B926" s="103" t="s">
        <v>580</v>
      </c>
      <c r="C926" s="1" t="s">
        <v>56</v>
      </c>
      <c r="D926" s="2"/>
      <c r="E926" s="2"/>
      <c r="F926" s="8">
        <v>0</v>
      </c>
      <c r="G926" s="8"/>
      <c r="H926" s="8">
        <v>0</v>
      </c>
      <c r="I926" s="8"/>
    </row>
    <row r="927" spans="1:60">
      <c r="A927" s="6">
        <v>2</v>
      </c>
      <c r="B927" s="103" t="s">
        <v>580</v>
      </c>
      <c r="C927" s="1" t="s">
        <v>53</v>
      </c>
      <c r="D927" s="2">
        <v>11</v>
      </c>
      <c r="E927" s="2"/>
      <c r="F927" s="8">
        <v>12</v>
      </c>
      <c r="G927" s="8"/>
      <c r="H927" s="8">
        <v>12</v>
      </c>
      <c r="I927" s="10">
        <f>H927-D927</f>
        <v>1</v>
      </c>
      <c r="L927" s="1" t="s">
        <v>72</v>
      </c>
      <c r="M927" s="3">
        <v>27</v>
      </c>
      <c r="O927" s="3">
        <v>27</v>
      </c>
      <c r="Q927" s="3">
        <f>O927-H927</f>
        <v>15</v>
      </c>
      <c r="R927" s="3">
        <v>30</v>
      </c>
      <c r="T927" s="3">
        <f>R927-O927</f>
        <v>3</v>
      </c>
    </row>
    <row r="928" spans="1:60">
      <c r="B928" s="103" t="s">
        <v>580</v>
      </c>
      <c r="C928" s="1" t="s">
        <v>596</v>
      </c>
      <c r="D928" s="2"/>
      <c r="E928" s="2"/>
      <c r="F928" s="8"/>
      <c r="G928" s="8"/>
      <c r="H928" s="8"/>
      <c r="I928" s="8"/>
      <c r="Q928" s="3"/>
      <c r="T928" s="3"/>
      <c r="U928" s="3">
        <v>20</v>
      </c>
      <c r="X928" s="3">
        <v>30</v>
      </c>
      <c r="Z928" s="3">
        <f>X928-U928</f>
        <v>10</v>
      </c>
      <c r="AA928" s="3">
        <v>30</v>
      </c>
      <c r="AC928" s="3">
        <f>AA928-X928</f>
        <v>0</v>
      </c>
      <c r="AD928" s="24">
        <v>30</v>
      </c>
      <c r="AF928" s="24">
        <f>AD928-AA928</f>
        <v>0</v>
      </c>
    </row>
    <row r="929" spans="1:60">
      <c r="A929" s="6">
        <v>12</v>
      </c>
      <c r="B929" s="103" t="s">
        <v>580</v>
      </c>
      <c r="C929" s="1" t="s">
        <v>594</v>
      </c>
      <c r="D929" s="2">
        <v>8</v>
      </c>
      <c r="E929" s="2"/>
      <c r="F929" s="8">
        <v>8</v>
      </c>
      <c r="G929" s="8"/>
      <c r="H929" s="8">
        <v>8</v>
      </c>
      <c r="I929" s="8">
        <f>H929-D929</f>
        <v>0</v>
      </c>
      <c r="M929" s="3">
        <v>12</v>
      </c>
      <c r="O929" s="3">
        <v>12</v>
      </c>
      <c r="Q929" s="3">
        <f>O929-H929</f>
        <v>4</v>
      </c>
      <c r="R929" s="3">
        <v>10</v>
      </c>
      <c r="T929" s="3">
        <f>R929-O929</f>
        <v>-2</v>
      </c>
      <c r="U929" s="3">
        <v>10</v>
      </c>
      <c r="W929" s="3">
        <f>U929-R929</f>
        <v>0</v>
      </c>
      <c r="X929" s="3">
        <v>20</v>
      </c>
      <c r="Z929" s="3">
        <f>X929-U929</f>
        <v>10</v>
      </c>
      <c r="AA929" s="3">
        <v>20</v>
      </c>
      <c r="AC929" s="3">
        <f>AA929-X929</f>
        <v>0</v>
      </c>
      <c r="AD929" s="24">
        <v>15</v>
      </c>
      <c r="AF929" s="24">
        <f>AD929-AA929</f>
        <v>-5</v>
      </c>
      <c r="AG929" s="3">
        <v>10</v>
      </c>
      <c r="AI929" s="3">
        <f>AG929-AD929</f>
        <v>-5</v>
      </c>
      <c r="AJ929" s="3">
        <v>15</v>
      </c>
      <c r="AL929" s="3">
        <f>AJ929-AG929</f>
        <v>5</v>
      </c>
      <c r="AM929" s="3">
        <v>15</v>
      </c>
      <c r="AO929" s="3">
        <f>AM929-AJ929</f>
        <v>0</v>
      </c>
      <c r="AP929" s="3">
        <v>16</v>
      </c>
      <c r="AS929" s="3">
        <v>16</v>
      </c>
      <c r="AV929" s="3">
        <v>9</v>
      </c>
      <c r="AZ929" s="3">
        <v>12.415055268619032</v>
      </c>
      <c r="BD929" s="3">
        <v>5.96</v>
      </c>
      <c r="BG929" s="3">
        <v>12.415055268619032</v>
      </c>
      <c r="BH929" s="3">
        <v>15.16</v>
      </c>
    </row>
    <row r="930" spans="1:60">
      <c r="A930" s="6">
        <v>14</v>
      </c>
      <c r="B930" s="103" t="s">
        <v>580</v>
      </c>
      <c r="C930" s="1" t="s">
        <v>58</v>
      </c>
      <c r="D930" s="2">
        <v>20</v>
      </c>
      <c r="E930" s="2"/>
      <c r="F930" s="8">
        <v>20</v>
      </c>
      <c r="G930" s="8"/>
      <c r="H930" s="8">
        <v>20</v>
      </c>
      <c r="I930" s="8">
        <f>H930-D930</f>
        <v>0</v>
      </c>
      <c r="L930" s="1" t="s">
        <v>302</v>
      </c>
      <c r="M930" s="3">
        <v>15</v>
      </c>
      <c r="O930" s="3">
        <v>15</v>
      </c>
      <c r="Q930" s="3">
        <f>O930-H930</f>
        <v>-5</v>
      </c>
      <c r="R930" s="3">
        <v>20</v>
      </c>
      <c r="T930" s="3">
        <f>R930-O930</f>
        <v>5</v>
      </c>
      <c r="U930" s="3">
        <v>15</v>
      </c>
      <c r="W930" s="3">
        <f>U930-R930</f>
        <v>-5</v>
      </c>
      <c r="X930" s="3">
        <v>20</v>
      </c>
      <c r="Z930" s="3">
        <f>X930-U930</f>
        <v>5</v>
      </c>
      <c r="AA930" s="3">
        <v>20</v>
      </c>
      <c r="AC930" s="3">
        <f>AA930-X930</f>
        <v>0</v>
      </c>
      <c r="AD930" s="24">
        <v>15</v>
      </c>
      <c r="AF930" s="24">
        <f>AD930-AA930</f>
        <v>-5</v>
      </c>
      <c r="AG930" s="3">
        <v>15</v>
      </c>
      <c r="AI930" s="3">
        <f>AG930-AD930</f>
        <v>0</v>
      </c>
      <c r="AJ930" s="3">
        <v>18</v>
      </c>
      <c r="AL930" s="3">
        <f>AJ930-AG930</f>
        <v>3</v>
      </c>
      <c r="AM930" s="3">
        <v>15</v>
      </c>
      <c r="AO930" s="3">
        <f>AM930-AJ930</f>
        <v>-3</v>
      </c>
      <c r="AP930" s="3">
        <v>16</v>
      </c>
      <c r="AS930" s="3">
        <v>16</v>
      </c>
      <c r="AV930" s="3">
        <v>7</v>
      </c>
      <c r="AZ930" s="3">
        <v>8.8678966204421652</v>
      </c>
      <c r="BD930" s="3">
        <v>5.96</v>
      </c>
      <c r="BG930" s="3">
        <v>8.8678966204421652</v>
      </c>
      <c r="BH930" s="3">
        <v>10.18</v>
      </c>
    </row>
    <row r="931" spans="1:60">
      <c r="B931" s="103" t="s">
        <v>580</v>
      </c>
      <c r="C931" s="1" t="s">
        <v>857</v>
      </c>
      <c r="D931" s="2"/>
      <c r="E931" s="2"/>
      <c r="F931" s="8"/>
      <c r="G931" s="8"/>
      <c r="H931" s="8"/>
      <c r="I931" s="8"/>
      <c r="Q931" s="3"/>
      <c r="T931" s="3"/>
      <c r="W931" s="3"/>
      <c r="AC931" s="3"/>
      <c r="AF931" s="24"/>
      <c r="AI931" s="3"/>
      <c r="AL931" s="3"/>
      <c r="AO931" s="3"/>
      <c r="BD931" s="3">
        <v>12.24</v>
      </c>
    </row>
    <row r="932" spans="1:60">
      <c r="B932" s="103" t="s">
        <v>580</v>
      </c>
      <c r="C932" s="1" t="s">
        <v>289</v>
      </c>
      <c r="D932" s="2"/>
      <c r="E932" s="2"/>
      <c r="F932" s="8"/>
      <c r="G932" s="8"/>
      <c r="H932" s="8"/>
      <c r="I932" s="8"/>
      <c r="Q932" s="3"/>
      <c r="T932" s="3"/>
      <c r="W932" s="3"/>
      <c r="AC932" s="3"/>
      <c r="AD932" s="24">
        <v>50</v>
      </c>
      <c r="AG932" s="3">
        <v>35</v>
      </c>
      <c r="AI932" s="3">
        <f>AG932-AD932</f>
        <v>-15</v>
      </c>
      <c r="AJ932" s="3">
        <v>30</v>
      </c>
      <c r="AL932" s="3">
        <f>AJ932-AG932</f>
        <v>-5</v>
      </c>
      <c r="AM932" s="3">
        <v>35</v>
      </c>
      <c r="AO932" s="3">
        <f>AM932-AJ932</f>
        <v>5</v>
      </c>
      <c r="AP932" s="3">
        <v>35</v>
      </c>
      <c r="AS932" s="3">
        <v>35</v>
      </c>
      <c r="AV932" s="3">
        <v>13</v>
      </c>
      <c r="AZ932" s="3">
        <v>12.415055268619032</v>
      </c>
      <c r="BD932" s="3">
        <v>28.94</v>
      </c>
      <c r="BG932" s="3">
        <v>12.415055268619032</v>
      </c>
      <c r="BH932" s="3">
        <v>13.02</v>
      </c>
    </row>
    <row r="933" spans="1:60" ht="9.6" customHeight="1">
      <c r="B933" s="103" t="s">
        <v>580</v>
      </c>
      <c r="C933" s="1" t="s">
        <v>290</v>
      </c>
      <c r="D933" s="2"/>
      <c r="E933" s="2"/>
      <c r="F933" s="8"/>
      <c r="G933" s="8"/>
      <c r="H933" s="8"/>
      <c r="I933" s="8"/>
      <c r="Q933" s="3"/>
      <c r="T933" s="3"/>
      <c r="W933" s="3"/>
      <c r="AC933" s="3"/>
      <c r="AD933" s="24">
        <v>5</v>
      </c>
      <c r="BD933" s="3">
        <v>34.729999999999997</v>
      </c>
      <c r="BH933" s="3">
        <v>15.18</v>
      </c>
    </row>
    <row r="934" spans="1:60">
      <c r="B934" s="103" t="s">
        <v>580</v>
      </c>
      <c r="C934" s="1" t="s">
        <v>64</v>
      </c>
      <c r="D934" s="2"/>
      <c r="E934" s="2"/>
      <c r="F934" s="8"/>
      <c r="G934" s="8"/>
      <c r="H934" s="8"/>
      <c r="I934" s="8"/>
      <c r="Q934" s="3"/>
      <c r="R934" s="3">
        <v>24</v>
      </c>
      <c r="T934" s="3"/>
      <c r="U934" s="3">
        <v>25</v>
      </c>
      <c r="W934" s="3">
        <f>U934-R934</f>
        <v>1</v>
      </c>
      <c r="X934" s="3">
        <v>25</v>
      </c>
      <c r="Z934" s="3">
        <f>X934-U934</f>
        <v>0</v>
      </c>
      <c r="AA934" s="3">
        <v>25</v>
      </c>
      <c r="AC934" s="3">
        <f>AA934-X934</f>
        <v>0</v>
      </c>
      <c r="AD934" s="24">
        <v>20</v>
      </c>
      <c r="AF934" s="24">
        <f>AD934-AA934</f>
        <v>-5</v>
      </c>
      <c r="AG934" s="3">
        <v>15</v>
      </c>
      <c r="AI934" s="3">
        <f>AG934-AD934</f>
        <v>-5</v>
      </c>
      <c r="AJ934" s="3">
        <v>18</v>
      </c>
      <c r="AL934" s="3">
        <f>AJ934-AG934</f>
        <v>3</v>
      </c>
      <c r="AM934" s="3">
        <v>18</v>
      </c>
      <c r="AO934" s="3">
        <f>AM934-AJ934</f>
        <v>0</v>
      </c>
      <c r="AP934" s="3">
        <v>20</v>
      </c>
      <c r="AS934" s="3">
        <v>20</v>
      </c>
      <c r="AV934" s="3">
        <v>9</v>
      </c>
      <c r="AZ934" s="3">
        <v>9.9320442148952264</v>
      </c>
      <c r="BD934" s="3">
        <v>9.26</v>
      </c>
      <c r="BG934" s="3">
        <v>9.9320442148952264</v>
      </c>
      <c r="BH934" s="3">
        <v>17.12</v>
      </c>
    </row>
    <row r="935" spans="1:60">
      <c r="B935" s="103" t="s">
        <v>580</v>
      </c>
      <c r="C935" s="1" t="s">
        <v>286</v>
      </c>
      <c r="D935" s="2"/>
      <c r="E935" s="2"/>
      <c r="F935" s="8"/>
      <c r="G935" s="8"/>
      <c r="H935" s="8"/>
      <c r="I935" s="8"/>
      <c r="Q935" s="3"/>
      <c r="R935" s="3">
        <v>24</v>
      </c>
      <c r="T935" s="3"/>
      <c r="U935" s="3">
        <v>25</v>
      </c>
      <c r="W935" s="3">
        <f>U935-R935</f>
        <v>1</v>
      </c>
      <c r="X935" s="3">
        <v>25</v>
      </c>
      <c r="Z935" s="3">
        <f>X935-U935</f>
        <v>0</v>
      </c>
      <c r="AA935" s="3">
        <v>25</v>
      </c>
      <c r="AC935" s="3">
        <f>AA935-X935</f>
        <v>0</v>
      </c>
      <c r="AD935" s="24">
        <v>20</v>
      </c>
      <c r="AF935" s="24">
        <f>AD935-AA935</f>
        <v>-5</v>
      </c>
      <c r="AG935" s="3">
        <v>15</v>
      </c>
      <c r="AI935" s="3">
        <f>AG935-AD935</f>
        <v>-5</v>
      </c>
      <c r="AJ935" s="3">
        <v>18</v>
      </c>
      <c r="AL935" s="3">
        <f>AJ935-AG935</f>
        <v>3</v>
      </c>
      <c r="AM935" s="3">
        <v>18</v>
      </c>
      <c r="AO935" s="3">
        <f>AM935-AJ935</f>
        <v>0</v>
      </c>
      <c r="AP935" s="3">
        <v>20</v>
      </c>
      <c r="AS935" s="3">
        <v>20</v>
      </c>
      <c r="AV935" s="3">
        <v>10</v>
      </c>
      <c r="BD935" s="3">
        <v>9.26</v>
      </c>
      <c r="BH935" s="3">
        <v>12.14</v>
      </c>
    </row>
    <row r="936" spans="1:60" ht="9.6" customHeight="1">
      <c r="B936" s="103" t="s">
        <v>580</v>
      </c>
      <c r="C936" s="1" t="s">
        <v>288</v>
      </c>
      <c r="D936" s="2"/>
      <c r="E936" s="2"/>
      <c r="F936" s="8"/>
      <c r="G936" s="8"/>
      <c r="H936" s="8"/>
      <c r="I936" s="8"/>
      <c r="Q936" s="3"/>
      <c r="R936" s="3">
        <v>25</v>
      </c>
      <c r="T936" s="3"/>
      <c r="U936" s="3">
        <v>30</v>
      </c>
      <c r="W936" s="3">
        <f>U936-R936</f>
        <v>5</v>
      </c>
      <c r="X936" s="3">
        <v>30</v>
      </c>
      <c r="Z936" s="3">
        <f>X936-U936</f>
        <v>0</v>
      </c>
      <c r="AA936" s="3">
        <v>30</v>
      </c>
      <c r="AC936" s="3">
        <f>AA936-X936</f>
        <v>0</v>
      </c>
      <c r="AD936" s="24">
        <v>25</v>
      </c>
      <c r="AF936" s="24">
        <f>AD936-AA936</f>
        <v>-5</v>
      </c>
      <c r="AG936" s="3">
        <v>15</v>
      </c>
      <c r="AI936" s="3">
        <f>AG936-AD936</f>
        <v>-10</v>
      </c>
      <c r="AJ936" s="3">
        <v>20</v>
      </c>
      <c r="AL936" s="3">
        <f>AJ936-AG936</f>
        <v>5</v>
      </c>
      <c r="AM936" s="3">
        <v>20</v>
      </c>
      <c r="AO936" s="3">
        <f>AM936-AJ936</f>
        <v>0</v>
      </c>
      <c r="AP936" s="3">
        <v>22</v>
      </c>
      <c r="AS936" s="3">
        <v>22</v>
      </c>
      <c r="AV936" s="3">
        <v>11</v>
      </c>
      <c r="AZ936" s="3">
        <v>12.415055268619032</v>
      </c>
      <c r="BD936" s="3">
        <v>9.26</v>
      </c>
      <c r="BG936" s="3">
        <v>12.415055268619032</v>
      </c>
      <c r="BH936" s="3">
        <v>15.03</v>
      </c>
    </row>
    <row r="937" spans="1:60">
      <c r="A937" s="6">
        <v>11</v>
      </c>
      <c r="B937" s="103" t="s">
        <v>580</v>
      </c>
      <c r="C937" s="1" t="s">
        <v>57</v>
      </c>
      <c r="D937" s="2"/>
      <c r="E937" s="2"/>
      <c r="F937" s="8">
        <v>0</v>
      </c>
      <c r="G937" s="8"/>
      <c r="H937" s="8">
        <v>0</v>
      </c>
      <c r="I937" s="8"/>
    </row>
    <row r="938" spans="1:60">
      <c r="B938" s="103" t="s">
        <v>580</v>
      </c>
      <c r="C938" s="1" t="s">
        <v>287</v>
      </c>
      <c r="D938" s="2"/>
      <c r="E938" s="2"/>
      <c r="F938" s="8"/>
      <c r="G938" s="8"/>
      <c r="H938" s="8"/>
      <c r="I938" s="8"/>
      <c r="Q938" s="3"/>
      <c r="R938" s="3">
        <v>30</v>
      </c>
      <c r="T938" s="3"/>
      <c r="U938" s="3">
        <v>30</v>
      </c>
      <c r="W938" s="3">
        <f>U938-R938</f>
        <v>0</v>
      </c>
      <c r="X938" s="3">
        <v>30</v>
      </c>
      <c r="Z938" s="3">
        <f>X938-U938</f>
        <v>0</v>
      </c>
      <c r="AA938" s="3">
        <v>30</v>
      </c>
      <c r="AC938" s="3">
        <f>AA938-X938</f>
        <v>0</v>
      </c>
      <c r="AD938" s="24">
        <v>25</v>
      </c>
      <c r="AF938" s="24">
        <f>AD938-AA938</f>
        <v>-5</v>
      </c>
      <c r="AG938" s="3">
        <v>15</v>
      </c>
      <c r="AI938" s="3">
        <f>AG938-AD938</f>
        <v>-10</v>
      </c>
      <c r="AJ938" s="3">
        <v>20</v>
      </c>
      <c r="AL938" s="3">
        <f>AJ938-AG938</f>
        <v>5</v>
      </c>
      <c r="AM938" s="3">
        <v>50</v>
      </c>
      <c r="AO938" s="3">
        <f>AM938-AJ938</f>
        <v>30</v>
      </c>
      <c r="AP938" s="3">
        <v>30</v>
      </c>
      <c r="AS938" s="3">
        <v>30</v>
      </c>
      <c r="AV938" s="3">
        <v>13</v>
      </c>
      <c r="AZ938" s="3">
        <v>10.641475944530599</v>
      </c>
      <c r="BD938" s="3">
        <v>23.15</v>
      </c>
      <c r="BG938" s="3">
        <v>10.641475944530599</v>
      </c>
      <c r="BH938" s="3">
        <v>11.21</v>
      </c>
    </row>
    <row r="939" spans="1:60">
      <c r="B939" s="103" t="s">
        <v>580</v>
      </c>
      <c r="C939" s="1" t="s">
        <v>872</v>
      </c>
      <c r="D939" s="2"/>
      <c r="E939" s="2"/>
      <c r="F939" s="8"/>
      <c r="G939" s="8"/>
      <c r="H939" s="8"/>
      <c r="I939" s="8"/>
      <c r="Q939" s="3"/>
      <c r="T939" s="3"/>
      <c r="W939" s="3"/>
      <c r="AC939" s="3"/>
      <c r="AF939" s="24"/>
      <c r="AI939" s="3"/>
      <c r="AL939" s="3"/>
      <c r="AO939" s="3"/>
      <c r="BD939" s="3">
        <v>173.67</v>
      </c>
    </row>
    <row r="940" spans="1:60">
      <c r="A940" s="6">
        <v>1</v>
      </c>
      <c r="B940" s="103" t="s">
        <v>581</v>
      </c>
      <c r="C940" s="1" t="s">
        <v>52</v>
      </c>
      <c r="D940" s="2"/>
      <c r="E940" s="2"/>
      <c r="F940" s="9">
        <v>0</v>
      </c>
      <c r="H940" s="9">
        <v>0</v>
      </c>
      <c r="N940" s="3" t="s">
        <v>422</v>
      </c>
      <c r="O940" s="3" t="s">
        <v>422</v>
      </c>
      <c r="AE940" s="1" t="s">
        <v>285</v>
      </c>
      <c r="AW940" s="1" t="s">
        <v>285</v>
      </c>
    </row>
    <row r="941" spans="1:60">
      <c r="A941" s="6">
        <v>3</v>
      </c>
      <c r="B941" s="103" t="s">
        <v>581</v>
      </c>
      <c r="C941" s="1" t="s">
        <v>54</v>
      </c>
      <c r="D941" s="2"/>
      <c r="E941" s="2"/>
      <c r="F941" s="9">
        <v>0</v>
      </c>
      <c r="H941" s="9">
        <v>0</v>
      </c>
      <c r="N941" s="3" t="s">
        <v>422</v>
      </c>
      <c r="O941" s="3" t="s">
        <v>422</v>
      </c>
      <c r="AE941" s="1" t="s">
        <v>285</v>
      </c>
      <c r="AW941" s="1" t="s">
        <v>285</v>
      </c>
    </row>
    <row r="942" spans="1:60">
      <c r="A942" s="6">
        <v>4</v>
      </c>
      <c r="B942" s="103" t="s">
        <v>581</v>
      </c>
      <c r="C942" s="1" t="s">
        <v>55</v>
      </c>
      <c r="D942" s="2"/>
      <c r="E942" s="2"/>
      <c r="F942" s="9">
        <v>0</v>
      </c>
      <c r="H942" s="9">
        <v>0</v>
      </c>
      <c r="N942" s="3" t="s">
        <v>422</v>
      </c>
      <c r="O942" s="3" t="s">
        <v>422</v>
      </c>
      <c r="AE942" s="1" t="s">
        <v>285</v>
      </c>
      <c r="AW942" s="1" t="s">
        <v>285</v>
      </c>
    </row>
    <row r="943" spans="1:60">
      <c r="A943" s="6">
        <v>5</v>
      </c>
      <c r="B943" s="103" t="s">
        <v>581</v>
      </c>
      <c r="C943" s="1" t="s">
        <v>56</v>
      </c>
      <c r="D943" s="2"/>
      <c r="E943" s="2"/>
      <c r="F943" s="9">
        <v>0</v>
      </c>
      <c r="H943" s="9">
        <v>0</v>
      </c>
      <c r="N943" s="3" t="s">
        <v>422</v>
      </c>
      <c r="O943" s="3" t="s">
        <v>422</v>
      </c>
      <c r="AE943" s="1" t="s">
        <v>285</v>
      </c>
      <c r="AW943" s="1" t="s">
        <v>285</v>
      </c>
    </row>
    <row r="944" spans="1:60">
      <c r="A944" s="6">
        <v>2</v>
      </c>
      <c r="B944" s="103" t="s">
        <v>581</v>
      </c>
      <c r="C944" s="1" t="s">
        <v>53</v>
      </c>
      <c r="D944" s="2" t="s">
        <v>657</v>
      </c>
      <c r="E944" s="2"/>
      <c r="F944" s="9">
        <v>6.7</v>
      </c>
      <c r="H944" s="9">
        <v>6.7</v>
      </c>
      <c r="I944" s="10" t="e">
        <f>H944-D944</f>
        <v>#VALUE!</v>
      </c>
      <c r="K944" s="3"/>
      <c r="M944" s="3">
        <v>8.8000000000000007</v>
      </c>
      <c r="O944" s="3">
        <v>8.8000000000000007</v>
      </c>
      <c r="Q944" s="3">
        <f>O944-H944</f>
        <v>2.1000000000000005</v>
      </c>
      <c r="R944" s="3">
        <v>7.84</v>
      </c>
      <c r="T944" s="3">
        <f>R944-O944</f>
        <v>-0.96000000000000085</v>
      </c>
      <c r="U944" s="3">
        <v>10.1</v>
      </c>
      <c r="W944" s="3">
        <f>U944-R944</f>
        <v>2.2599999999999998</v>
      </c>
      <c r="X944" s="3">
        <v>10.1</v>
      </c>
      <c r="Z944" s="3">
        <f>X944-U944</f>
        <v>0</v>
      </c>
      <c r="AE944" s="1" t="s">
        <v>285</v>
      </c>
      <c r="AW944" s="1" t="s">
        <v>285</v>
      </c>
    </row>
    <row r="945" spans="1:60">
      <c r="B945" s="103" t="s">
        <v>581</v>
      </c>
      <c r="C945" s="1" t="s">
        <v>596</v>
      </c>
      <c r="D945" s="2"/>
      <c r="E945" s="2"/>
      <c r="Q945" s="3"/>
      <c r="T945" s="3"/>
      <c r="AC945" s="3"/>
      <c r="AE945" s="1" t="s">
        <v>285</v>
      </c>
      <c r="AI945" s="3"/>
      <c r="AJ945" s="3">
        <v>3.7</v>
      </c>
      <c r="AP945" s="3">
        <v>4</v>
      </c>
      <c r="AW945" s="1" t="s">
        <v>285</v>
      </c>
    </row>
    <row r="946" spans="1:60">
      <c r="A946" s="6">
        <v>12</v>
      </c>
      <c r="B946" s="103" t="s">
        <v>581</v>
      </c>
      <c r="C946" s="1" t="s">
        <v>594</v>
      </c>
      <c r="D946" s="2">
        <v>3.68</v>
      </c>
      <c r="E946" s="2"/>
      <c r="F946" s="9">
        <v>3</v>
      </c>
      <c r="H946" s="9">
        <v>3</v>
      </c>
      <c r="I946" s="9">
        <f>H946-D946</f>
        <v>-0.68000000000000016</v>
      </c>
      <c r="K946" s="3"/>
      <c r="M946" s="3">
        <v>4.4000000000000004</v>
      </c>
      <c r="O946" s="3">
        <v>4.4000000000000004</v>
      </c>
      <c r="Q946" s="3">
        <f>O946-H946</f>
        <v>1.4000000000000004</v>
      </c>
      <c r="R946" s="3">
        <v>3</v>
      </c>
      <c r="T946" s="3">
        <f>R946-O946</f>
        <v>-1.4000000000000004</v>
      </c>
      <c r="U946" s="3">
        <v>3.5</v>
      </c>
      <c r="W946" s="3">
        <f>U946-R946</f>
        <v>0.5</v>
      </c>
      <c r="X946" s="3">
        <v>3.5</v>
      </c>
      <c r="Z946" s="3">
        <f>X946-U946</f>
        <v>0</v>
      </c>
      <c r="AA946" s="3">
        <v>5.14</v>
      </c>
      <c r="AC946" s="3">
        <f>AA946-X946</f>
        <v>1.6399999999999997</v>
      </c>
      <c r="AE946" s="1" t="s">
        <v>285</v>
      </c>
      <c r="AG946" s="3">
        <v>6.3</v>
      </c>
      <c r="AI946" s="3">
        <f>AG946-AD946</f>
        <v>6.3</v>
      </c>
      <c r="AM946" s="3">
        <v>4.83</v>
      </c>
      <c r="AP946" s="3">
        <v>4</v>
      </c>
      <c r="AS946" s="3">
        <v>4</v>
      </c>
      <c r="AW946" s="1" t="s">
        <v>285</v>
      </c>
      <c r="AZ946" s="3">
        <v>4.5999999999999996</v>
      </c>
      <c r="BA946" s="1" t="s">
        <v>852</v>
      </c>
      <c r="BD946" s="3">
        <v>5.8</v>
      </c>
      <c r="BE946" s="1" t="s">
        <v>852</v>
      </c>
      <c r="BG946" s="3">
        <v>5.8</v>
      </c>
      <c r="BH946" s="3">
        <v>7.1</v>
      </c>
    </row>
    <row r="947" spans="1:60">
      <c r="B947" s="103" t="s">
        <v>581</v>
      </c>
      <c r="C947" s="1" t="s">
        <v>851</v>
      </c>
      <c r="D947" s="2"/>
      <c r="E947" s="2"/>
      <c r="K947" s="3"/>
      <c r="Q947" s="3"/>
      <c r="T947" s="3"/>
      <c r="W947" s="3"/>
      <c r="AC947" s="3"/>
      <c r="AI947" s="3"/>
      <c r="BG947" s="3">
        <v>7.74</v>
      </c>
      <c r="BH947" s="3">
        <v>8.3000000000000007</v>
      </c>
    </row>
    <row r="948" spans="1:60">
      <c r="A948" s="6">
        <v>14</v>
      </c>
      <c r="B948" s="103" t="s">
        <v>581</v>
      </c>
      <c r="C948" s="1" t="s">
        <v>58</v>
      </c>
      <c r="D948" s="2" t="s">
        <v>658</v>
      </c>
      <c r="E948" s="2"/>
      <c r="F948" s="9">
        <v>0</v>
      </c>
      <c r="H948" s="9">
        <v>0</v>
      </c>
      <c r="M948" s="3">
        <v>13</v>
      </c>
      <c r="O948" s="3">
        <v>13</v>
      </c>
      <c r="Q948" s="3"/>
      <c r="R948" s="3">
        <v>9</v>
      </c>
      <c r="T948" s="3">
        <f>R948-O948</f>
        <v>-4</v>
      </c>
      <c r="U948" s="3">
        <v>12.8</v>
      </c>
      <c r="W948" s="3">
        <f>U948-R948</f>
        <v>3.8000000000000007</v>
      </c>
      <c r="X948" s="3">
        <v>12.8</v>
      </c>
      <c r="Z948" s="3">
        <f>X948-U948</f>
        <v>0</v>
      </c>
      <c r="AA948" s="3">
        <v>16.55</v>
      </c>
      <c r="AC948" s="3">
        <f>AA948-X948</f>
        <v>3.75</v>
      </c>
      <c r="AE948" s="1" t="s">
        <v>285</v>
      </c>
      <c r="AG948" s="3">
        <v>15.55</v>
      </c>
      <c r="AI948" s="3">
        <f>AG948-AD948</f>
        <v>15.55</v>
      </c>
      <c r="AJ948" s="3">
        <v>11</v>
      </c>
      <c r="AL948" s="3">
        <f>AJ948-AG948</f>
        <v>-4.5500000000000007</v>
      </c>
      <c r="AM948" s="3">
        <v>10.64</v>
      </c>
      <c r="AO948" s="3">
        <f>AM948-AJ948</f>
        <v>-0.35999999999999943</v>
      </c>
      <c r="AP948" s="3">
        <v>8.1999999999999993</v>
      </c>
      <c r="AS948" s="3">
        <v>6.5</v>
      </c>
      <c r="AW948" s="1" t="s">
        <v>285</v>
      </c>
      <c r="AZ948" s="3">
        <v>8.9</v>
      </c>
      <c r="BA948" s="1" t="s">
        <v>852</v>
      </c>
      <c r="BD948" s="3">
        <v>7.74</v>
      </c>
      <c r="BE948" s="1" t="s">
        <v>852</v>
      </c>
    </row>
    <row r="949" spans="1:60">
      <c r="B949" s="103" t="s">
        <v>581</v>
      </c>
      <c r="C949" s="1" t="s">
        <v>289</v>
      </c>
      <c r="D949" s="2"/>
      <c r="E949" s="2"/>
      <c r="Q949" s="3"/>
      <c r="T949" s="3"/>
      <c r="AA949" s="3">
        <v>3.67</v>
      </c>
      <c r="AE949" s="1" t="s">
        <v>285</v>
      </c>
      <c r="AG949" s="3">
        <v>3.5</v>
      </c>
      <c r="AI949" s="3">
        <f>AG949-AD949</f>
        <v>3.5</v>
      </c>
      <c r="AP949" s="3">
        <v>5.2</v>
      </c>
      <c r="AS949" s="3">
        <v>6</v>
      </c>
      <c r="AW949" s="1" t="s">
        <v>285</v>
      </c>
      <c r="AZ949" s="3">
        <v>10.4</v>
      </c>
      <c r="BA949" s="1" t="s">
        <v>852</v>
      </c>
      <c r="BD949" s="3">
        <v>6.3</v>
      </c>
      <c r="BE949" s="1" t="s">
        <v>852</v>
      </c>
      <c r="BG949" s="3">
        <v>6.3</v>
      </c>
      <c r="BH949" s="3">
        <v>6.3</v>
      </c>
    </row>
    <row r="950" spans="1:60" ht="9.6" customHeight="1">
      <c r="B950" s="103" t="s">
        <v>581</v>
      </c>
      <c r="C950" s="1" t="s">
        <v>290</v>
      </c>
      <c r="D950" s="2"/>
      <c r="E950" s="2"/>
      <c r="Q950" s="3"/>
      <c r="T950" s="3"/>
      <c r="AC950" s="3"/>
      <c r="AE950" s="1" t="s">
        <v>285</v>
      </c>
      <c r="AI950" s="3"/>
      <c r="AL950" s="3"/>
      <c r="AP950" s="3">
        <v>11</v>
      </c>
      <c r="AS950" s="3">
        <v>5</v>
      </c>
      <c r="AW950" s="1" t="s">
        <v>285</v>
      </c>
      <c r="AZ950" s="3">
        <v>10.4</v>
      </c>
      <c r="BA950" s="1" t="s">
        <v>852</v>
      </c>
      <c r="BD950" s="3">
        <v>10.4</v>
      </c>
      <c r="BE950" s="1" t="s">
        <v>852</v>
      </c>
      <c r="BG950" s="3">
        <v>10.4</v>
      </c>
      <c r="BH950" s="3">
        <v>10.4</v>
      </c>
    </row>
    <row r="951" spans="1:60">
      <c r="B951" s="103" t="s">
        <v>581</v>
      </c>
      <c r="C951" s="1" t="s">
        <v>950</v>
      </c>
      <c r="D951" s="2"/>
      <c r="E951" s="2"/>
      <c r="Q951" s="3"/>
      <c r="T951" s="3"/>
      <c r="AC951" s="3"/>
      <c r="AI951" s="3"/>
      <c r="AL951" s="3"/>
      <c r="BD951" s="3">
        <v>11.7</v>
      </c>
      <c r="BE951" s="1" t="s">
        <v>852</v>
      </c>
      <c r="BG951" s="3">
        <v>11.7</v>
      </c>
      <c r="BH951" s="3">
        <v>12.4</v>
      </c>
    </row>
    <row r="952" spans="1:60">
      <c r="B952" s="103" t="s">
        <v>581</v>
      </c>
      <c r="C952" s="1" t="s">
        <v>64</v>
      </c>
      <c r="D952" s="2"/>
      <c r="E952" s="2"/>
      <c r="Q952" s="3"/>
      <c r="T952" s="3"/>
      <c r="U952" s="3">
        <v>13.5</v>
      </c>
      <c r="X952" s="3">
        <v>13.5</v>
      </c>
      <c r="Z952" s="3">
        <f>X952-U952</f>
        <v>0</v>
      </c>
      <c r="AA952" s="3">
        <v>20.6</v>
      </c>
      <c r="AC952" s="3">
        <f>AA952-X952</f>
        <v>7.1000000000000014</v>
      </c>
      <c r="AE952" s="1" t="s">
        <v>285</v>
      </c>
      <c r="AG952" s="3">
        <v>15.55</v>
      </c>
      <c r="AI952" s="3">
        <f>AG952-AD952</f>
        <v>15.55</v>
      </c>
      <c r="AJ952" s="3">
        <v>13.7</v>
      </c>
      <c r="AL952" s="3">
        <f>AJ952-AG952</f>
        <v>-1.8500000000000014</v>
      </c>
      <c r="AM952" s="3">
        <v>13.28</v>
      </c>
      <c r="AO952" s="3">
        <f>AM952-AJ952</f>
        <v>-0.41999999999999993</v>
      </c>
      <c r="AP952" s="3">
        <v>9.8000000000000007</v>
      </c>
      <c r="AS952" s="3">
        <v>8</v>
      </c>
      <c r="AW952" s="1" t="s">
        <v>285</v>
      </c>
      <c r="AZ952" s="3">
        <v>11.1</v>
      </c>
      <c r="BA952" s="1" t="s">
        <v>852</v>
      </c>
      <c r="BD952" s="3">
        <v>11.1</v>
      </c>
      <c r="BE952" s="1" t="s">
        <v>852</v>
      </c>
      <c r="BG952" s="3">
        <v>11.1</v>
      </c>
      <c r="BH952" s="3">
        <v>12</v>
      </c>
    </row>
    <row r="953" spans="1:60">
      <c r="B953" s="103" t="s">
        <v>581</v>
      </c>
      <c r="C953" s="1" t="s">
        <v>286</v>
      </c>
      <c r="D953" s="2"/>
      <c r="E953" s="2"/>
      <c r="Q953" s="3"/>
      <c r="T953" s="3"/>
      <c r="U953" s="3">
        <v>12</v>
      </c>
      <c r="X953" s="3">
        <v>12</v>
      </c>
      <c r="Z953" s="3">
        <f>X953-U953</f>
        <v>0</v>
      </c>
      <c r="AA953" s="3">
        <v>19.91</v>
      </c>
      <c r="AC953" s="3">
        <f>AA953-X953</f>
        <v>7.91</v>
      </c>
      <c r="AE953" s="1" t="s">
        <v>285</v>
      </c>
      <c r="AG953" s="3">
        <v>15.55</v>
      </c>
      <c r="AI953" s="3">
        <f>AG953-AD953</f>
        <v>15.55</v>
      </c>
      <c r="AJ953" s="3">
        <v>13.2</v>
      </c>
      <c r="AL953" s="3">
        <f>AJ953-AG953</f>
        <v>-2.3500000000000014</v>
      </c>
      <c r="AM953" s="3">
        <v>12.8</v>
      </c>
      <c r="AO953" s="3">
        <f>AM953-AJ953</f>
        <v>-0.39999999999999858</v>
      </c>
      <c r="AP953" s="3">
        <v>9.8000000000000007</v>
      </c>
      <c r="AS953" s="3">
        <v>8</v>
      </c>
      <c r="AW953" s="1" t="s">
        <v>285</v>
      </c>
      <c r="AZ953" s="3">
        <v>10.7</v>
      </c>
      <c r="BA953" s="1" t="s">
        <v>852</v>
      </c>
      <c r="BD953" s="3">
        <v>10.7</v>
      </c>
      <c r="BE953" s="1" t="s">
        <v>852</v>
      </c>
      <c r="BG953" s="3">
        <v>10.7</v>
      </c>
      <c r="BH953" s="3">
        <v>11.5</v>
      </c>
    </row>
    <row r="954" spans="1:60">
      <c r="B954" s="103" t="s">
        <v>581</v>
      </c>
      <c r="C954" s="1" t="s">
        <v>288</v>
      </c>
      <c r="D954" s="2"/>
      <c r="E954" s="2"/>
      <c r="Q954" s="3"/>
      <c r="T954" s="3"/>
      <c r="U954" s="3">
        <v>14</v>
      </c>
      <c r="X954" s="3">
        <v>14</v>
      </c>
      <c r="Z954" s="3">
        <f>X954-U954</f>
        <v>0</v>
      </c>
      <c r="AA954" s="3">
        <v>19.91</v>
      </c>
      <c r="AC954" s="3">
        <f>AA954-X954</f>
        <v>5.91</v>
      </c>
      <c r="AE954" s="1" t="s">
        <v>285</v>
      </c>
      <c r="AG954" s="3">
        <v>15.55</v>
      </c>
      <c r="AI954" s="3">
        <f>AG954-AD954</f>
        <v>15.55</v>
      </c>
      <c r="AJ954" s="3">
        <v>13.2</v>
      </c>
      <c r="AL954" s="3">
        <f>AJ954-AG954</f>
        <v>-2.3500000000000014</v>
      </c>
      <c r="AM954" s="3">
        <v>12.81</v>
      </c>
      <c r="AO954" s="3">
        <f>AM954-AJ954</f>
        <v>-0.38999999999999879</v>
      </c>
      <c r="AP954" s="3">
        <v>9.8000000000000007</v>
      </c>
      <c r="AS954" s="3">
        <v>8</v>
      </c>
      <c r="AW954" s="1" t="s">
        <v>285</v>
      </c>
      <c r="AZ954" s="3">
        <v>10.7</v>
      </c>
      <c r="BA954" s="1" t="s">
        <v>852</v>
      </c>
      <c r="BD954" s="3">
        <v>10.7</v>
      </c>
      <c r="BE954" s="1" t="s">
        <v>852</v>
      </c>
      <c r="BG954" s="3">
        <v>10.7</v>
      </c>
      <c r="BH954" s="3">
        <v>11.5</v>
      </c>
    </row>
    <row r="955" spans="1:60">
      <c r="B955" s="103" t="s">
        <v>581</v>
      </c>
      <c r="C955" s="1" t="s">
        <v>923</v>
      </c>
      <c r="D955" s="2"/>
      <c r="E955" s="2"/>
      <c r="Q955" s="3"/>
      <c r="T955" s="3"/>
      <c r="AC955" s="3"/>
      <c r="AI955" s="3"/>
      <c r="AL955" s="3"/>
      <c r="AZ955" s="3">
        <v>10.7</v>
      </c>
      <c r="BA955" s="1" t="s">
        <v>852</v>
      </c>
    </row>
    <row r="956" spans="1:60" ht="9" customHeight="1">
      <c r="A956" s="6">
        <v>11</v>
      </c>
      <c r="B956" s="103" t="s">
        <v>581</v>
      </c>
      <c r="C956" s="1" t="s">
        <v>57</v>
      </c>
      <c r="D956" s="2" t="s">
        <v>685</v>
      </c>
      <c r="E956" s="2"/>
      <c r="F956" s="9">
        <v>0</v>
      </c>
      <c r="H956" s="9">
        <v>0</v>
      </c>
      <c r="N956" s="3" t="s">
        <v>422</v>
      </c>
      <c r="O956" s="3" t="s">
        <v>422</v>
      </c>
      <c r="AE956" s="1" t="s">
        <v>285</v>
      </c>
      <c r="AW956" s="1" t="s">
        <v>285</v>
      </c>
    </row>
    <row r="957" spans="1:60" ht="9" customHeight="1">
      <c r="B957" s="103" t="s">
        <v>581</v>
      </c>
      <c r="C957" s="1" t="s">
        <v>287</v>
      </c>
      <c r="D957" s="2"/>
      <c r="E957" s="2"/>
      <c r="Q957" s="3"/>
      <c r="T957" s="3"/>
      <c r="U957" s="3">
        <v>12.6</v>
      </c>
      <c r="X957" s="3">
        <v>12.6</v>
      </c>
      <c r="Z957" s="3">
        <f>X957-U957</f>
        <v>0</v>
      </c>
      <c r="AA957" s="3">
        <v>19.91</v>
      </c>
      <c r="AC957" s="3">
        <f>AA957-X957</f>
        <v>7.3100000000000005</v>
      </c>
      <c r="AE957" s="1" t="s">
        <v>285</v>
      </c>
      <c r="AG957" s="3">
        <v>15.55</v>
      </c>
      <c r="AI957" s="3">
        <f>AG957-AD957</f>
        <v>15.55</v>
      </c>
      <c r="AJ957" s="3">
        <v>13.2</v>
      </c>
      <c r="AL957" s="3">
        <f>AJ957-AG957</f>
        <v>-2.3500000000000014</v>
      </c>
      <c r="AP957" s="3">
        <v>9.8000000000000007</v>
      </c>
      <c r="AS957" s="3">
        <v>8</v>
      </c>
      <c r="AW957" s="1" t="s">
        <v>285</v>
      </c>
      <c r="AZ957" s="3">
        <v>12.8</v>
      </c>
      <c r="BA957" s="1" t="s">
        <v>852</v>
      </c>
      <c r="BD957" s="3">
        <v>12.8</v>
      </c>
      <c r="BE957" s="1" t="s">
        <v>852</v>
      </c>
      <c r="BG957" s="3">
        <v>12.8</v>
      </c>
      <c r="BH957" s="3">
        <v>13.2</v>
      </c>
    </row>
    <row r="958" spans="1:60">
      <c r="A958" s="6">
        <v>1</v>
      </c>
      <c r="B958" s="1" t="s">
        <v>583</v>
      </c>
      <c r="C958" s="1" t="s">
        <v>52</v>
      </c>
      <c r="D958" s="2"/>
      <c r="E958" s="2"/>
      <c r="F958" s="8">
        <v>0</v>
      </c>
      <c r="G958" s="8"/>
      <c r="H958" s="8">
        <v>0</v>
      </c>
      <c r="I958" s="8"/>
      <c r="AQ958" s="1" t="s">
        <v>285</v>
      </c>
      <c r="AT958" s="1" t="s">
        <v>285</v>
      </c>
    </row>
    <row r="959" spans="1:60">
      <c r="A959" s="6">
        <v>3</v>
      </c>
      <c r="B959" s="1" t="s">
        <v>583</v>
      </c>
      <c r="C959" s="1" t="s">
        <v>54</v>
      </c>
      <c r="D959" s="2"/>
      <c r="E959" s="2"/>
      <c r="F959" s="8">
        <v>0</v>
      </c>
      <c r="G959" s="8"/>
      <c r="H959" s="8">
        <v>0</v>
      </c>
      <c r="I959" s="8"/>
      <c r="AQ959" s="1" t="s">
        <v>285</v>
      </c>
      <c r="AT959" s="1" t="s">
        <v>285</v>
      </c>
    </row>
    <row r="960" spans="1:60">
      <c r="A960" s="6">
        <v>4</v>
      </c>
      <c r="B960" s="1" t="s">
        <v>583</v>
      </c>
      <c r="C960" s="1" t="s">
        <v>55</v>
      </c>
      <c r="D960" s="2"/>
      <c r="E960" s="2"/>
      <c r="F960" s="8">
        <v>0</v>
      </c>
      <c r="G960" s="8"/>
      <c r="H960" s="8">
        <v>0</v>
      </c>
      <c r="I960" s="8"/>
      <c r="AQ960" s="1" t="s">
        <v>285</v>
      </c>
      <c r="AT960" s="1" t="s">
        <v>285</v>
      </c>
    </row>
    <row r="961" spans="1:60">
      <c r="A961" s="6">
        <v>5</v>
      </c>
      <c r="B961" s="1" t="s">
        <v>583</v>
      </c>
      <c r="C961" s="1" t="s">
        <v>56</v>
      </c>
      <c r="D961" s="2"/>
      <c r="E961" s="2"/>
      <c r="F961" s="8">
        <v>0</v>
      </c>
      <c r="G961" s="8"/>
      <c r="H961" s="8">
        <v>0</v>
      </c>
      <c r="I961" s="8"/>
      <c r="AQ961" s="1" t="s">
        <v>285</v>
      </c>
      <c r="AT961" s="1" t="s">
        <v>285</v>
      </c>
    </row>
    <row r="962" spans="1:60">
      <c r="A962" s="6">
        <v>2</v>
      </c>
      <c r="B962" s="1" t="s">
        <v>583</v>
      </c>
      <c r="C962" s="1" t="s">
        <v>53</v>
      </c>
      <c r="D962" s="2"/>
      <c r="E962" s="2"/>
      <c r="F962" s="8">
        <v>0</v>
      </c>
      <c r="G962" s="8"/>
      <c r="H962" s="8">
        <v>0</v>
      </c>
      <c r="I962" s="8"/>
      <c r="AQ962" s="1" t="s">
        <v>285</v>
      </c>
      <c r="AT962" s="1" t="s">
        <v>285</v>
      </c>
    </row>
    <row r="963" spans="1:60">
      <c r="A963" s="6">
        <v>12</v>
      </c>
      <c r="B963" s="1" t="s">
        <v>583</v>
      </c>
      <c r="C963" s="1" t="s">
        <v>594</v>
      </c>
      <c r="D963" s="2"/>
      <c r="E963" s="2"/>
      <c r="F963" s="8">
        <v>7.5</v>
      </c>
      <c r="G963" s="8"/>
      <c r="H963" s="8">
        <v>7.5</v>
      </c>
      <c r="I963" s="8"/>
      <c r="M963" s="3">
        <v>49</v>
      </c>
      <c r="O963" s="3">
        <v>49</v>
      </c>
      <c r="Q963" s="3">
        <f>O963-H963</f>
        <v>41.5</v>
      </c>
      <c r="R963" s="3">
        <v>49</v>
      </c>
      <c r="T963" s="3">
        <f>R963-O963</f>
        <v>0</v>
      </c>
      <c r="U963" s="3">
        <v>5.61</v>
      </c>
      <c r="W963" s="3">
        <f>U963-R963</f>
        <v>-43.39</v>
      </c>
      <c r="X963" s="3">
        <v>5.2</v>
      </c>
      <c r="Z963" s="3">
        <f>X963-U963</f>
        <v>-0.41000000000000014</v>
      </c>
      <c r="AA963" s="3">
        <v>14.84</v>
      </c>
      <c r="AC963" s="3">
        <f>AA963-X963</f>
        <v>9.64</v>
      </c>
      <c r="AD963" s="24">
        <v>10.6</v>
      </c>
      <c r="AG963" s="3">
        <v>4.91</v>
      </c>
      <c r="AI963" s="3">
        <f>AG963-AD963</f>
        <v>-5.6899999999999995</v>
      </c>
      <c r="AJ963" s="3">
        <v>11.5</v>
      </c>
      <c r="AL963" s="3">
        <f>AJ963-AG963</f>
        <v>6.59</v>
      </c>
      <c r="AM963" s="3">
        <v>35.56</v>
      </c>
      <c r="AO963" s="3">
        <f>AM963-AJ963</f>
        <v>24.060000000000002</v>
      </c>
      <c r="AQ963" s="1" t="s">
        <v>285</v>
      </c>
      <c r="AT963" s="1" t="s">
        <v>285</v>
      </c>
      <c r="AV963" s="3">
        <v>17.600000000000001</v>
      </c>
      <c r="AZ963" s="3">
        <v>12.17</v>
      </c>
      <c r="BD963" s="3">
        <v>12.77</v>
      </c>
      <c r="BG963" s="3">
        <v>12.77</v>
      </c>
      <c r="BH963" s="3">
        <v>18.059999999999999</v>
      </c>
    </row>
    <row r="964" spans="1:60">
      <c r="A964" s="6">
        <v>14</v>
      </c>
      <c r="B964" s="1" t="s">
        <v>583</v>
      </c>
      <c r="C964" s="1" t="s">
        <v>58</v>
      </c>
      <c r="D964" s="2"/>
      <c r="E964" s="2"/>
      <c r="F964" s="8">
        <v>25</v>
      </c>
      <c r="G964" s="8"/>
      <c r="H964" s="8">
        <v>25</v>
      </c>
      <c r="I964" s="8"/>
      <c r="L964" s="1" t="s">
        <v>108</v>
      </c>
      <c r="M964" s="3">
        <v>23</v>
      </c>
      <c r="O964" s="3">
        <v>23</v>
      </c>
      <c r="Q964" s="3">
        <f>O964-H964</f>
        <v>-2</v>
      </c>
      <c r="R964" s="3">
        <v>23</v>
      </c>
      <c r="T964" s="3">
        <f>R964-O964</f>
        <v>0</v>
      </c>
      <c r="U964" s="3">
        <v>21.85</v>
      </c>
      <c r="W964" s="3">
        <f>U964-R964</f>
        <v>-1.1499999999999986</v>
      </c>
      <c r="X964" s="3">
        <v>35</v>
      </c>
      <c r="Z964" s="3">
        <f>X964-U964</f>
        <v>13.149999999999999</v>
      </c>
      <c r="AA964" s="3">
        <v>26.71</v>
      </c>
      <c r="AC964" s="3">
        <f>AA964-X964</f>
        <v>-8.2899999999999991</v>
      </c>
      <c r="AD964" s="24">
        <v>23.61</v>
      </c>
      <c r="AG964" s="3">
        <v>9.82</v>
      </c>
      <c r="AI964" s="3">
        <f>AG964-AD964</f>
        <v>-13.79</v>
      </c>
      <c r="AJ964" s="3">
        <v>21.6</v>
      </c>
      <c r="AL964" s="3">
        <f>AJ964-AG964</f>
        <v>11.780000000000001</v>
      </c>
      <c r="AM964" s="3">
        <v>44.12</v>
      </c>
      <c r="AO964" s="3">
        <f>AM964-AJ964</f>
        <v>22.519999999999996</v>
      </c>
      <c r="AQ964" s="1" t="s">
        <v>285</v>
      </c>
      <c r="AT964" s="1" t="s">
        <v>285</v>
      </c>
      <c r="AV964" s="3">
        <v>22.33</v>
      </c>
      <c r="AZ964" s="3">
        <v>22.57</v>
      </c>
      <c r="BD964" s="3">
        <v>33.119999999999997</v>
      </c>
      <c r="BG964" s="3">
        <v>33.119999999999997</v>
      </c>
      <c r="BH964" s="3">
        <v>15.27</v>
      </c>
    </row>
    <row r="965" spans="1:60">
      <c r="B965" s="1" t="s">
        <v>583</v>
      </c>
      <c r="C965" s="1" t="s">
        <v>607</v>
      </c>
      <c r="D965" s="2"/>
      <c r="E965" s="2"/>
      <c r="F965" s="8"/>
      <c r="G965" s="8"/>
      <c r="H965" s="8"/>
      <c r="I965" s="8"/>
      <c r="Q965" s="3"/>
      <c r="T965" s="3"/>
      <c r="AI965" s="3"/>
      <c r="AJ965" s="3">
        <v>18.8</v>
      </c>
      <c r="AQ965" s="1" t="s">
        <v>285</v>
      </c>
      <c r="AT965" s="1" t="s">
        <v>285</v>
      </c>
    </row>
    <row r="966" spans="1:60">
      <c r="B966" s="1" t="s">
        <v>583</v>
      </c>
      <c r="C966" s="1" t="s">
        <v>857</v>
      </c>
      <c r="D966" s="2"/>
      <c r="E966" s="2"/>
      <c r="F966" s="8"/>
      <c r="G966" s="8"/>
      <c r="H966" s="8"/>
      <c r="I966" s="8"/>
      <c r="Q966" s="3"/>
      <c r="T966" s="3"/>
      <c r="AI966" s="3"/>
      <c r="BH966" s="3">
        <v>21.55</v>
      </c>
    </row>
    <row r="967" spans="1:60" ht="9.6" customHeight="1">
      <c r="B967" s="1" t="s">
        <v>583</v>
      </c>
      <c r="C967" s="1" t="s">
        <v>289</v>
      </c>
      <c r="D967" s="2"/>
      <c r="E967" s="2"/>
      <c r="F967" s="8"/>
      <c r="G967" s="8"/>
      <c r="H967" s="8"/>
      <c r="I967" s="8"/>
      <c r="Q967" s="3"/>
      <c r="T967" s="3"/>
      <c r="U967" s="3">
        <v>18.8</v>
      </c>
      <c r="X967" s="3">
        <v>19</v>
      </c>
      <c r="Z967" s="3">
        <f>X967-U967</f>
        <v>0.19999999999999929</v>
      </c>
      <c r="AA967" s="3">
        <v>18.75</v>
      </c>
      <c r="AC967" s="3">
        <f>AA967-X967</f>
        <v>-0.25</v>
      </c>
      <c r="AD967" s="24">
        <v>18.75</v>
      </c>
      <c r="AG967" s="3">
        <v>7.36</v>
      </c>
      <c r="AI967" s="3">
        <f>AG967-AD967</f>
        <v>-11.39</v>
      </c>
      <c r="AJ967" s="3">
        <v>19.600000000000001</v>
      </c>
      <c r="AL967" s="3">
        <f>AJ967-AG967</f>
        <v>12.240000000000002</v>
      </c>
      <c r="AM967" s="3">
        <v>50.84</v>
      </c>
      <c r="AO967" s="3">
        <f>AM967-AJ967</f>
        <v>31.240000000000002</v>
      </c>
      <c r="AQ967" s="1" t="s">
        <v>285</v>
      </c>
      <c r="AT967" s="1" t="s">
        <v>285</v>
      </c>
      <c r="AV967" s="3">
        <v>29.77</v>
      </c>
      <c r="AZ967" s="3">
        <v>18.260000000000002</v>
      </c>
      <c r="BD967" s="3">
        <v>124.67</v>
      </c>
      <c r="BG967" s="3">
        <v>124.67</v>
      </c>
      <c r="BH967" s="3">
        <v>17.5</v>
      </c>
    </row>
    <row r="968" spans="1:60">
      <c r="B968" s="1" t="s">
        <v>583</v>
      </c>
      <c r="C968" s="1" t="s">
        <v>290</v>
      </c>
      <c r="D968" s="2"/>
      <c r="E968" s="2"/>
      <c r="F968" s="8"/>
      <c r="G968" s="8"/>
      <c r="H968" s="8"/>
      <c r="I968" s="8"/>
      <c r="Q968" s="3"/>
      <c r="T968" s="3"/>
      <c r="U968" s="3">
        <v>24.15</v>
      </c>
      <c r="X968" s="3">
        <v>22</v>
      </c>
      <c r="Z968" s="3">
        <f>X968-U968</f>
        <v>-2.1499999999999986</v>
      </c>
      <c r="AA968" s="3">
        <v>18.21</v>
      </c>
      <c r="AC968" s="3">
        <f>AA968-X968</f>
        <v>-3.7899999999999991</v>
      </c>
      <c r="AD968" s="24">
        <v>18.21</v>
      </c>
      <c r="AG968" s="3">
        <v>8.52</v>
      </c>
      <c r="AI968" s="3">
        <f>AG968-AD968</f>
        <v>-9.6900000000000013</v>
      </c>
      <c r="AM968" s="3">
        <v>58.38</v>
      </c>
      <c r="AQ968" s="1" t="s">
        <v>285</v>
      </c>
      <c r="AT968" s="1" t="s">
        <v>285</v>
      </c>
      <c r="AV968" s="3">
        <v>19.5</v>
      </c>
      <c r="AZ968" s="3">
        <v>31.38</v>
      </c>
      <c r="BD968" s="3">
        <v>124.67</v>
      </c>
      <c r="BG968" s="3">
        <v>124.67</v>
      </c>
      <c r="BH968" s="3">
        <v>37.07</v>
      </c>
    </row>
    <row r="969" spans="1:60">
      <c r="B969" s="1" t="s">
        <v>583</v>
      </c>
      <c r="C969" s="1" t="s">
        <v>64</v>
      </c>
      <c r="D969" s="2"/>
      <c r="E969" s="2"/>
      <c r="F969" s="8"/>
      <c r="G969" s="8"/>
      <c r="H969" s="8"/>
      <c r="I969" s="8"/>
      <c r="Q969" s="3"/>
      <c r="T969" s="3"/>
      <c r="U969" s="3">
        <v>18.260000000000002</v>
      </c>
      <c r="X969" s="3">
        <v>37</v>
      </c>
      <c r="Z969" s="3">
        <f>X969-U969</f>
        <v>18.739999999999998</v>
      </c>
      <c r="AA969" s="3">
        <v>35.42</v>
      </c>
      <c r="AC969" s="3">
        <f>AA969-X969</f>
        <v>-1.5799999999999983</v>
      </c>
      <c r="AD969" s="24">
        <v>28.68</v>
      </c>
      <c r="AG969" s="3">
        <v>10.74</v>
      </c>
      <c r="AI969" s="3">
        <f>AG969-AD969</f>
        <v>-17.939999999999998</v>
      </c>
      <c r="AJ969" s="3">
        <v>27</v>
      </c>
      <c r="AL969" s="3">
        <f>AJ969-AG969</f>
        <v>16.259999999999998</v>
      </c>
      <c r="AM969" s="3">
        <v>61.62</v>
      </c>
      <c r="AO969" s="3">
        <f>AM969-AJ969</f>
        <v>34.619999999999997</v>
      </c>
      <c r="AQ969" s="1" t="s">
        <v>285</v>
      </c>
      <c r="AT969" s="1" t="s">
        <v>285</v>
      </c>
      <c r="AV969" s="3">
        <v>25.33</v>
      </c>
      <c r="AZ969" s="3">
        <v>29.1</v>
      </c>
      <c r="BD969" s="3">
        <v>15.53</v>
      </c>
      <c r="BG969" s="3">
        <v>15.53</v>
      </c>
      <c r="BH969" s="3">
        <v>23.43</v>
      </c>
    </row>
    <row r="970" spans="1:60">
      <c r="B970" s="1" t="s">
        <v>583</v>
      </c>
      <c r="C970" s="1" t="s">
        <v>286</v>
      </c>
      <c r="D970" s="2"/>
      <c r="E970" s="2"/>
      <c r="F970" s="8"/>
      <c r="G970" s="8"/>
      <c r="H970" s="8"/>
      <c r="I970" s="8"/>
      <c r="Q970" s="3"/>
      <c r="T970" s="3"/>
      <c r="U970" s="3">
        <v>17.62</v>
      </c>
      <c r="AA970" s="3">
        <v>29.97</v>
      </c>
      <c r="AG970" s="3">
        <v>9.82</v>
      </c>
      <c r="AJ970" s="3">
        <v>27.5</v>
      </c>
      <c r="AL970" s="3">
        <f>AJ970-AG970</f>
        <v>17.68</v>
      </c>
      <c r="AM970" s="3">
        <v>53</v>
      </c>
      <c r="AO970" s="3">
        <f>AM970-AJ970</f>
        <v>25.5</v>
      </c>
      <c r="AQ970" s="1" t="s">
        <v>285</v>
      </c>
      <c r="AT970" s="1" t="s">
        <v>285</v>
      </c>
      <c r="AZ970" s="3">
        <v>31.06</v>
      </c>
      <c r="BD970" s="3">
        <v>24.45</v>
      </c>
      <c r="BG970" s="3">
        <v>24.45</v>
      </c>
      <c r="BH970" s="3">
        <v>24.45</v>
      </c>
    </row>
    <row r="971" spans="1:60">
      <c r="B971" s="1" t="s">
        <v>583</v>
      </c>
      <c r="C971" s="1" t="s">
        <v>288</v>
      </c>
      <c r="D971" s="2"/>
      <c r="E971" s="2"/>
      <c r="F971" s="8"/>
      <c r="G971" s="8"/>
      <c r="H971" s="8"/>
      <c r="I971" s="8"/>
      <c r="Q971" s="3"/>
      <c r="T971" s="3"/>
      <c r="U971" s="3">
        <v>23.58</v>
      </c>
      <c r="AA971" s="3">
        <v>30.62</v>
      </c>
      <c r="AD971" s="24">
        <v>25.92</v>
      </c>
      <c r="AG971" s="3">
        <v>9.82</v>
      </c>
      <c r="AI971" s="3">
        <f>AG971-AD971</f>
        <v>-16.100000000000001</v>
      </c>
      <c r="AJ971" s="3">
        <v>27.5</v>
      </c>
      <c r="AL971" s="3">
        <f>AJ971-AG971</f>
        <v>17.68</v>
      </c>
      <c r="AM971" s="3">
        <v>61.62</v>
      </c>
      <c r="AO971" s="3">
        <f>AM971-AJ971</f>
        <v>34.119999999999997</v>
      </c>
      <c r="AQ971" s="1" t="s">
        <v>285</v>
      </c>
      <c r="AT971" s="1" t="s">
        <v>285</v>
      </c>
      <c r="AV971" s="3">
        <v>28.25</v>
      </c>
      <c r="AZ971" s="3">
        <v>28.25</v>
      </c>
      <c r="BD971" s="3">
        <v>15.64</v>
      </c>
      <c r="BG971" s="3">
        <v>15.64</v>
      </c>
      <c r="BH971" s="3">
        <v>21.55</v>
      </c>
    </row>
    <row r="972" spans="1:60" ht="9.6" customHeight="1">
      <c r="A972" s="6">
        <v>11</v>
      </c>
      <c r="B972" s="1" t="s">
        <v>583</v>
      </c>
      <c r="C972" s="1" t="s">
        <v>57</v>
      </c>
      <c r="D972" s="2"/>
      <c r="E972" s="2"/>
      <c r="F972" s="8">
        <v>27</v>
      </c>
      <c r="G972" s="8"/>
      <c r="H972" s="8">
        <v>27</v>
      </c>
      <c r="I972" s="8"/>
      <c r="L972" s="1" t="s">
        <v>190</v>
      </c>
      <c r="AQ972" s="1" t="s">
        <v>285</v>
      </c>
      <c r="AT972" s="1" t="s">
        <v>285</v>
      </c>
    </row>
    <row r="973" spans="1:60">
      <c r="A973" s="6">
        <v>1</v>
      </c>
      <c r="B973" s="1" t="s">
        <v>584</v>
      </c>
      <c r="C973" s="1" t="s">
        <v>52</v>
      </c>
      <c r="F973" s="1" t="s">
        <v>285</v>
      </c>
      <c r="G973" s="1"/>
      <c r="H973" s="1" t="s">
        <v>285</v>
      </c>
      <c r="I973" s="1"/>
    </row>
    <row r="974" spans="1:60">
      <c r="A974" s="6">
        <v>3</v>
      </c>
      <c r="B974" s="1" t="s">
        <v>584</v>
      </c>
      <c r="C974" s="1" t="s">
        <v>54</v>
      </c>
      <c r="F974" s="1" t="s">
        <v>285</v>
      </c>
      <c r="G974" s="1"/>
      <c r="H974" s="1" t="s">
        <v>285</v>
      </c>
      <c r="I974" s="1"/>
      <c r="R974" s="3">
        <v>17.187999999999999</v>
      </c>
      <c r="S974" s="1" t="s">
        <v>715</v>
      </c>
    </row>
    <row r="975" spans="1:60">
      <c r="A975" s="6">
        <v>4</v>
      </c>
      <c r="B975" s="1" t="s">
        <v>584</v>
      </c>
      <c r="C975" s="1" t="s">
        <v>55</v>
      </c>
      <c r="F975" s="1" t="s">
        <v>285</v>
      </c>
      <c r="G975" s="1"/>
      <c r="H975" s="1" t="s">
        <v>285</v>
      </c>
      <c r="I975" s="1"/>
    </row>
    <row r="976" spans="1:60">
      <c r="A976" s="6">
        <v>5</v>
      </c>
      <c r="B976" s="1" t="s">
        <v>584</v>
      </c>
      <c r="C976" s="1" t="s">
        <v>56</v>
      </c>
      <c r="F976" s="1" t="s">
        <v>285</v>
      </c>
      <c r="G976" s="1"/>
      <c r="H976" s="1" t="s">
        <v>285</v>
      </c>
      <c r="I976" s="1"/>
    </row>
    <row r="977" spans="1:61">
      <c r="A977" s="6">
        <v>2</v>
      </c>
      <c r="B977" s="1" t="s">
        <v>584</v>
      </c>
      <c r="C977" s="1" t="s">
        <v>53</v>
      </c>
      <c r="F977" s="1" t="s">
        <v>285</v>
      </c>
      <c r="G977" s="1"/>
      <c r="H977" s="1" t="s">
        <v>285</v>
      </c>
      <c r="I977" s="1"/>
      <c r="P977" s="1" t="s">
        <v>499</v>
      </c>
    </row>
    <row r="978" spans="1:61">
      <c r="B978" s="1" t="s">
        <v>584</v>
      </c>
      <c r="C978" s="1" t="s">
        <v>597</v>
      </c>
      <c r="F978" s="1"/>
      <c r="G978" s="1"/>
      <c r="H978" s="1"/>
      <c r="I978" s="1"/>
      <c r="Q978" s="3"/>
      <c r="T978" s="3"/>
      <c r="W978" s="3"/>
      <c r="AC978" s="3"/>
      <c r="AF978" s="24"/>
      <c r="AI978" s="3"/>
      <c r="AL978" s="3"/>
      <c r="AO978" s="3"/>
      <c r="AZ978" s="3">
        <v>13.2</v>
      </c>
      <c r="BA978" s="1" t="s">
        <v>852</v>
      </c>
      <c r="BC978" s="3">
        <v>13.2</v>
      </c>
      <c r="BD978" s="3">
        <v>13.2</v>
      </c>
      <c r="BE978" s="1" t="s">
        <v>852</v>
      </c>
    </row>
    <row r="979" spans="1:61">
      <c r="B979" s="1" t="s">
        <v>584</v>
      </c>
      <c r="C979" s="1" t="s">
        <v>595</v>
      </c>
      <c r="F979" s="1"/>
      <c r="G979" s="1"/>
      <c r="H979" s="1"/>
      <c r="I979" s="1"/>
      <c r="Q979" s="3"/>
      <c r="T979" s="3"/>
      <c r="W979" s="3"/>
      <c r="X979" s="3">
        <v>12.55</v>
      </c>
      <c r="AA979" s="3">
        <v>12.55</v>
      </c>
      <c r="AC979" s="3">
        <f>AA979-X979</f>
        <v>0</v>
      </c>
      <c r="AD979" s="24">
        <v>12.55</v>
      </c>
      <c r="AF979" s="24">
        <f>AD979-AA979</f>
        <v>0</v>
      </c>
      <c r="AG979" s="3">
        <v>11.54</v>
      </c>
      <c r="AI979" s="3">
        <f>AG979-AD979</f>
        <v>-1.0100000000000016</v>
      </c>
      <c r="AJ979" s="3">
        <v>10</v>
      </c>
      <c r="AL979" s="3">
        <f>AJ979-AG979</f>
        <v>-1.5399999999999991</v>
      </c>
      <c r="AM979" s="3">
        <v>2.83</v>
      </c>
      <c r="AO979" s="3">
        <f>AM979-AJ979</f>
        <v>-7.17</v>
      </c>
      <c r="AP979" s="3">
        <v>8.93</v>
      </c>
      <c r="AS979" s="3">
        <v>4.6399999999999997</v>
      </c>
      <c r="AV979" s="3">
        <v>13.53</v>
      </c>
      <c r="AY979" s="3">
        <v>13.53</v>
      </c>
      <c r="AZ979" s="3">
        <v>14.3</v>
      </c>
      <c r="BA979" s="1" t="s">
        <v>852</v>
      </c>
      <c r="BC979" s="3">
        <v>14.3</v>
      </c>
      <c r="BD979" s="3">
        <v>10.4</v>
      </c>
      <c r="BE979" s="1" t="s">
        <v>852</v>
      </c>
      <c r="BG979" s="3">
        <v>10.4</v>
      </c>
      <c r="BH979" s="3">
        <v>8.4600000000000009</v>
      </c>
      <c r="BI979" s="1" t="s">
        <v>852</v>
      </c>
    </row>
    <row r="980" spans="1:61">
      <c r="B980" s="1" t="s">
        <v>584</v>
      </c>
      <c r="C980" s="1" t="s">
        <v>700</v>
      </c>
      <c r="F980" s="1"/>
      <c r="G980" s="1"/>
      <c r="H980" s="1"/>
      <c r="I980" s="1"/>
      <c r="Q980" s="3"/>
      <c r="T980" s="3"/>
      <c r="W980" s="3"/>
      <c r="AC980" s="3"/>
      <c r="AF980" s="24"/>
      <c r="AG980" s="3">
        <v>26</v>
      </c>
    </row>
    <row r="981" spans="1:61">
      <c r="A981" s="6">
        <v>12</v>
      </c>
      <c r="B981" s="1" t="s">
        <v>584</v>
      </c>
      <c r="C981" s="1" t="s">
        <v>594</v>
      </c>
      <c r="F981" s="1" t="s">
        <v>285</v>
      </c>
      <c r="G981" s="1"/>
      <c r="H981" s="1" t="s">
        <v>285</v>
      </c>
      <c r="I981" s="1"/>
      <c r="M981" s="3">
        <v>7.36</v>
      </c>
      <c r="O981" s="3">
        <v>7.36</v>
      </c>
      <c r="P981" s="1" t="s">
        <v>500</v>
      </c>
      <c r="Q981" s="3"/>
      <c r="R981" s="3">
        <v>3.6760000000000002</v>
      </c>
      <c r="S981" s="1" t="s">
        <v>716</v>
      </c>
      <c r="T981" s="3">
        <f>R981-O981</f>
        <v>-3.6840000000000002</v>
      </c>
      <c r="U981" s="3">
        <f>56.2/13.6</f>
        <v>4.132352941176471</v>
      </c>
      <c r="V981" s="1" t="s">
        <v>205</v>
      </c>
      <c r="W981" s="3">
        <f>U981-R981</f>
        <v>0.45635294117647085</v>
      </c>
      <c r="X981" s="3">
        <v>8.8699999999999992</v>
      </c>
      <c r="Z981" s="3">
        <f>X981-U981</f>
        <v>4.7376470588235282</v>
      </c>
      <c r="AA981" s="3">
        <v>8.8699999999999992</v>
      </c>
      <c r="AC981" s="3">
        <f>AA981-X981</f>
        <v>0</v>
      </c>
      <c r="AD981" s="24">
        <v>8.8699999999999992</v>
      </c>
      <c r="AF981" s="24">
        <f>AD981-AA981</f>
        <v>0</v>
      </c>
      <c r="AG981" s="3">
        <v>10.9</v>
      </c>
      <c r="AI981" s="3">
        <f>AG981-AD981</f>
        <v>2.0300000000000011</v>
      </c>
      <c r="AJ981" s="3">
        <v>21</v>
      </c>
      <c r="AK981" s="1" t="s">
        <v>832</v>
      </c>
      <c r="AL981" s="3">
        <f>AJ981-AG981</f>
        <v>10.1</v>
      </c>
      <c r="AM981" s="3">
        <v>2.13</v>
      </c>
      <c r="AO981" s="3">
        <f>AM981-AJ981</f>
        <v>-18.87</v>
      </c>
      <c r="AP981" s="3">
        <v>6.25</v>
      </c>
      <c r="AS981" s="3">
        <v>9.56</v>
      </c>
      <c r="AV981" s="3">
        <v>13</v>
      </c>
      <c r="AY981" s="3">
        <v>13</v>
      </c>
      <c r="AZ981" s="3">
        <v>13</v>
      </c>
      <c r="BA981" s="1" t="s">
        <v>852</v>
      </c>
      <c r="BC981" s="3">
        <v>13.3</v>
      </c>
      <c r="BD981" s="3">
        <v>9.02</v>
      </c>
      <c r="BE981" s="1" t="s">
        <v>852</v>
      </c>
      <c r="BG981" s="3">
        <v>9.02</v>
      </c>
      <c r="BH981" s="3">
        <v>8.65</v>
      </c>
      <c r="BI981" s="1" t="s">
        <v>852</v>
      </c>
    </row>
    <row r="982" spans="1:61">
      <c r="A982" s="6">
        <v>14</v>
      </c>
      <c r="B982" s="1" t="s">
        <v>584</v>
      </c>
      <c r="C982" s="1" t="s">
        <v>58</v>
      </c>
      <c r="F982" s="1" t="s">
        <v>285</v>
      </c>
      <c r="G982" s="1"/>
      <c r="H982" s="1" t="s">
        <v>285</v>
      </c>
      <c r="I982" s="1"/>
      <c r="M982" s="3">
        <v>14</v>
      </c>
      <c r="O982" s="3">
        <v>14</v>
      </c>
      <c r="P982" s="1" t="s">
        <v>450</v>
      </c>
      <c r="Q982" s="3"/>
      <c r="R982" s="3">
        <v>7.2960000000000003</v>
      </c>
      <c r="S982" s="1" t="s">
        <v>717</v>
      </c>
      <c r="T982" s="3">
        <f>R982-O982</f>
        <v>-6.7039999999999997</v>
      </c>
      <c r="U982" s="3">
        <v>15.6</v>
      </c>
      <c r="V982" s="1" t="s">
        <v>207</v>
      </c>
      <c r="W982" s="3">
        <f>U982-R982</f>
        <v>8.3039999999999985</v>
      </c>
      <c r="X982" s="3">
        <v>18</v>
      </c>
      <c r="Z982" s="3">
        <f>X982-U982</f>
        <v>2.4000000000000004</v>
      </c>
      <c r="AA982" s="3">
        <v>18</v>
      </c>
      <c r="AC982" s="3">
        <f>AA982-X982</f>
        <v>0</v>
      </c>
      <c r="AD982" s="24">
        <v>18</v>
      </c>
      <c r="AF982" s="24">
        <f>AD982-AA982</f>
        <v>0</v>
      </c>
      <c r="AG982" s="3">
        <v>16.670000000000002</v>
      </c>
      <c r="AI982" s="3">
        <f>AG982-AD982</f>
        <v>-1.3299999999999983</v>
      </c>
      <c r="AJ982" s="3">
        <v>16.670000000000002</v>
      </c>
      <c r="AL982" s="3">
        <f>AJ982-AG982</f>
        <v>0</v>
      </c>
      <c r="AM982" s="3">
        <v>6.09</v>
      </c>
      <c r="AO982" s="3">
        <f>AM982-AJ982</f>
        <v>-10.580000000000002</v>
      </c>
      <c r="AP982" s="3">
        <v>6.25</v>
      </c>
      <c r="AS982" s="3">
        <v>8.94</v>
      </c>
      <c r="AV982" s="3">
        <v>9.08</v>
      </c>
      <c r="AY982" s="3">
        <v>9.08</v>
      </c>
      <c r="AZ982" s="3">
        <v>9.1999999999999993</v>
      </c>
      <c r="BA982" s="1" t="s">
        <v>852</v>
      </c>
      <c r="BC982" s="3">
        <v>9.1999999999999993</v>
      </c>
      <c r="BD982" s="3">
        <v>7.35</v>
      </c>
      <c r="BE982" s="1" t="s">
        <v>852</v>
      </c>
      <c r="BG982" s="3">
        <v>7.35</v>
      </c>
      <c r="BH982" s="3">
        <v>6.25</v>
      </c>
      <c r="BI982" s="1" t="s">
        <v>852</v>
      </c>
    </row>
    <row r="983" spans="1:61">
      <c r="B983" s="1" t="s">
        <v>584</v>
      </c>
      <c r="C983" s="1" t="s">
        <v>868</v>
      </c>
      <c r="F983" s="1"/>
      <c r="G983" s="1"/>
      <c r="H983" s="1"/>
      <c r="I983" s="1"/>
      <c r="Q983" s="3"/>
      <c r="T983" s="3"/>
      <c r="W983" s="3"/>
      <c r="AC983" s="3"/>
      <c r="AF983" s="24"/>
      <c r="AI983" s="3"/>
      <c r="AL983" s="3"/>
      <c r="AO983" s="3"/>
      <c r="AY983" s="3">
        <v>10</v>
      </c>
      <c r="AZ983" s="3">
        <v>10</v>
      </c>
      <c r="BA983" s="1" t="s">
        <v>852</v>
      </c>
      <c r="BD983" s="3">
        <v>9.8000000000000007</v>
      </c>
      <c r="BE983" s="1" t="s">
        <v>852</v>
      </c>
      <c r="BG983" s="3">
        <v>9.8000000000000007</v>
      </c>
      <c r="BH983" s="3">
        <v>7.68</v>
      </c>
      <c r="BI983" s="1" t="s">
        <v>852</v>
      </c>
    </row>
    <row r="984" spans="1:61">
      <c r="B984" s="1" t="s">
        <v>584</v>
      </c>
      <c r="C984" s="1" t="s">
        <v>607</v>
      </c>
      <c r="F984" s="1"/>
      <c r="G984" s="1"/>
      <c r="H984" s="1"/>
      <c r="I984" s="1"/>
      <c r="Q984" s="3"/>
      <c r="T984" s="3"/>
      <c r="W984" s="3"/>
      <c r="AC984" s="3"/>
      <c r="AF984" s="24"/>
      <c r="AI984" s="3"/>
      <c r="AL984" s="3"/>
      <c r="AO984" s="3"/>
      <c r="BD984" s="3">
        <v>8.9</v>
      </c>
      <c r="BE984" s="1" t="s">
        <v>852</v>
      </c>
      <c r="BG984" s="3">
        <v>8.9</v>
      </c>
      <c r="BH984" s="3">
        <v>8.9</v>
      </c>
      <c r="BI984" s="1" t="s">
        <v>852</v>
      </c>
    </row>
    <row r="985" spans="1:61">
      <c r="B985" s="1" t="s">
        <v>584</v>
      </c>
      <c r="C985" s="1" t="s">
        <v>857</v>
      </c>
      <c r="F985" s="1"/>
      <c r="G985" s="1"/>
      <c r="H985" s="1"/>
      <c r="I985" s="1"/>
      <c r="Q985" s="3"/>
      <c r="T985" s="3"/>
      <c r="W985" s="3"/>
      <c r="AC985" s="3"/>
      <c r="AF985" s="24"/>
      <c r="AI985" s="3"/>
      <c r="AL985" s="3"/>
      <c r="AO985" s="3"/>
      <c r="BD985" s="3">
        <v>13.43</v>
      </c>
      <c r="BE985" s="1" t="s">
        <v>852</v>
      </c>
    </row>
    <row r="986" spans="1:61">
      <c r="B986" s="1" t="s">
        <v>584</v>
      </c>
      <c r="C986" s="1" t="s">
        <v>289</v>
      </c>
      <c r="F986" s="1"/>
      <c r="G986" s="1"/>
      <c r="H986" s="1"/>
      <c r="I986" s="1"/>
      <c r="Q986" s="3"/>
      <c r="T986" s="3"/>
      <c r="W986" s="3"/>
      <c r="AC986" s="3"/>
      <c r="AF986" s="24"/>
      <c r="AI986" s="3"/>
      <c r="AL986" s="3"/>
      <c r="AM986" s="3">
        <v>7.87</v>
      </c>
      <c r="AP986" s="3">
        <v>6.56</v>
      </c>
      <c r="AS986" s="3">
        <v>6.32</v>
      </c>
      <c r="AV986" s="3">
        <v>7.5</v>
      </c>
      <c r="AY986" s="3">
        <v>7.5</v>
      </c>
      <c r="AZ986" s="3">
        <v>7.55</v>
      </c>
      <c r="BA986" s="1" t="s">
        <v>852</v>
      </c>
      <c r="BC986" s="3">
        <v>7.55</v>
      </c>
      <c r="BD986" s="3">
        <v>21.06</v>
      </c>
      <c r="BE986" s="1" t="s">
        <v>852</v>
      </c>
      <c r="BG986" s="3">
        <v>7.5</v>
      </c>
      <c r="BH986" s="3">
        <v>8.1</v>
      </c>
      <c r="BI986" s="1" t="s">
        <v>852</v>
      </c>
    </row>
    <row r="987" spans="1:61">
      <c r="B987" s="1" t="s">
        <v>584</v>
      </c>
      <c r="C987" s="1" t="s">
        <v>290</v>
      </c>
      <c r="F987" s="1"/>
      <c r="G987" s="1"/>
      <c r="H987" s="1"/>
      <c r="I987" s="1"/>
      <c r="Q987" s="3"/>
      <c r="T987" s="3"/>
      <c r="W987" s="3"/>
      <c r="AC987" s="3"/>
      <c r="AF987" s="24"/>
      <c r="AI987" s="3"/>
      <c r="AL987" s="3"/>
      <c r="AM987" s="3">
        <v>3.76</v>
      </c>
      <c r="AP987" s="3">
        <v>8.5299999999999994</v>
      </c>
      <c r="AS987" s="3">
        <v>8.2200000000000006</v>
      </c>
      <c r="AV987" s="3">
        <v>7.41</v>
      </c>
      <c r="AY987" s="3">
        <v>7.41</v>
      </c>
      <c r="AZ987" s="3">
        <v>7.6</v>
      </c>
      <c r="BA987" s="1" t="s">
        <v>852</v>
      </c>
      <c r="BC987" s="3">
        <v>7.6</v>
      </c>
      <c r="BD987" s="3">
        <v>19.649999999999999</v>
      </c>
      <c r="BE987" s="1" t="s">
        <v>852</v>
      </c>
      <c r="BG987" s="3">
        <v>7.55</v>
      </c>
      <c r="BH987" s="3">
        <v>8.15</v>
      </c>
      <c r="BI987" s="1" t="s">
        <v>852</v>
      </c>
    </row>
    <row r="988" spans="1:61" ht="9.6" customHeight="1">
      <c r="B988" s="1" t="s">
        <v>584</v>
      </c>
      <c r="C988" s="1" t="s">
        <v>1009</v>
      </c>
      <c r="F988" s="1"/>
      <c r="G988" s="1"/>
      <c r="H988" s="1"/>
      <c r="I988" s="1"/>
      <c r="Q988" s="3"/>
      <c r="T988" s="3"/>
      <c r="W988" s="3"/>
      <c r="AC988" s="3"/>
      <c r="AF988" s="24"/>
      <c r="AI988" s="3"/>
      <c r="AL988" s="3"/>
      <c r="BH988" s="3">
        <v>17</v>
      </c>
      <c r="BI988" s="1" t="s">
        <v>852</v>
      </c>
    </row>
    <row r="989" spans="1:61">
      <c r="B989" s="1" t="s">
        <v>584</v>
      </c>
      <c r="C989" s="1" t="s">
        <v>955</v>
      </c>
      <c r="F989" s="1"/>
      <c r="G989" s="1"/>
      <c r="H989" s="1"/>
      <c r="I989" s="1"/>
      <c r="Q989" s="3"/>
      <c r="T989" s="3"/>
      <c r="W989" s="3"/>
      <c r="AC989" s="3"/>
      <c r="AF989" s="24"/>
      <c r="AI989" s="3"/>
      <c r="AL989" s="3"/>
      <c r="BD989" s="3">
        <v>18.12</v>
      </c>
      <c r="BE989" s="1" t="s">
        <v>852</v>
      </c>
    </row>
    <row r="990" spans="1:61" ht="9.6" customHeight="1">
      <c r="B990" s="1" t="s">
        <v>584</v>
      </c>
      <c r="C990" s="1" t="s">
        <v>954</v>
      </c>
      <c r="F990" s="1"/>
      <c r="G990" s="1"/>
      <c r="H990" s="1"/>
      <c r="I990" s="1"/>
      <c r="Q990" s="3"/>
      <c r="T990" s="3"/>
      <c r="W990" s="3"/>
      <c r="AC990" s="3"/>
      <c r="AF990" s="24"/>
      <c r="AI990" s="3"/>
      <c r="AL990" s="3"/>
      <c r="BD990" s="3">
        <v>26</v>
      </c>
      <c r="BE990" s="1" t="s">
        <v>852</v>
      </c>
      <c r="BG990" s="3">
        <v>26</v>
      </c>
      <c r="BH990" s="3">
        <v>120</v>
      </c>
      <c r="BI990" s="1" t="s">
        <v>852</v>
      </c>
    </row>
    <row r="991" spans="1:61" ht="9.6" customHeight="1">
      <c r="B991" s="1" t="s">
        <v>584</v>
      </c>
      <c r="C991" s="1" t="s">
        <v>1010</v>
      </c>
      <c r="F991" s="1"/>
      <c r="G991" s="1"/>
      <c r="H991" s="1"/>
      <c r="I991" s="1"/>
      <c r="Q991" s="3"/>
      <c r="T991" s="3"/>
      <c r="W991" s="3"/>
      <c r="AC991" s="3"/>
      <c r="AF991" s="24"/>
      <c r="AI991" s="3"/>
      <c r="AL991" s="3"/>
      <c r="BG991" s="3">
        <v>18.12</v>
      </c>
      <c r="BH991" s="3">
        <v>22</v>
      </c>
      <c r="BI991" s="1" t="s">
        <v>852</v>
      </c>
    </row>
    <row r="992" spans="1:61">
      <c r="B992" s="1" t="s">
        <v>584</v>
      </c>
      <c r="C992" s="1" t="s">
        <v>376</v>
      </c>
      <c r="F992" s="1"/>
      <c r="G992" s="1"/>
      <c r="H992" s="1"/>
      <c r="I992" s="1"/>
      <c r="Q992" s="3"/>
      <c r="T992" s="3"/>
      <c r="W992" s="3"/>
      <c r="X992" s="3">
        <v>17.66</v>
      </c>
      <c r="AA992" s="3">
        <v>17.66</v>
      </c>
      <c r="AD992" s="24">
        <v>17.920000000000002</v>
      </c>
      <c r="AG992" s="3">
        <v>17.899999999999999</v>
      </c>
      <c r="AJ992" s="3">
        <v>17.899999999999999</v>
      </c>
    </row>
    <row r="993" spans="1:61">
      <c r="B993" s="1" t="s">
        <v>584</v>
      </c>
      <c r="C993" s="1" t="s">
        <v>64</v>
      </c>
      <c r="F993" s="1"/>
      <c r="G993" s="1"/>
      <c r="H993" s="1"/>
      <c r="I993" s="1"/>
      <c r="Q993" s="3"/>
      <c r="R993" s="3">
        <v>9.1739999999999995</v>
      </c>
      <c r="S993" s="1" t="s">
        <v>718</v>
      </c>
      <c r="T993" s="3"/>
      <c r="U993" s="3">
        <f>100/13.6</f>
        <v>7.3529411764705888</v>
      </c>
      <c r="V993" s="1" t="s">
        <v>208</v>
      </c>
      <c r="W993" s="3">
        <f>U993-R993</f>
        <v>-1.8210588235294107</v>
      </c>
      <c r="X993" s="3">
        <v>19.079999999999998</v>
      </c>
      <c r="Z993" s="3">
        <f>X993-U993</f>
        <v>11.72705882352941</v>
      </c>
      <c r="AA993" s="3">
        <f>219.4/11.3</f>
        <v>19.415929203539822</v>
      </c>
      <c r="AC993" s="3">
        <f>AA993-X993</f>
        <v>0.33592920353982336</v>
      </c>
      <c r="AD993" s="24">
        <v>16.45</v>
      </c>
      <c r="AF993" s="24">
        <f>AD993-AA993</f>
        <v>-2.9659292035398224</v>
      </c>
      <c r="AG993" s="3">
        <f>192.3/10.9</f>
        <v>17.642201834862387</v>
      </c>
      <c r="AI993" s="3">
        <f>AG993-AD993</f>
        <v>1.192201834862388</v>
      </c>
      <c r="AJ993" s="3">
        <f>192.3/10.9</f>
        <v>17.642201834862387</v>
      </c>
      <c r="AL993" s="3">
        <f>AJ993-AG993</f>
        <v>0</v>
      </c>
      <c r="AM993" s="3">
        <v>7.97</v>
      </c>
      <c r="AO993" s="3">
        <f>AM993-AJ993</f>
        <v>-9.6722018348623884</v>
      </c>
      <c r="AP993" s="3">
        <v>8.15</v>
      </c>
      <c r="AS993" s="3">
        <v>12.86</v>
      </c>
      <c r="AV993" s="3">
        <v>9.99</v>
      </c>
      <c r="AY993" s="3">
        <v>9.99</v>
      </c>
      <c r="AZ993" s="3">
        <v>10.1</v>
      </c>
      <c r="BA993" s="1" t="s">
        <v>852</v>
      </c>
      <c r="BC993" s="3">
        <v>10.1</v>
      </c>
      <c r="BD993" s="3">
        <v>9.19</v>
      </c>
      <c r="BE993" s="1" t="s">
        <v>852</v>
      </c>
      <c r="BG993" s="3">
        <v>9.19</v>
      </c>
      <c r="BH993" s="3">
        <v>8.4499999999999993</v>
      </c>
      <c r="BI993" s="1" t="s">
        <v>852</v>
      </c>
    </row>
    <row r="994" spans="1:61">
      <c r="B994" s="1" t="s">
        <v>584</v>
      </c>
      <c r="C994" s="1" t="s">
        <v>855</v>
      </c>
      <c r="F994" s="1"/>
      <c r="G994" s="1"/>
      <c r="H994" s="1"/>
      <c r="I994" s="1"/>
      <c r="Q994" s="3"/>
      <c r="T994" s="3"/>
      <c r="W994" s="3"/>
      <c r="AC994" s="3"/>
      <c r="AF994" s="24"/>
      <c r="AI994" s="3"/>
      <c r="AL994" s="3"/>
      <c r="AO994" s="3"/>
      <c r="BH994" s="3">
        <v>8.4</v>
      </c>
      <c r="BI994" s="1" t="s">
        <v>852</v>
      </c>
    </row>
    <row r="995" spans="1:61">
      <c r="B995" s="1" t="s">
        <v>584</v>
      </c>
      <c r="C995" s="1" t="s">
        <v>286</v>
      </c>
      <c r="F995" s="1"/>
      <c r="G995" s="1"/>
      <c r="H995" s="1"/>
      <c r="I995" s="1"/>
      <c r="Q995" s="3"/>
      <c r="T995" s="3"/>
      <c r="W995" s="3"/>
      <c r="X995" s="3">
        <f>314.35/13.6</f>
        <v>23.113970588235297</v>
      </c>
      <c r="AA995" s="3">
        <f>163.3/11.3</f>
        <v>14.451327433628318</v>
      </c>
      <c r="AC995" s="3">
        <f>AA995-X995</f>
        <v>-8.6626431546069789</v>
      </c>
      <c r="AD995" s="24">
        <f>255.6/11.3</f>
        <v>22.619469026548671</v>
      </c>
      <c r="AF995" s="24">
        <f>AD995-AA995</f>
        <v>8.1681415929203531</v>
      </c>
      <c r="AG995" s="3">
        <f>292.02/11.3</f>
        <v>25.842477876106191</v>
      </c>
      <c r="AI995" s="3">
        <f>AG995-AD995</f>
        <v>3.2230088495575195</v>
      </c>
      <c r="AJ995" s="3">
        <f>292.02/11.3</f>
        <v>25.842477876106191</v>
      </c>
      <c r="AL995" s="3">
        <f>AJ995-AG995</f>
        <v>0</v>
      </c>
      <c r="AM995" s="3">
        <v>7.41</v>
      </c>
      <c r="AO995" s="3">
        <f>AM995-AJ995</f>
        <v>-18.432477876106191</v>
      </c>
      <c r="AP995" s="3">
        <v>6.43</v>
      </c>
      <c r="AS995" s="3">
        <v>17.149999999999999</v>
      </c>
      <c r="AV995" s="3">
        <v>11.82</v>
      </c>
      <c r="AY995" s="3">
        <v>11.82</v>
      </c>
      <c r="AZ995" s="3">
        <v>11.6</v>
      </c>
      <c r="BA995" s="1" t="s">
        <v>852</v>
      </c>
      <c r="BC995" s="3">
        <v>11.6</v>
      </c>
      <c r="BD995" s="3">
        <v>7.08</v>
      </c>
      <c r="BE995" s="1" t="s">
        <v>852</v>
      </c>
      <c r="BG995" s="3">
        <v>7.08</v>
      </c>
      <c r="BH995" s="3">
        <v>9.25</v>
      </c>
      <c r="BI995" s="1" t="s">
        <v>852</v>
      </c>
    </row>
    <row r="996" spans="1:61">
      <c r="B996" s="1" t="s">
        <v>584</v>
      </c>
      <c r="C996" s="1" t="s">
        <v>937</v>
      </c>
      <c r="F996" s="1"/>
      <c r="G996" s="1"/>
      <c r="H996" s="1"/>
      <c r="I996" s="1"/>
      <c r="Q996" s="3"/>
      <c r="T996" s="3"/>
      <c r="W996" s="3"/>
      <c r="AC996" s="3"/>
      <c r="AF996" s="24"/>
      <c r="AI996" s="3"/>
      <c r="AL996" s="3"/>
      <c r="AO996" s="3"/>
      <c r="BD996" s="3">
        <v>10.3</v>
      </c>
      <c r="BE996" s="1" t="s">
        <v>852</v>
      </c>
      <c r="BG996" s="3">
        <v>10.3</v>
      </c>
      <c r="BH996" s="3">
        <v>10.6</v>
      </c>
      <c r="BI996" s="1" t="s">
        <v>852</v>
      </c>
    </row>
    <row r="997" spans="1:61">
      <c r="B997" s="1" t="s">
        <v>584</v>
      </c>
      <c r="C997" s="1" t="s">
        <v>377</v>
      </c>
      <c r="F997" s="1"/>
      <c r="G997" s="1"/>
      <c r="H997" s="1"/>
      <c r="I997" s="1"/>
      <c r="Q997" s="3"/>
      <c r="T997" s="3"/>
      <c r="W997" s="3"/>
      <c r="X997" s="3">
        <f>179.7/11.3</f>
        <v>15.902654867256635</v>
      </c>
      <c r="AA997" s="3">
        <f>179.7/11.3</f>
        <v>15.902654867256635</v>
      </c>
      <c r="AD997" s="24">
        <f>179.7/11.3</f>
        <v>15.902654867256635</v>
      </c>
      <c r="AG997" s="3">
        <f>179.7/11.3</f>
        <v>15.902654867256635</v>
      </c>
      <c r="AJ997" s="3">
        <f>179.7/11.3</f>
        <v>15.902654867256635</v>
      </c>
    </row>
    <row r="998" spans="1:61">
      <c r="B998" s="1" t="s">
        <v>584</v>
      </c>
      <c r="C998" s="1" t="s">
        <v>288</v>
      </c>
      <c r="F998" s="1"/>
      <c r="G998" s="1"/>
      <c r="H998" s="1"/>
      <c r="I998" s="1"/>
      <c r="Q998" s="3"/>
      <c r="R998" s="3">
        <v>6.617</v>
      </c>
      <c r="S998" s="1" t="s">
        <v>719</v>
      </c>
      <c r="T998" s="3"/>
      <c r="X998" s="3">
        <f>179.2/11.3</f>
        <v>15.858407079646016</v>
      </c>
      <c r="AA998" s="3">
        <f>179.2/11.3</f>
        <v>15.858407079646016</v>
      </c>
      <c r="AC998" s="3">
        <f>AA998-X998</f>
        <v>0</v>
      </c>
      <c r="AD998" s="24">
        <f>192.69/11.3</f>
        <v>17.052212389380529</v>
      </c>
      <c r="AF998" s="24">
        <f>AD998-AA998</f>
        <v>1.1938053097345129</v>
      </c>
      <c r="AG998" s="3">
        <f>193/11.3</f>
        <v>17.079646017699115</v>
      </c>
      <c r="AI998" s="3">
        <f>AG998-AD998</f>
        <v>2.7433628318586756E-2</v>
      </c>
      <c r="AJ998" s="3">
        <f>193/11.3</f>
        <v>17.079646017699115</v>
      </c>
      <c r="AL998" s="3">
        <f>AJ998-AG998</f>
        <v>0</v>
      </c>
      <c r="AM998" s="3">
        <v>7.4</v>
      </c>
      <c r="AO998" s="3">
        <f>AM998-AJ998</f>
        <v>-9.679646017699115</v>
      </c>
      <c r="AP998" s="3">
        <v>8.0399999999999991</v>
      </c>
      <c r="AS998" s="3">
        <v>11.86</v>
      </c>
      <c r="AV998" s="3">
        <v>10.36</v>
      </c>
      <c r="AY998" s="3">
        <v>10.36</v>
      </c>
      <c r="AZ998" s="3">
        <v>10.32</v>
      </c>
      <c r="BA998" s="1" t="s">
        <v>852</v>
      </c>
      <c r="BC998" s="3">
        <v>10.32</v>
      </c>
      <c r="BD998" s="3">
        <v>6.65</v>
      </c>
      <c r="BE998" s="1" t="s">
        <v>852</v>
      </c>
      <c r="BG998" s="3">
        <v>6.65</v>
      </c>
      <c r="BH998" s="3">
        <v>9.1999999999999993</v>
      </c>
      <c r="BI998" s="1" t="s">
        <v>852</v>
      </c>
    </row>
    <row r="999" spans="1:61">
      <c r="B999" s="1" t="s">
        <v>584</v>
      </c>
      <c r="C999" s="1" t="s">
        <v>378</v>
      </c>
      <c r="F999" s="1"/>
      <c r="G999" s="1"/>
      <c r="H999" s="1"/>
      <c r="I999" s="1"/>
      <c r="Q999" s="3"/>
      <c r="T999" s="3"/>
      <c r="W999" s="3"/>
      <c r="X999" s="3">
        <f>236.19/13.6</f>
        <v>17.366911764705883</v>
      </c>
      <c r="AA999" s="3">
        <f>236.19/13.6</f>
        <v>17.366911764705883</v>
      </c>
      <c r="AD999" s="24">
        <f>236.19/13.6</f>
        <v>17.366911764705883</v>
      </c>
      <c r="AG999" s="3">
        <f>236.19/13.6</f>
        <v>17.366911764705883</v>
      </c>
      <c r="AJ999" s="3">
        <f>236.19/13.6</f>
        <v>17.366911764705883</v>
      </c>
    </row>
    <row r="1000" spans="1:61">
      <c r="B1000" s="1" t="s">
        <v>584</v>
      </c>
      <c r="C1000" s="1" t="s">
        <v>873</v>
      </c>
      <c r="F1000" s="1"/>
      <c r="G1000" s="1"/>
      <c r="H1000" s="1"/>
      <c r="I1000" s="1"/>
      <c r="Q1000" s="3"/>
      <c r="T1000" s="3"/>
      <c r="W1000" s="3"/>
      <c r="BD1000" s="3">
        <v>5.67</v>
      </c>
      <c r="BE1000" s="1" t="s">
        <v>852</v>
      </c>
      <c r="BG1000" s="3">
        <v>5.67</v>
      </c>
      <c r="BH1000" s="3">
        <v>5.67</v>
      </c>
      <c r="BI1000" s="1" t="s">
        <v>852</v>
      </c>
    </row>
    <row r="1001" spans="1:61">
      <c r="B1001" s="1" t="s">
        <v>584</v>
      </c>
      <c r="C1001" s="1" t="s">
        <v>877</v>
      </c>
      <c r="F1001" s="1"/>
      <c r="G1001" s="1"/>
      <c r="H1001" s="1"/>
      <c r="I1001" s="1"/>
      <c r="Q1001" s="3"/>
      <c r="T1001" s="3"/>
      <c r="W1001" s="3"/>
      <c r="BD1001" s="3">
        <v>14.08</v>
      </c>
      <c r="BE1001" s="1" t="s">
        <v>852</v>
      </c>
      <c r="BG1001" s="3">
        <v>14.08</v>
      </c>
      <c r="BH1001" s="3">
        <v>10.15</v>
      </c>
      <c r="BI1001" s="1" t="s">
        <v>852</v>
      </c>
    </row>
    <row r="1002" spans="1:61">
      <c r="B1002" s="1" t="s">
        <v>584</v>
      </c>
      <c r="C1002" s="1" t="s">
        <v>875</v>
      </c>
      <c r="F1002" s="1"/>
      <c r="G1002" s="1"/>
      <c r="H1002" s="1"/>
      <c r="I1002" s="1"/>
      <c r="Q1002" s="3"/>
      <c r="T1002" s="3"/>
      <c r="W1002" s="3"/>
      <c r="BH1002" s="3">
        <v>9.1300000000000008</v>
      </c>
      <c r="BI1002" s="1" t="s">
        <v>852</v>
      </c>
    </row>
    <row r="1003" spans="1:61">
      <c r="B1003" s="1" t="s">
        <v>584</v>
      </c>
      <c r="C1003" s="1" t="s">
        <v>874</v>
      </c>
      <c r="F1003" s="1"/>
      <c r="G1003" s="1"/>
      <c r="H1003" s="1"/>
      <c r="I1003" s="1"/>
      <c r="Q1003" s="3"/>
      <c r="T1003" s="3"/>
      <c r="W1003" s="3"/>
      <c r="BD1003" s="3">
        <v>4.54</v>
      </c>
      <c r="BE1003" s="1" t="s">
        <v>852</v>
      </c>
      <c r="BG1003" s="3">
        <v>4.54</v>
      </c>
      <c r="BH1003" s="3">
        <v>8.1</v>
      </c>
      <c r="BI1003" s="1" t="s">
        <v>852</v>
      </c>
    </row>
    <row r="1004" spans="1:61">
      <c r="B1004" s="1" t="s">
        <v>584</v>
      </c>
      <c r="C1004" s="1" t="s">
        <v>953</v>
      </c>
      <c r="F1004" s="1"/>
      <c r="G1004" s="1"/>
      <c r="H1004" s="1"/>
      <c r="I1004" s="1"/>
      <c r="Q1004" s="3"/>
      <c r="T1004" s="3"/>
      <c r="W1004" s="3"/>
      <c r="BD1004" s="3">
        <v>26.24</v>
      </c>
      <c r="BE1004" s="1" t="s">
        <v>852</v>
      </c>
      <c r="BG1004" s="3">
        <v>26.24</v>
      </c>
      <c r="BH1004" s="3">
        <v>24.2</v>
      </c>
      <c r="BI1004" s="1" t="s">
        <v>852</v>
      </c>
    </row>
    <row r="1005" spans="1:61">
      <c r="A1005" s="6">
        <v>11</v>
      </c>
      <c r="B1005" s="1" t="s">
        <v>584</v>
      </c>
      <c r="C1005" s="1" t="s">
        <v>57</v>
      </c>
      <c r="F1005" s="1" t="s">
        <v>285</v>
      </c>
      <c r="G1005" s="1"/>
      <c r="H1005" s="1" t="s">
        <v>285</v>
      </c>
      <c r="I1005" s="1"/>
      <c r="M1005" s="3">
        <v>320</v>
      </c>
      <c r="O1005" s="3">
        <v>320</v>
      </c>
      <c r="Q1005" s="3"/>
    </row>
    <row r="1006" spans="1:61">
      <c r="B1006" s="1" t="s">
        <v>584</v>
      </c>
      <c r="C1006" s="1" t="s">
        <v>287</v>
      </c>
      <c r="F1006" s="1"/>
      <c r="G1006" s="1"/>
      <c r="H1006" s="1"/>
      <c r="I1006" s="1"/>
      <c r="Q1006" s="3"/>
      <c r="R1006" s="3">
        <v>9.1739999999999995</v>
      </c>
      <c r="S1006" s="1" t="s">
        <v>718</v>
      </c>
      <c r="T1006" s="3"/>
      <c r="U1006" s="3">
        <v>9.4</v>
      </c>
      <c r="V1006" s="1" t="s">
        <v>206</v>
      </c>
      <c r="W1006" s="3">
        <f>U1006-R1006</f>
        <v>0.22600000000000087</v>
      </c>
      <c r="X1006" s="3">
        <f>183.31/11.3</f>
        <v>16.222123893805311</v>
      </c>
      <c r="Z1006" s="3">
        <f>X1006-U1006</f>
        <v>6.8221238938053101</v>
      </c>
      <c r="AA1006" s="3">
        <f>183.31/11.3</f>
        <v>16.222123893805311</v>
      </c>
      <c r="AC1006" s="3">
        <f>AA1006-X1006</f>
        <v>0</v>
      </c>
      <c r="AD1006" s="24">
        <f>190.09/11.3</f>
        <v>16.822123893805308</v>
      </c>
      <c r="AF1006" s="24">
        <f>AD1006-AA1006</f>
        <v>0.59999999999999787</v>
      </c>
      <c r="AG1006" s="3">
        <f>190/11.3</f>
        <v>16.814159292035399</v>
      </c>
      <c r="AI1006" s="3">
        <f>AG1006-AD1006</f>
        <v>-7.9646017699097627E-3</v>
      </c>
      <c r="AJ1006" s="3">
        <f>190/11.3</f>
        <v>16.814159292035399</v>
      </c>
      <c r="AL1006" s="3">
        <f>AJ1006-AG1006</f>
        <v>0</v>
      </c>
      <c r="AM1006" s="3">
        <v>11.61</v>
      </c>
      <c r="AO1006" s="3">
        <f>AM1006-AJ1006</f>
        <v>-5.2041592920353992</v>
      </c>
      <c r="AP1006" s="3">
        <v>8.58</v>
      </c>
      <c r="AS1006" s="3">
        <v>12.8</v>
      </c>
      <c r="AV1006" s="3">
        <v>10.7</v>
      </c>
      <c r="AY1006" s="3">
        <v>10.7</v>
      </c>
      <c r="AZ1006" s="3">
        <v>10.8</v>
      </c>
      <c r="BA1006" s="1" t="s">
        <v>852</v>
      </c>
      <c r="BC1006" s="3">
        <v>10.8</v>
      </c>
      <c r="BD1006" s="3">
        <v>6.73</v>
      </c>
      <c r="BE1006" s="1" t="s">
        <v>852</v>
      </c>
      <c r="BG1006" s="3">
        <v>6.73</v>
      </c>
      <c r="BH1006" s="3">
        <v>7.2</v>
      </c>
      <c r="BI1006" s="1" t="s">
        <v>852</v>
      </c>
    </row>
    <row r="1007" spans="1:61">
      <c r="A1007" s="6">
        <v>1</v>
      </c>
      <c r="B1007" s="103" t="s">
        <v>585</v>
      </c>
      <c r="C1007" s="1" t="s">
        <v>52</v>
      </c>
      <c r="D1007" s="2" t="s">
        <v>701</v>
      </c>
      <c r="E1007" s="2"/>
      <c r="F1007" s="8"/>
      <c r="G1007" s="8"/>
      <c r="H1007" s="8"/>
      <c r="I1007" s="8"/>
      <c r="AN1007" s="1" t="s">
        <v>285</v>
      </c>
      <c r="AW1007" s="1" t="s">
        <v>285</v>
      </c>
    </row>
    <row r="1008" spans="1:61">
      <c r="A1008" s="6">
        <v>3</v>
      </c>
      <c r="B1008" s="103" t="s">
        <v>585</v>
      </c>
      <c r="C1008" s="1" t="s">
        <v>54</v>
      </c>
      <c r="D1008" s="2"/>
      <c r="E1008" s="2"/>
      <c r="F1008" s="8"/>
      <c r="G1008" s="8"/>
      <c r="H1008" s="8"/>
      <c r="I1008" s="8"/>
      <c r="AN1008" s="1" t="s">
        <v>285</v>
      </c>
      <c r="AW1008" s="1" t="s">
        <v>285</v>
      </c>
    </row>
    <row r="1009" spans="1:60">
      <c r="A1009" s="6">
        <v>4</v>
      </c>
      <c r="B1009" s="103" t="s">
        <v>585</v>
      </c>
      <c r="C1009" s="1" t="s">
        <v>55</v>
      </c>
      <c r="D1009" s="2"/>
      <c r="E1009" s="2"/>
      <c r="F1009" s="8"/>
      <c r="G1009" s="8"/>
      <c r="H1009" s="8"/>
      <c r="I1009" s="8"/>
      <c r="AN1009" s="1" t="s">
        <v>285</v>
      </c>
      <c r="AW1009" s="1" t="s">
        <v>285</v>
      </c>
    </row>
    <row r="1010" spans="1:60">
      <c r="A1010" s="6">
        <v>5</v>
      </c>
      <c r="B1010" s="103" t="s">
        <v>585</v>
      </c>
      <c r="C1010" s="1" t="s">
        <v>56</v>
      </c>
      <c r="D1010" s="2"/>
      <c r="E1010" s="2"/>
      <c r="F1010" s="8"/>
      <c r="G1010" s="8"/>
      <c r="H1010" s="8"/>
      <c r="I1010" s="8"/>
      <c r="AN1010" s="1" t="s">
        <v>285</v>
      </c>
      <c r="AW1010" s="1" t="s">
        <v>285</v>
      </c>
    </row>
    <row r="1011" spans="1:60">
      <c r="A1011" s="6">
        <v>2</v>
      </c>
      <c r="B1011" s="103" t="s">
        <v>585</v>
      </c>
      <c r="C1011" s="1" t="s">
        <v>53</v>
      </c>
      <c r="D1011" s="2">
        <v>5</v>
      </c>
      <c r="E1011" s="2"/>
      <c r="F1011" s="8">
        <v>6.3</v>
      </c>
      <c r="G1011" s="8"/>
      <c r="H1011" s="8">
        <v>6.3</v>
      </c>
      <c r="I1011" s="8"/>
      <c r="M1011" s="3">
        <v>9</v>
      </c>
      <c r="O1011" s="3">
        <v>9</v>
      </c>
      <c r="Q1011" s="3">
        <f>O1011-H1011</f>
        <v>2.7</v>
      </c>
      <c r="R1011" s="3">
        <v>9</v>
      </c>
      <c r="T1011" s="3">
        <f>R1011-O1011</f>
        <v>0</v>
      </c>
      <c r="U1011" s="3">
        <v>6.5</v>
      </c>
      <c r="W1011" s="3">
        <f>U1011-R1011</f>
        <v>-2.5</v>
      </c>
      <c r="AN1011" s="1" t="s">
        <v>285</v>
      </c>
      <c r="AW1011" s="1" t="s">
        <v>285</v>
      </c>
    </row>
    <row r="1012" spans="1:60">
      <c r="A1012" s="6">
        <v>12</v>
      </c>
      <c r="B1012" s="103" t="s">
        <v>585</v>
      </c>
      <c r="C1012" s="1" t="s">
        <v>594</v>
      </c>
      <c r="D1012" s="2">
        <v>4.7</v>
      </c>
      <c r="E1012" s="2"/>
      <c r="F1012" s="8">
        <v>4</v>
      </c>
      <c r="G1012" s="8"/>
      <c r="H1012" s="8">
        <v>4</v>
      </c>
      <c r="I1012" s="8"/>
      <c r="M1012" s="3">
        <v>6</v>
      </c>
      <c r="O1012" s="3">
        <v>6</v>
      </c>
      <c r="Q1012" s="3">
        <f>O1012-H1012</f>
        <v>2</v>
      </c>
      <c r="R1012" s="3">
        <v>6</v>
      </c>
      <c r="T1012" s="3">
        <f>R1012-O1012</f>
        <v>0</v>
      </c>
      <c r="U1012" s="3">
        <v>6</v>
      </c>
      <c r="W1012" s="3">
        <f>U1012-R1012</f>
        <v>0</v>
      </c>
      <c r="X1012" s="3">
        <v>7</v>
      </c>
      <c r="Z1012" s="3">
        <f>X1012-U1012</f>
        <v>1</v>
      </c>
      <c r="AA1012" s="3">
        <v>8</v>
      </c>
      <c r="AD1012" s="24">
        <v>8</v>
      </c>
      <c r="AG1012" s="3">
        <v>8</v>
      </c>
      <c r="AI1012" s="3">
        <f>AG1012-AD1012</f>
        <v>0</v>
      </c>
      <c r="AJ1012" s="3">
        <v>8</v>
      </c>
      <c r="AL1012" s="3">
        <f>AJ1012-AG1012</f>
        <v>0</v>
      </c>
      <c r="AN1012" s="1" t="s">
        <v>285</v>
      </c>
      <c r="AW1012" s="1" t="s">
        <v>285</v>
      </c>
      <c r="AY1012" s="3">
        <v>8</v>
      </c>
      <c r="AZ1012" s="3">
        <v>8</v>
      </c>
      <c r="BC1012" s="3">
        <v>8</v>
      </c>
      <c r="BD1012" s="3">
        <v>8</v>
      </c>
      <c r="BG1012" s="3">
        <v>8</v>
      </c>
      <c r="BH1012" s="3">
        <v>8</v>
      </c>
    </row>
    <row r="1013" spans="1:60">
      <c r="A1013" s="6">
        <v>14</v>
      </c>
      <c r="B1013" s="103" t="s">
        <v>585</v>
      </c>
      <c r="C1013" s="1" t="s">
        <v>58</v>
      </c>
      <c r="D1013" s="2">
        <v>7</v>
      </c>
      <c r="E1013" s="2"/>
      <c r="F1013" s="8">
        <v>5.5</v>
      </c>
      <c r="G1013" s="8"/>
      <c r="H1013" s="8">
        <v>5.5</v>
      </c>
      <c r="I1013" s="8"/>
      <c r="M1013" s="3">
        <v>5.5</v>
      </c>
      <c r="O1013" s="3">
        <v>5.5</v>
      </c>
      <c r="Q1013" s="3">
        <f>O1013-H1013</f>
        <v>0</v>
      </c>
      <c r="R1013" s="3">
        <v>5.5</v>
      </c>
      <c r="T1013" s="3">
        <f>R1013-O1013</f>
        <v>0</v>
      </c>
      <c r="U1013" s="3">
        <v>5</v>
      </c>
      <c r="W1013" s="3">
        <f>U1013-R1013</f>
        <v>-0.5</v>
      </c>
      <c r="X1013" s="3">
        <v>7</v>
      </c>
      <c r="Z1013" s="3">
        <f>X1013-U1013</f>
        <v>2</v>
      </c>
      <c r="AA1013" s="3">
        <v>12</v>
      </c>
      <c r="AD1013" s="24">
        <v>12.6</v>
      </c>
      <c r="AG1013" s="3">
        <v>12.5</v>
      </c>
      <c r="AI1013" s="3">
        <f>AG1013-AD1013</f>
        <v>-9.9999999999999645E-2</v>
      </c>
      <c r="AJ1013" s="3">
        <v>12</v>
      </c>
      <c r="AK1013" s="1" t="s">
        <v>828</v>
      </c>
      <c r="AL1013" s="3">
        <f>AJ1013-AG1013</f>
        <v>-0.5</v>
      </c>
      <c r="AN1013" s="1" t="s">
        <v>285</v>
      </c>
      <c r="AP1013" s="3">
        <v>8</v>
      </c>
      <c r="AS1013" s="3">
        <v>8</v>
      </c>
      <c r="AW1013" s="1" t="s">
        <v>285</v>
      </c>
      <c r="AY1013" s="3">
        <v>11</v>
      </c>
      <c r="AZ1013" s="3">
        <v>11</v>
      </c>
      <c r="BC1013" s="3">
        <v>11</v>
      </c>
      <c r="BD1013" s="3">
        <v>11</v>
      </c>
      <c r="BG1013" s="3">
        <v>11</v>
      </c>
      <c r="BH1013" s="3">
        <v>11</v>
      </c>
    </row>
    <row r="1014" spans="1:60">
      <c r="B1014" s="103" t="s">
        <v>585</v>
      </c>
      <c r="C1014" s="1" t="s">
        <v>289</v>
      </c>
      <c r="D1014" s="2"/>
      <c r="E1014" s="2"/>
      <c r="F1014" s="8"/>
      <c r="G1014" s="8"/>
      <c r="H1014" s="8"/>
      <c r="I1014" s="8"/>
      <c r="Q1014" s="3"/>
      <c r="T1014" s="3"/>
      <c r="U1014" s="3">
        <v>4</v>
      </c>
      <c r="X1014" s="3">
        <v>3.5</v>
      </c>
      <c r="Z1014" s="3">
        <f>X1014-U1014</f>
        <v>-0.5</v>
      </c>
      <c r="AA1014" s="3">
        <v>2</v>
      </c>
      <c r="AD1014" s="24">
        <v>2</v>
      </c>
      <c r="AG1014" s="3">
        <f>2.5*1000/300</f>
        <v>8.3333333333333339</v>
      </c>
      <c r="AH1014" s="1" t="s">
        <v>801</v>
      </c>
      <c r="AI1014" s="3">
        <f>AG1014-AD1014</f>
        <v>6.3333333333333339</v>
      </c>
      <c r="AJ1014" s="3">
        <f>2.8/100*300</f>
        <v>8.3999999999999986</v>
      </c>
      <c r="AK1014" s="1" t="s">
        <v>829</v>
      </c>
      <c r="AL1014" s="3">
        <f>AJ1014-AG1014</f>
        <v>6.6666666666664653E-2</v>
      </c>
      <c r="AN1014" s="1" t="s">
        <v>285</v>
      </c>
      <c r="AP1014" s="3">
        <v>5</v>
      </c>
      <c r="AS1014" s="3">
        <v>5</v>
      </c>
      <c r="AW1014" s="1" t="s">
        <v>285</v>
      </c>
      <c r="AY1014" s="3">
        <v>8</v>
      </c>
      <c r="AZ1014" s="3">
        <v>8</v>
      </c>
      <c r="BC1014" s="3">
        <v>8</v>
      </c>
      <c r="BD1014" s="3">
        <v>8</v>
      </c>
      <c r="BG1014" s="3">
        <v>8</v>
      </c>
      <c r="BH1014" s="3">
        <v>8</v>
      </c>
    </row>
    <row r="1015" spans="1:60">
      <c r="B1015" s="103" t="s">
        <v>585</v>
      </c>
      <c r="C1015" s="1" t="s">
        <v>64</v>
      </c>
      <c r="D1015" s="2"/>
      <c r="E1015" s="2"/>
      <c r="F1015" s="8"/>
      <c r="G1015" s="8"/>
      <c r="H1015" s="8"/>
      <c r="I1015" s="8"/>
      <c r="Q1015" s="3"/>
      <c r="T1015" s="3"/>
      <c r="U1015" s="3">
        <v>5.5</v>
      </c>
      <c r="X1015" s="3">
        <v>5.5</v>
      </c>
      <c r="Z1015" s="3">
        <f>X1015-U1015</f>
        <v>0</v>
      </c>
      <c r="AA1015" s="3">
        <v>6.5</v>
      </c>
      <c r="AD1015" s="24">
        <v>7.2</v>
      </c>
      <c r="AG1015" s="3">
        <v>11</v>
      </c>
      <c r="AI1015" s="3">
        <f>AG1015-AD1015</f>
        <v>3.8</v>
      </c>
      <c r="AJ1015" s="3">
        <v>13</v>
      </c>
      <c r="AL1015" s="3">
        <f>AJ1015-AG1015</f>
        <v>2</v>
      </c>
      <c r="AN1015" s="1" t="s">
        <v>285</v>
      </c>
      <c r="AP1015" s="3">
        <v>7.5</v>
      </c>
      <c r="AS1015" s="3">
        <v>8</v>
      </c>
      <c r="AW1015" s="1" t="s">
        <v>285</v>
      </c>
      <c r="AY1015" s="3">
        <v>10</v>
      </c>
      <c r="AZ1015" s="3">
        <v>10</v>
      </c>
      <c r="BC1015" s="3">
        <v>10</v>
      </c>
      <c r="BD1015" s="3">
        <v>10</v>
      </c>
      <c r="BG1015" s="3">
        <v>10</v>
      </c>
      <c r="BH1015" s="3">
        <v>10</v>
      </c>
    </row>
    <row r="1016" spans="1:60">
      <c r="B1016" s="103" t="s">
        <v>585</v>
      </c>
      <c r="C1016" s="1" t="s">
        <v>855</v>
      </c>
      <c r="D1016" s="2"/>
      <c r="E1016" s="2"/>
      <c r="F1016" s="8"/>
      <c r="G1016" s="8"/>
      <c r="H1016" s="8"/>
      <c r="I1016" s="8"/>
      <c r="Q1016" s="3"/>
      <c r="T1016" s="3"/>
      <c r="AI1016" s="3"/>
      <c r="AL1016" s="3"/>
      <c r="AY1016" s="3">
        <v>11</v>
      </c>
      <c r="AZ1016" s="3">
        <v>11</v>
      </c>
      <c r="BC1016" s="3">
        <v>11</v>
      </c>
      <c r="BD1016" s="3">
        <v>11</v>
      </c>
      <c r="BG1016" s="3">
        <v>11</v>
      </c>
      <c r="BH1016" s="3">
        <v>11</v>
      </c>
    </row>
    <row r="1017" spans="1:60">
      <c r="B1017" s="103" t="s">
        <v>585</v>
      </c>
      <c r="C1017" s="1" t="s">
        <v>286</v>
      </c>
      <c r="D1017" s="2"/>
      <c r="E1017" s="2"/>
      <c r="F1017" s="8"/>
      <c r="G1017" s="8"/>
      <c r="H1017" s="8"/>
      <c r="I1017" s="8"/>
      <c r="Q1017" s="3"/>
      <c r="T1017" s="3"/>
      <c r="W1017" s="3"/>
      <c r="AG1017" s="3">
        <v>11.5</v>
      </c>
      <c r="AJ1017" s="3">
        <v>13</v>
      </c>
      <c r="AL1017" s="3">
        <f>AJ1017-AG1017</f>
        <v>1.5</v>
      </c>
      <c r="AN1017" s="1" t="s">
        <v>285</v>
      </c>
      <c r="AP1017" s="3">
        <v>9</v>
      </c>
      <c r="AS1017" s="3">
        <v>10</v>
      </c>
      <c r="AW1017" s="1" t="s">
        <v>285</v>
      </c>
    </row>
    <row r="1018" spans="1:60">
      <c r="B1018" s="103" t="s">
        <v>585</v>
      </c>
      <c r="C1018" s="1" t="s">
        <v>288</v>
      </c>
      <c r="D1018" s="2"/>
      <c r="E1018" s="2"/>
      <c r="F1018" s="8"/>
      <c r="G1018" s="8"/>
      <c r="H1018" s="8"/>
      <c r="I1018" s="8"/>
      <c r="Q1018" s="3"/>
      <c r="T1018" s="3"/>
      <c r="W1018" s="3"/>
      <c r="AP1018" s="3">
        <v>8.5</v>
      </c>
      <c r="AS1018" s="3">
        <v>8.5</v>
      </c>
      <c r="AW1018" s="1" t="s">
        <v>285</v>
      </c>
      <c r="AY1018" s="3">
        <v>13</v>
      </c>
      <c r="AZ1018" s="3">
        <v>13</v>
      </c>
      <c r="BC1018" s="3">
        <v>13</v>
      </c>
      <c r="BD1018" s="3">
        <v>13</v>
      </c>
      <c r="BG1018" s="3">
        <v>13</v>
      </c>
      <c r="BH1018" s="3">
        <v>13</v>
      </c>
    </row>
    <row r="1019" spans="1:60" ht="9.6" customHeight="1">
      <c r="A1019" s="6">
        <v>11</v>
      </c>
      <c r="B1019" s="103" t="s">
        <v>585</v>
      </c>
      <c r="C1019" s="1" t="s">
        <v>57</v>
      </c>
      <c r="D1019" s="2">
        <v>7.8</v>
      </c>
      <c r="E1019" s="2"/>
      <c r="F1019" s="8">
        <v>7</v>
      </c>
      <c r="G1019" s="8"/>
      <c r="H1019" s="8">
        <v>7</v>
      </c>
      <c r="I1019" s="8"/>
      <c r="M1019" s="3">
        <v>11</v>
      </c>
      <c r="O1019" s="3">
        <v>11</v>
      </c>
      <c r="Q1019" s="3">
        <f>O1019-H1019</f>
        <v>4</v>
      </c>
      <c r="R1019" s="3">
        <v>11</v>
      </c>
      <c r="T1019" s="3">
        <f>R1019-O1019</f>
        <v>0</v>
      </c>
      <c r="U1019" s="3">
        <v>14</v>
      </c>
      <c r="W1019" s="3">
        <f>U1019-R1019</f>
        <v>3</v>
      </c>
      <c r="X1019" s="3">
        <v>14.5</v>
      </c>
      <c r="Z1019" s="3">
        <f>X1019-U1019</f>
        <v>0.5</v>
      </c>
      <c r="AN1019" s="1" t="s">
        <v>285</v>
      </c>
      <c r="AW1019" s="1" t="s">
        <v>285</v>
      </c>
    </row>
    <row r="1020" spans="1:60">
      <c r="A1020" s="6">
        <v>1</v>
      </c>
      <c r="B1020" s="103" t="s">
        <v>356</v>
      </c>
      <c r="C1020" s="1" t="s">
        <v>52</v>
      </c>
      <c r="D1020" s="2"/>
      <c r="E1020" s="2"/>
      <c r="F1020" s="8"/>
      <c r="G1020" s="8"/>
      <c r="H1020" s="8"/>
      <c r="I1020" s="8"/>
      <c r="M1020" s="3">
        <v>9.3800000000000008</v>
      </c>
      <c r="O1020" s="3">
        <v>9.3800000000000008</v>
      </c>
      <c r="Q1020" s="3"/>
      <c r="AE1020" s="1" t="s">
        <v>285</v>
      </c>
      <c r="AK1020" s="1" t="s">
        <v>285</v>
      </c>
      <c r="AN1020" s="1" t="s">
        <v>285</v>
      </c>
      <c r="AQ1020" s="1" t="s">
        <v>285</v>
      </c>
      <c r="AW1020" s="1" t="s">
        <v>285</v>
      </c>
    </row>
    <row r="1021" spans="1:60">
      <c r="A1021" s="6">
        <v>3</v>
      </c>
      <c r="B1021" s="103" t="s">
        <v>356</v>
      </c>
      <c r="C1021" s="1" t="s">
        <v>54</v>
      </c>
      <c r="D1021" s="2"/>
      <c r="E1021" s="2"/>
      <c r="F1021" s="8"/>
      <c r="G1021" s="8"/>
      <c r="H1021" s="8"/>
      <c r="I1021" s="8"/>
      <c r="Q1021" s="3"/>
      <c r="AE1021" s="1" t="s">
        <v>285</v>
      </c>
      <c r="AK1021" s="1" t="s">
        <v>285</v>
      </c>
      <c r="AN1021" s="1" t="s">
        <v>285</v>
      </c>
      <c r="AQ1021" s="1" t="s">
        <v>285</v>
      </c>
      <c r="AW1021" s="1" t="s">
        <v>285</v>
      </c>
    </row>
    <row r="1022" spans="1:60">
      <c r="A1022" s="6">
        <v>4</v>
      </c>
      <c r="B1022" s="103" t="s">
        <v>356</v>
      </c>
      <c r="C1022" s="1" t="s">
        <v>55</v>
      </c>
      <c r="D1022" s="2"/>
      <c r="E1022" s="2"/>
      <c r="F1022" s="8"/>
      <c r="G1022" s="8"/>
      <c r="H1022" s="8"/>
      <c r="I1022" s="8"/>
      <c r="Q1022" s="3"/>
      <c r="AE1022" s="1" t="s">
        <v>285</v>
      </c>
      <c r="AK1022" s="1" t="s">
        <v>285</v>
      </c>
      <c r="AN1022" s="1" t="s">
        <v>285</v>
      </c>
      <c r="AQ1022" s="1" t="s">
        <v>285</v>
      </c>
      <c r="AW1022" s="1" t="s">
        <v>285</v>
      </c>
    </row>
    <row r="1023" spans="1:60">
      <c r="A1023" s="6">
        <v>5</v>
      </c>
      <c r="B1023" s="103" t="s">
        <v>356</v>
      </c>
      <c r="C1023" s="1" t="s">
        <v>56</v>
      </c>
      <c r="D1023" s="2"/>
      <c r="E1023" s="2"/>
      <c r="F1023" s="8"/>
      <c r="G1023" s="8"/>
      <c r="H1023" s="8"/>
      <c r="I1023" s="8"/>
      <c r="Q1023" s="3"/>
      <c r="AE1023" s="1" t="s">
        <v>285</v>
      </c>
      <c r="AK1023" s="1" t="s">
        <v>285</v>
      </c>
      <c r="AN1023" s="1" t="s">
        <v>285</v>
      </c>
      <c r="AQ1023" s="1" t="s">
        <v>285</v>
      </c>
      <c r="AW1023" s="1" t="s">
        <v>285</v>
      </c>
    </row>
    <row r="1024" spans="1:60">
      <c r="A1024" s="6">
        <v>2</v>
      </c>
      <c r="B1024" s="103" t="s">
        <v>356</v>
      </c>
      <c r="C1024" s="1" t="s">
        <v>53</v>
      </c>
      <c r="D1024" s="2"/>
      <c r="E1024" s="2"/>
      <c r="F1024" s="8"/>
      <c r="G1024" s="8"/>
      <c r="H1024" s="8"/>
      <c r="I1024" s="8"/>
      <c r="M1024" s="3">
        <v>8</v>
      </c>
      <c r="O1024" s="3">
        <v>8</v>
      </c>
      <c r="Q1024" s="3"/>
      <c r="R1024" s="3">
        <v>12</v>
      </c>
      <c r="T1024" s="3">
        <f>R1024-O1024</f>
        <v>4</v>
      </c>
      <c r="AE1024" s="1" t="s">
        <v>285</v>
      </c>
      <c r="AK1024" s="1" t="s">
        <v>285</v>
      </c>
      <c r="AN1024" s="1" t="s">
        <v>285</v>
      </c>
      <c r="AQ1024" s="1" t="s">
        <v>285</v>
      </c>
      <c r="AW1024" s="1" t="s">
        <v>285</v>
      </c>
    </row>
    <row r="1025" spans="1:60">
      <c r="A1025" s="6">
        <v>12</v>
      </c>
      <c r="B1025" s="103" t="s">
        <v>356</v>
      </c>
      <c r="C1025" s="1" t="s">
        <v>594</v>
      </c>
      <c r="D1025" s="2"/>
      <c r="E1025" s="2"/>
      <c r="F1025" s="8"/>
      <c r="G1025" s="8"/>
      <c r="H1025" s="8"/>
      <c r="I1025" s="8"/>
      <c r="M1025" s="3">
        <v>5.46</v>
      </c>
      <c r="O1025" s="3">
        <v>5.46</v>
      </c>
      <c r="Q1025" s="3"/>
      <c r="R1025" s="3">
        <v>8</v>
      </c>
      <c r="T1025" s="3">
        <f>R1025-O1025</f>
        <v>2.54</v>
      </c>
      <c r="U1025" s="3">
        <v>10</v>
      </c>
      <c r="X1025" s="3">
        <v>20</v>
      </c>
      <c r="Z1025" s="3">
        <f>X1025-U1025</f>
        <v>10</v>
      </c>
      <c r="AA1025" s="3">
        <v>8</v>
      </c>
      <c r="AC1025" s="3">
        <f>AA1025-X1025</f>
        <v>-12</v>
      </c>
      <c r="AE1025" s="1" t="s">
        <v>285</v>
      </c>
      <c r="AG1025" s="3">
        <v>10</v>
      </c>
      <c r="AK1025" s="1" t="s">
        <v>285</v>
      </c>
      <c r="AN1025" s="1" t="s">
        <v>285</v>
      </c>
      <c r="AQ1025" s="1" t="s">
        <v>285</v>
      </c>
      <c r="AS1025" s="3">
        <v>15</v>
      </c>
      <c r="AW1025" s="1" t="s">
        <v>285</v>
      </c>
      <c r="AY1025" s="3">
        <v>8</v>
      </c>
      <c r="AZ1025" s="3">
        <v>8</v>
      </c>
      <c r="BC1025" s="3">
        <v>8</v>
      </c>
      <c r="BD1025" s="3">
        <v>8</v>
      </c>
      <c r="BG1025" s="3">
        <v>10</v>
      </c>
      <c r="BH1025" s="3">
        <v>8</v>
      </c>
    </row>
    <row r="1026" spans="1:60">
      <c r="A1026" s="6">
        <v>14</v>
      </c>
      <c r="B1026" s="103" t="s">
        <v>356</v>
      </c>
      <c r="C1026" s="1" t="s">
        <v>58</v>
      </c>
      <c r="D1026" s="2"/>
      <c r="E1026" s="2"/>
      <c r="F1026" s="8"/>
      <c r="G1026" s="8"/>
      <c r="H1026" s="8"/>
      <c r="I1026" s="8"/>
      <c r="Q1026" s="3"/>
      <c r="U1026" s="3">
        <v>22</v>
      </c>
      <c r="AA1026" s="3">
        <v>20</v>
      </c>
      <c r="AE1026" s="1" t="s">
        <v>285</v>
      </c>
      <c r="AK1026" s="1" t="s">
        <v>285</v>
      </c>
      <c r="AN1026" s="1" t="s">
        <v>285</v>
      </c>
      <c r="AQ1026" s="1" t="s">
        <v>285</v>
      </c>
      <c r="AS1026" s="3">
        <v>15</v>
      </c>
      <c r="AW1026" s="1" t="s">
        <v>285</v>
      </c>
      <c r="AY1026" s="3">
        <v>11</v>
      </c>
      <c r="AZ1026" s="3">
        <v>11</v>
      </c>
      <c r="BC1026" s="3">
        <v>11</v>
      </c>
      <c r="BD1026" s="3">
        <v>11</v>
      </c>
      <c r="BG1026" s="3">
        <v>13</v>
      </c>
      <c r="BH1026" s="3">
        <v>11</v>
      </c>
    </row>
    <row r="1027" spans="1:60">
      <c r="B1027" s="103" t="s">
        <v>356</v>
      </c>
      <c r="C1027" s="1" t="s">
        <v>289</v>
      </c>
      <c r="D1027" s="2"/>
      <c r="E1027" s="2"/>
      <c r="F1027" s="8"/>
      <c r="G1027" s="8"/>
      <c r="H1027" s="8"/>
      <c r="I1027" s="8"/>
      <c r="Q1027" s="3"/>
      <c r="AY1027" s="3">
        <v>8</v>
      </c>
      <c r="AZ1027" s="3">
        <v>8</v>
      </c>
      <c r="BC1027" s="3">
        <v>8</v>
      </c>
      <c r="BD1027" s="3">
        <v>8</v>
      </c>
      <c r="BG1027" s="3">
        <v>10</v>
      </c>
      <c r="BH1027" s="3">
        <v>8</v>
      </c>
    </row>
    <row r="1028" spans="1:60">
      <c r="B1028" s="103" t="s">
        <v>356</v>
      </c>
      <c r="C1028" s="1" t="s">
        <v>64</v>
      </c>
      <c r="D1028" s="2"/>
      <c r="E1028" s="2"/>
      <c r="F1028" s="8"/>
      <c r="G1028" s="8"/>
      <c r="H1028" s="8"/>
      <c r="I1028" s="8"/>
      <c r="Q1028" s="3"/>
      <c r="U1028" s="3">
        <v>17</v>
      </c>
      <c r="AA1028" s="3">
        <v>20</v>
      </c>
      <c r="AE1028" s="1" t="s">
        <v>285</v>
      </c>
      <c r="AG1028" s="3">
        <v>40</v>
      </c>
      <c r="AK1028" s="1" t="s">
        <v>285</v>
      </c>
      <c r="AN1028" s="1" t="s">
        <v>285</v>
      </c>
      <c r="AQ1028" s="1" t="s">
        <v>285</v>
      </c>
      <c r="AW1028" s="1" t="s">
        <v>285</v>
      </c>
      <c r="AY1028" s="3">
        <v>10</v>
      </c>
      <c r="AZ1028" s="3">
        <v>10</v>
      </c>
      <c r="BC1028" s="3">
        <v>10</v>
      </c>
      <c r="BD1028" s="3">
        <v>10</v>
      </c>
      <c r="BG1028" s="3">
        <v>14</v>
      </c>
      <c r="BH1028" s="3">
        <v>10</v>
      </c>
    </row>
    <row r="1029" spans="1:60">
      <c r="B1029" s="103" t="s">
        <v>356</v>
      </c>
      <c r="C1029" s="1" t="s">
        <v>855</v>
      </c>
      <c r="D1029" s="2"/>
      <c r="E1029" s="2"/>
      <c r="F1029" s="8"/>
      <c r="G1029" s="8"/>
      <c r="H1029" s="8"/>
      <c r="I1029" s="8"/>
      <c r="Q1029" s="3"/>
      <c r="AY1029" s="3">
        <v>11</v>
      </c>
      <c r="AZ1029" s="3">
        <v>11</v>
      </c>
      <c r="BC1029" s="3">
        <v>11</v>
      </c>
      <c r="BD1029" s="3">
        <v>11</v>
      </c>
      <c r="BG1029" s="3">
        <v>15</v>
      </c>
      <c r="BH1029" s="3">
        <v>11</v>
      </c>
    </row>
    <row r="1030" spans="1:60">
      <c r="B1030" s="103" t="s">
        <v>356</v>
      </c>
      <c r="C1030" s="1" t="s">
        <v>286</v>
      </c>
      <c r="D1030" s="2"/>
      <c r="E1030" s="2"/>
      <c r="F1030" s="8"/>
      <c r="G1030" s="8"/>
      <c r="H1030" s="8"/>
      <c r="I1030" s="8"/>
      <c r="Q1030" s="3"/>
      <c r="U1030" s="3">
        <v>16</v>
      </c>
      <c r="AA1030" s="3">
        <v>17</v>
      </c>
      <c r="AE1030" s="1" t="s">
        <v>285</v>
      </c>
      <c r="AG1030" s="3">
        <v>40</v>
      </c>
      <c r="AK1030" s="1" t="s">
        <v>285</v>
      </c>
      <c r="AN1030" s="1" t="s">
        <v>285</v>
      </c>
      <c r="AQ1030" s="1" t="s">
        <v>285</v>
      </c>
      <c r="AS1030" s="3">
        <v>17</v>
      </c>
      <c r="AW1030" s="1" t="s">
        <v>285</v>
      </c>
    </row>
    <row r="1031" spans="1:60">
      <c r="B1031" s="103" t="s">
        <v>356</v>
      </c>
      <c r="C1031" s="1" t="s">
        <v>288</v>
      </c>
      <c r="D1031" s="2"/>
      <c r="E1031" s="2"/>
      <c r="F1031" s="8"/>
      <c r="G1031" s="8"/>
      <c r="H1031" s="8"/>
      <c r="I1031" s="8"/>
      <c r="Q1031" s="3"/>
      <c r="U1031" s="3">
        <v>16</v>
      </c>
      <c r="AA1031" s="3">
        <v>16</v>
      </c>
      <c r="AE1031" s="1" t="s">
        <v>285</v>
      </c>
      <c r="AG1031" s="3">
        <v>40</v>
      </c>
      <c r="AK1031" s="1" t="s">
        <v>285</v>
      </c>
      <c r="AN1031" s="1" t="s">
        <v>285</v>
      </c>
      <c r="AQ1031" s="1" t="s">
        <v>285</v>
      </c>
      <c r="AS1031" s="3">
        <v>16</v>
      </c>
      <c r="AW1031" s="1" t="s">
        <v>285</v>
      </c>
      <c r="AY1031" s="3">
        <v>13</v>
      </c>
      <c r="AZ1031" s="3">
        <v>13</v>
      </c>
      <c r="BC1031" s="3">
        <v>13</v>
      </c>
      <c r="BD1031" s="3">
        <v>13</v>
      </c>
      <c r="BG1031" s="3">
        <v>15</v>
      </c>
      <c r="BH1031" s="3">
        <v>13</v>
      </c>
    </row>
    <row r="1032" spans="1:60">
      <c r="A1032" s="6">
        <v>11</v>
      </c>
      <c r="B1032" s="103" t="s">
        <v>356</v>
      </c>
      <c r="C1032" s="1" t="s">
        <v>57</v>
      </c>
      <c r="D1032" s="2"/>
      <c r="E1032" s="2"/>
      <c r="F1032" s="8"/>
      <c r="G1032" s="8"/>
      <c r="H1032" s="8"/>
      <c r="I1032" s="8"/>
      <c r="M1032" s="3">
        <v>18.690000000000001</v>
      </c>
      <c r="O1032" s="3">
        <v>18.690000000000001</v>
      </c>
      <c r="Q1032" s="3"/>
      <c r="X1032" s="3">
        <v>25</v>
      </c>
      <c r="AE1032" s="1" t="s">
        <v>285</v>
      </c>
      <c r="AK1032" s="1" t="s">
        <v>285</v>
      </c>
      <c r="AN1032" s="1" t="s">
        <v>285</v>
      </c>
      <c r="AQ1032" s="1" t="s">
        <v>285</v>
      </c>
      <c r="AW1032" s="1" t="s">
        <v>285</v>
      </c>
    </row>
    <row r="1033" spans="1:60" ht="9.6" customHeight="1">
      <c r="B1033" s="103" t="s">
        <v>356</v>
      </c>
      <c r="C1033" s="1" t="s">
        <v>287</v>
      </c>
      <c r="D1033" s="2"/>
      <c r="E1033" s="2"/>
      <c r="F1033" s="8"/>
      <c r="G1033" s="8"/>
      <c r="H1033" s="8"/>
      <c r="I1033" s="8"/>
      <c r="Q1033" s="3"/>
      <c r="AS1033" s="3">
        <v>16</v>
      </c>
      <c r="AW1033" s="1" t="s">
        <v>285</v>
      </c>
    </row>
    <row r="1034" spans="1:60">
      <c r="A1034" s="6">
        <v>1</v>
      </c>
      <c r="B1034" s="103" t="s">
        <v>586</v>
      </c>
      <c r="C1034" s="1" t="s">
        <v>52</v>
      </c>
      <c r="D1034" s="2">
        <v>6.47</v>
      </c>
      <c r="E1034" s="2"/>
      <c r="F1034" s="8">
        <v>1.65</v>
      </c>
      <c r="G1034" s="8"/>
      <c r="H1034" s="8">
        <v>1.65</v>
      </c>
      <c r="I1034" s="8">
        <f>H1034-D1034</f>
        <v>-4.82</v>
      </c>
      <c r="K1034" s="3"/>
      <c r="AE1034" s="1" t="s">
        <v>285</v>
      </c>
      <c r="AW1034" s="1" t="s">
        <v>285</v>
      </c>
    </row>
    <row r="1035" spans="1:60">
      <c r="A1035" s="6">
        <v>3</v>
      </c>
      <c r="B1035" s="103" t="s">
        <v>586</v>
      </c>
      <c r="C1035" s="1" t="s">
        <v>54</v>
      </c>
      <c r="D1035" s="2" t="s">
        <v>511</v>
      </c>
      <c r="E1035" s="2"/>
      <c r="F1035" s="8">
        <v>0</v>
      </c>
      <c r="G1035" s="8"/>
      <c r="H1035" s="8">
        <v>0</v>
      </c>
      <c r="I1035" s="8"/>
      <c r="AE1035" s="1" t="s">
        <v>285</v>
      </c>
      <c r="AW1035" s="1" t="s">
        <v>285</v>
      </c>
    </row>
    <row r="1036" spans="1:60">
      <c r="A1036" s="6">
        <v>4</v>
      </c>
      <c r="B1036" s="103" t="s">
        <v>586</v>
      </c>
      <c r="C1036" s="1" t="s">
        <v>55</v>
      </c>
      <c r="D1036" s="2" t="s">
        <v>511</v>
      </c>
      <c r="E1036" s="2"/>
      <c r="F1036" s="8">
        <v>0</v>
      </c>
      <c r="G1036" s="8"/>
      <c r="H1036" s="8">
        <v>0</v>
      </c>
      <c r="I1036" s="8"/>
      <c r="AE1036" s="1" t="s">
        <v>285</v>
      </c>
      <c r="AW1036" s="1" t="s">
        <v>285</v>
      </c>
    </row>
    <row r="1037" spans="1:60">
      <c r="A1037" s="6">
        <v>5</v>
      </c>
      <c r="B1037" s="103" t="s">
        <v>586</v>
      </c>
      <c r="C1037" s="1" t="s">
        <v>56</v>
      </c>
      <c r="D1037" s="2" t="s">
        <v>511</v>
      </c>
      <c r="E1037" s="2"/>
      <c r="F1037" s="8">
        <v>0</v>
      </c>
      <c r="G1037" s="8"/>
      <c r="H1037" s="8">
        <v>0</v>
      </c>
      <c r="I1037" s="8"/>
      <c r="AE1037" s="1" t="s">
        <v>285</v>
      </c>
      <c r="AW1037" s="1" t="s">
        <v>285</v>
      </c>
    </row>
    <row r="1038" spans="1:60">
      <c r="A1038" s="6">
        <v>2</v>
      </c>
      <c r="B1038" s="103" t="s">
        <v>586</v>
      </c>
      <c r="C1038" s="1" t="s">
        <v>53</v>
      </c>
      <c r="D1038" s="2">
        <v>8.6300000000000008</v>
      </c>
      <c r="E1038" s="2"/>
      <c r="F1038" s="8">
        <v>1.95</v>
      </c>
      <c r="G1038" s="8"/>
      <c r="H1038" s="8">
        <v>1.95</v>
      </c>
      <c r="I1038" s="10">
        <f>H1038-D1038</f>
        <v>-6.6800000000000006</v>
      </c>
      <c r="K1038" s="3"/>
      <c r="M1038" s="3">
        <v>11.41</v>
      </c>
      <c r="O1038" s="3">
        <v>11.41</v>
      </c>
      <c r="Q1038" s="3">
        <f>O1038-H1038</f>
        <v>9.4600000000000009</v>
      </c>
      <c r="R1038" s="3">
        <v>10.88</v>
      </c>
      <c r="T1038" s="3">
        <f>R1038-O1038</f>
        <v>-0.52999999999999936</v>
      </c>
      <c r="U1038" s="3">
        <v>12.9</v>
      </c>
      <c r="W1038" s="3">
        <f>U1038-R1038</f>
        <v>2.0199999999999996</v>
      </c>
      <c r="X1038" s="3">
        <v>11.03</v>
      </c>
      <c r="Z1038" s="3">
        <f>X1038-U1038</f>
        <v>-1.870000000000001</v>
      </c>
      <c r="AE1038" s="1" t="s">
        <v>285</v>
      </c>
      <c r="AW1038" s="1" t="s">
        <v>285</v>
      </c>
    </row>
    <row r="1039" spans="1:60">
      <c r="B1039" s="103" t="s">
        <v>586</v>
      </c>
      <c r="C1039" s="1" t="s">
        <v>595</v>
      </c>
      <c r="D1039" s="2"/>
      <c r="E1039" s="2"/>
      <c r="F1039" s="8"/>
      <c r="G1039" s="8"/>
      <c r="H1039" s="8"/>
      <c r="I1039" s="8"/>
      <c r="K1039" s="3"/>
      <c r="Q1039" s="3"/>
      <c r="U1039" s="3">
        <v>1.5</v>
      </c>
      <c r="X1039" s="3">
        <v>10.29</v>
      </c>
      <c r="Z1039" s="3">
        <f>X1039-U1039</f>
        <v>8.7899999999999991</v>
      </c>
      <c r="AE1039" s="1" t="s">
        <v>285</v>
      </c>
      <c r="AP1039" s="3">
        <v>17.72</v>
      </c>
      <c r="AS1039" s="3">
        <v>14.7</v>
      </c>
      <c r="AW1039" s="1" t="s">
        <v>285</v>
      </c>
    </row>
    <row r="1040" spans="1:60" ht="9.6" customHeight="1">
      <c r="B1040" s="103" t="s">
        <v>586</v>
      </c>
      <c r="C1040" s="1" t="s">
        <v>700</v>
      </c>
      <c r="D1040" s="2"/>
      <c r="E1040" s="2"/>
      <c r="F1040" s="8"/>
      <c r="G1040" s="8"/>
      <c r="H1040" s="8"/>
      <c r="I1040" s="8"/>
      <c r="K1040" s="3"/>
      <c r="Q1040" s="3"/>
      <c r="BD1040" s="3">
        <v>16.12</v>
      </c>
      <c r="BG1040" s="3">
        <v>16.12</v>
      </c>
    </row>
    <row r="1041" spans="1:61">
      <c r="A1041" s="6">
        <v>12</v>
      </c>
      <c r="B1041" s="103" t="s">
        <v>586</v>
      </c>
      <c r="C1041" s="1" t="s">
        <v>594</v>
      </c>
      <c r="D1041" s="2" t="s">
        <v>511</v>
      </c>
      <c r="E1041" s="2"/>
      <c r="F1041" s="8">
        <v>0.96</v>
      </c>
      <c r="G1041" s="8"/>
      <c r="H1041" s="8">
        <v>0.96</v>
      </c>
      <c r="I1041" s="8"/>
      <c r="M1041" s="3">
        <v>4.99</v>
      </c>
      <c r="O1041" s="3">
        <v>4.99</v>
      </c>
      <c r="Q1041" s="3">
        <f>O1041-H1041</f>
        <v>4.03</v>
      </c>
      <c r="R1041" s="3">
        <v>988.15</v>
      </c>
      <c r="T1041" s="3">
        <f>R1041-O1041</f>
        <v>983.16</v>
      </c>
      <c r="U1041" s="3">
        <v>5.3</v>
      </c>
      <c r="W1041" s="3">
        <f>U1041-R1041</f>
        <v>-982.85</v>
      </c>
      <c r="X1041" s="3">
        <v>7.72</v>
      </c>
      <c r="Z1041" s="3">
        <f>X1041-U1041</f>
        <v>2.42</v>
      </c>
      <c r="AA1041" s="3">
        <v>7.66</v>
      </c>
      <c r="AC1041" s="3">
        <f>AA1041-X1041</f>
        <v>-5.9999999999999609E-2</v>
      </c>
      <c r="AE1041" s="1" t="s">
        <v>285</v>
      </c>
      <c r="AG1041" s="3">
        <v>10.5</v>
      </c>
      <c r="AJ1041" s="3">
        <v>12.79</v>
      </c>
      <c r="AL1041" s="3">
        <f>AJ1041-AG1041</f>
        <v>2.2899999999999991</v>
      </c>
      <c r="AM1041" s="3">
        <v>12.88</v>
      </c>
      <c r="AO1041" s="3">
        <f>AM1041-AJ1041</f>
        <v>9.0000000000001634E-2</v>
      </c>
      <c r="AP1041" s="3">
        <v>2.99</v>
      </c>
      <c r="AS1041" s="3">
        <v>13</v>
      </c>
      <c r="AW1041" s="1" t="s">
        <v>285</v>
      </c>
      <c r="AZ1041" s="3">
        <v>9.9</v>
      </c>
      <c r="BC1041" s="3">
        <v>9.9</v>
      </c>
      <c r="BD1041" s="3">
        <v>7.78</v>
      </c>
      <c r="BG1041" s="3">
        <v>7.78</v>
      </c>
      <c r="BH1041" s="3">
        <v>3.66</v>
      </c>
    </row>
    <row r="1042" spans="1:61">
      <c r="A1042" s="6">
        <v>14</v>
      </c>
      <c r="B1042" s="103" t="s">
        <v>586</v>
      </c>
      <c r="C1042" s="1" t="s">
        <v>58</v>
      </c>
      <c r="D1042" s="2">
        <v>12.94</v>
      </c>
      <c r="E1042" s="2"/>
      <c r="F1042" s="8">
        <v>2.61</v>
      </c>
      <c r="G1042" s="8"/>
      <c r="H1042" s="8">
        <v>2.61</v>
      </c>
      <c r="I1042" s="8">
        <f>H1042-D1042</f>
        <v>-10.33</v>
      </c>
      <c r="K1042" s="3"/>
      <c r="M1042" s="3">
        <v>2.9</v>
      </c>
      <c r="O1042" s="3">
        <v>2.9</v>
      </c>
      <c r="Q1042" s="3">
        <f>O1042-H1042</f>
        <v>0.29000000000000004</v>
      </c>
      <c r="U1042" s="3">
        <v>2</v>
      </c>
      <c r="X1042" s="3">
        <v>16.899999999999999</v>
      </c>
      <c r="Z1042" s="3">
        <f>X1042-U1042</f>
        <v>14.899999999999999</v>
      </c>
      <c r="AA1042" s="3">
        <v>16.829999999999998</v>
      </c>
      <c r="AC1042" s="3">
        <f>AA1042-X1042</f>
        <v>-7.0000000000000284E-2</v>
      </c>
      <c r="AE1042" s="1" t="s">
        <v>285</v>
      </c>
      <c r="AG1042" s="3">
        <v>11.6</v>
      </c>
      <c r="AJ1042" s="3">
        <v>24.21</v>
      </c>
      <c r="AL1042" s="3">
        <f>AJ1042-AG1042</f>
        <v>12.610000000000001</v>
      </c>
      <c r="AM1042" s="3">
        <v>18.38</v>
      </c>
      <c r="AO1042" s="3">
        <f>AM1042-AJ1042</f>
        <v>-5.8300000000000018</v>
      </c>
      <c r="AP1042" s="3">
        <v>2.62</v>
      </c>
      <c r="AS1042" s="3">
        <v>14.7</v>
      </c>
      <c r="AW1042" s="1" t="s">
        <v>285</v>
      </c>
      <c r="AZ1042" s="3">
        <v>11.31</v>
      </c>
      <c r="BC1042" s="3">
        <v>11.31</v>
      </c>
      <c r="BD1042" s="3">
        <v>8.84</v>
      </c>
      <c r="BG1042" s="3">
        <v>8.84</v>
      </c>
      <c r="BH1042" s="3">
        <v>6.17</v>
      </c>
    </row>
    <row r="1043" spans="1:61">
      <c r="B1043" s="103" t="s">
        <v>586</v>
      </c>
      <c r="C1043" s="1" t="s">
        <v>289</v>
      </c>
      <c r="D1043" s="2"/>
      <c r="E1043" s="2"/>
      <c r="F1043" s="8"/>
      <c r="G1043" s="8"/>
      <c r="H1043" s="8"/>
      <c r="I1043" s="8"/>
      <c r="K1043" s="3"/>
      <c r="Q1043" s="3"/>
      <c r="AC1043" s="3"/>
      <c r="AJ1043" s="3">
        <v>14.71</v>
      </c>
      <c r="AM1043" s="3">
        <v>17.850000000000001</v>
      </c>
      <c r="AO1043" s="3">
        <f>AM1043-AJ1043</f>
        <v>3.1400000000000006</v>
      </c>
      <c r="AS1043" s="3">
        <v>14.7</v>
      </c>
      <c r="AW1043" s="1" t="s">
        <v>285</v>
      </c>
      <c r="AZ1043" s="3">
        <v>91.58</v>
      </c>
      <c r="BC1043" s="3">
        <v>91.58</v>
      </c>
      <c r="BD1043" s="3">
        <v>91.58</v>
      </c>
      <c r="BH1043" s="3">
        <v>4.1399999999999997</v>
      </c>
    </row>
    <row r="1044" spans="1:61">
      <c r="B1044" s="103" t="s">
        <v>586</v>
      </c>
      <c r="C1044" s="1" t="s">
        <v>290</v>
      </c>
      <c r="D1044" s="2"/>
      <c r="E1044" s="2"/>
      <c r="F1044" s="8"/>
      <c r="G1044" s="8"/>
      <c r="H1044" s="8"/>
      <c r="I1044" s="8"/>
      <c r="K1044" s="3"/>
      <c r="Q1044" s="3"/>
      <c r="AC1044" s="3"/>
      <c r="AO1044" s="3"/>
      <c r="AP1044" s="3">
        <v>15</v>
      </c>
      <c r="AW1044" s="1" t="s">
        <v>285</v>
      </c>
      <c r="AZ1044" s="3">
        <v>103.95</v>
      </c>
      <c r="BC1044" s="3">
        <v>103.95</v>
      </c>
      <c r="BD1044" s="3">
        <v>103.95</v>
      </c>
      <c r="BH1044" s="3">
        <v>6.02</v>
      </c>
    </row>
    <row r="1045" spans="1:61">
      <c r="B1045" s="103" t="s">
        <v>586</v>
      </c>
      <c r="C1045" s="1" t="s">
        <v>64</v>
      </c>
      <c r="D1045" s="2"/>
      <c r="E1045" s="2"/>
      <c r="F1045" s="8"/>
      <c r="G1045" s="8"/>
      <c r="H1045" s="8"/>
      <c r="I1045" s="8"/>
      <c r="K1045" s="3"/>
      <c r="Q1045" s="3"/>
      <c r="U1045" s="3">
        <v>2.35</v>
      </c>
      <c r="X1045" s="3">
        <v>16.18</v>
      </c>
      <c r="Z1045" s="3">
        <f>X1045-U1045</f>
        <v>13.83</v>
      </c>
      <c r="AE1045" s="1" t="s">
        <v>285</v>
      </c>
      <c r="AG1045" s="3">
        <v>11.76</v>
      </c>
      <c r="AJ1045" s="3">
        <v>24.21</v>
      </c>
      <c r="AL1045" s="3">
        <f>AJ1045-AG1045</f>
        <v>12.450000000000001</v>
      </c>
      <c r="AM1045" s="3">
        <v>20.77</v>
      </c>
      <c r="AO1045" s="3">
        <f>AM1045-AJ1045</f>
        <v>-3.4400000000000013</v>
      </c>
      <c r="AP1045" s="3">
        <v>3.97</v>
      </c>
      <c r="AS1045" s="3">
        <v>14.7</v>
      </c>
      <c r="AW1045" s="1" t="s">
        <v>285</v>
      </c>
      <c r="AZ1045" s="3">
        <v>18.510000000000002</v>
      </c>
      <c r="BC1045" s="3">
        <v>18.510000000000002</v>
      </c>
      <c r="BD1045" s="3">
        <v>13.22</v>
      </c>
      <c r="BG1045" s="3">
        <v>13.22</v>
      </c>
      <c r="BH1045" s="3">
        <v>6.05</v>
      </c>
    </row>
    <row r="1046" spans="1:61">
      <c r="B1046" s="103" t="s">
        <v>586</v>
      </c>
      <c r="C1046" s="1" t="s">
        <v>286</v>
      </c>
      <c r="D1046" s="2"/>
      <c r="E1046" s="2"/>
      <c r="F1046" s="8"/>
      <c r="G1046" s="8"/>
      <c r="H1046" s="8"/>
      <c r="I1046" s="8"/>
      <c r="K1046" s="3"/>
      <c r="AG1046" s="3">
        <v>14</v>
      </c>
      <c r="AP1046" s="3">
        <v>3.63</v>
      </c>
      <c r="AW1046" s="1" t="s">
        <v>285</v>
      </c>
      <c r="AZ1046" s="3">
        <v>28.85</v>
      </c>
      <c r="BC1046" s="3">
        <v>28.85</v>
      </c>
      <c r="BD1046" s="3">
        <v>13.22</v>
      </c>
      <c r="BG1046" s="3">
        <v>13.22</v>
      </c>
      <c r="BH1046" s="3">
        <v>5.17</v>
      </c>
    </row>
    <row r="1047" spans="1:61">
      <c r="B1047" s="103" t="s">
        <v>586</v>
      </c>
      <c r="C1047" s="1" t="s">
        <v>288</v>
      </c>
      <c r="D1047" s="2"/>
      <c r="E1047" s="2"/>
      <c r="F1047" s="8"/>
      <c r="G1047" s="8"/>
      <c r="H1047" s="8"/>
      <c r="I1047" s="8"/>
      <c r="K1047" s="3"/>
      <c r="Q1047" s="3"/>
      <c r="U1047" s="3">
        <v>5.62</v>
      </c>
      <c r="X1047" s="3">
        <v>16.5</v>
      </c>
      <c r="Z1047" s="3">
        <f>X1047-U1047</f>
        <v>10.879999999999999</v>
      </c>
      <c r="AA1047" s="3">
        <v>12.82</v>
      </c>
      <c r="AC1047" s="3">
        <f>AA1047-X1047</f>
        <v>-3.6799999999999997</v>
      </c>
      <c r="AE1047" s="1" t="s">
        <v>285</v>
      </c>
      <c r="AG1047" s="3">
        <v>12.35</v>
      </c>
      <c r="AJ1047" s="3">
        <v>20.22</v>
      </c>
      <c r="AL1047" s="3">
        <f>AJ1047-AG1047</f>
        <v>7.8699999999999992</v>
      </c>
      <c r="AM1047" s="3">
        <v>20.22</v>
      </c>
      <c r="AO1047" s="3">
        <f>AM1047-AJ1047</f>
        <v>0</v>
      </c>
      <c r="AP1047" s="3">
        <v>3.43</v>
      </c>
      <c r="AS1047" s="3">
        <v>16.5</v>
      </c>
      <c r="AW1047" s="1" t="s">
        <v>285</v>
      </c>
      <c r="AZ1047" s="3">
        <v>15.6</v>
      </c>
      <c r="BC1047" s="3">
        <v>15.6</v>
      </c>
      <c r="BD1047" s="3">
        <v>11.85</v>
      </c>
      <c r="BG1047" s="3">
        <v>11.85</v>
      </c>
      <c r="BH1047" s="3">
        <v>5.23</v>
      </c>
    </row>
    <row r="1048" spans="1:61">
      <c r="B1048" s="103" t="s">
        <v>586</v>
      </c>
      <c r="C1048" s="1" t="s">
        <v>874</v>
      </c>
      <c r="D1048" s="2"/>
      <c r="E1048" s="2"/>
      <c r="F1048" s="8"/>
      <c r="G1048" s="8"/>
      <c r="H1048" s="8"/>
      <c r="I1048" s="8"/>
      <c r="K1048" s="3"/>
      <c r="Q1048" s="3"/>
      <c r="AC1048" s="3"/>
      <c r="AL1048" s="3"/>
      <c r="AO1048" s="3"/>
      <c r="BH1048" s="3">
        <v>4.1900000000000004</v>
      </c>
    </row>
    <row r="1049" spans="1:61">
      <c r="A1049" s="6">
        <v>11</v>
      </c>
      <c r="B1049" s="103" t="s">
        <v>586</v>
      </c>
      <c r="C1049" s="1" t="s">
        <v>57</v>
      </c>
      <c r="D1049" s="2">
        <v>15.82</v>
      </c>
      <c r="E1049" s="2"/>
      <c r="F1049" s="8">
        <v>3.61</v>
      </c>
      <c r="G1049" s="8"/>
      <c r="H1049" s="8">
        <v>3.61</v>
      </c>
      <c r="I1049" s="8">
        <f>H1049-D1049</f>
        <v>-12.21</v>
      </c>
      <c r="K1049" s="3"/>
      <c r="AE1049" s="1" t="s">
        <v>285</v>
      </c>
      <c r="AW1049" s="1" t="s">
        <v>285</v>
      </c>
      <c r="BA1049" s="1" t="s">
        <v>285</v>
      </c>
    </row>
    <row r="1050" spans="1:61">
      <c r="A1050" s="6">
        <v>1</v>
      </c>
      <c r="B1050" s="103" t="s">
        <v>582</v>
      </c>
      <c r="C1050" s="1" t="s">
        <v>52</v>
      </c>
      <c r="D1050" s="2" t="s">
        <v>647</v>
      </c>
      <c r="E1050" s="2"/>
      <c r="F1050" s="8">
        <v>0</v>
      </c>
      <c r="G1050" s="8"/>
      <c r="H1050" s="8">
        <v>0</v>
      </c>
      <c r="I1050" s="8"/>
      <c r="J1050" s="5" t="s">
        <v>84</v>
      </c>
      <c r="Y1050" s="1" t="s">
        <v>285</v>
      </c>
      <c r="AT1050" s="1" t="s">
        <v>285</v>
      </c>
      <c r="AW1050" s="1" t="s">
        <v>285</v>
      </c>
      <c r="BA1050" s="1" t="s">
        <v>285</v>
      </c>
      <c r="BE1050" s="1" t="s">
        <v>285</v>
      </c>
    </row>
    <row r="1051" spans="1:61">
      <c r="A1051" s="6">
        <v>3</v>
      </c>
      <c r="B1051" s="103" t="s">
        <v>582</v>
      </c>
      <c r="C1051" s="1" t="s">
        <v>54</v>
      </c>
      <c r="D1051" s="2" t="s">
        <v>656</v>
      </c>
      <c r="E1051" s="2"/>
      <c r="F1051" s="8">
        <v>0</v>
      </c>
      <c r="G1051" s="8"/>
      <c r="H1051" s="8">
        <v>0</v>
      </c>
      <c r="I1051" s="8"/>
      <c r="J1051" s="5" t="s">
        <v>84</v>
      </c>
      <c r="Y1051" s="1" t="s">
        <v>285</v>
      </c>
      <c r="AT1051" s="1" t="s">
        <v>285</v>
      </c>
      <c r="AW1051" s="1" t="s">
        <v>285</v>
      </c>
      <c r="BA1051" s="1" t="s">
        <v>285</v>
      </c>
      <c r="BE1051" s="1" t="s">
        <v>285</v>
      </c>
    </row>
    <row r="1052" spans="1:61">
      <c r="A1052" s="6">
        <v>4</v>
      </c>
      <c r="B1052" s="103" t="s">
        <v>582</v>
      </c>
      <c r="C1052" s="1" t="s">
        <v>55</v>
      </c>
      <c r="D1052" s="2" t="s">
        <v>656</v>
      </c>
      <c r="E1052" s="2"/>
      <c r="F1052" s="8">
        <v>0</v>
      </c>
      <c r="G1052" s="8"/>
      <c r="H1052" s="8">
        <v>0</v>
      </c>
      <c r="I1052" s="8"/>
      <c r="J1052" s="5" t="s">
        <v>84</v>
      </c>
      <c r="Y1052" s="1" t="s">
        <v>285</v>
      </c>
      <c r="AT1052" s="1" t="s">
        <v>285</v>
      </c>
      <c r="AW1052" s="1" t="s">
        <v>285</v>
      </c>
      <c r="BA1052" s="1" t="s">
        <v>285</v>
      </c>
      <c r="BE1052" s="1" t="s">
        <v>285</v>
      </c>
    </row>
    <row r="1053" spans="1:61">
      <c r="A1053" s="6">
        <v>5</v>
      </c>
      <c r="B1053" s="103" t="s">
        <v>582</v>
      </c>
      <c r="C1053" s="1" t="s">
        <v>56</v>
      </c>
      <c r="D1053" s="2" t="s">
        <v>656</v>
      </c>
      <c r="E1053" s="2"/>
      <c r="F1053" s="8">
        <v>0</v>
      </c>
      <c r="G1053" s="8"/>
      <c r="H1053" s="8">
        <v>0</v>
      </c>
      <c r="I1053" s="8"/>
      <c r="J1053" s="5" t="s">
        <v>84</v>
      </c>
      <c r="Y1053" s="1" t="s">
        <v>285</v>
      </c>
      <c r="AT1053" s="1" t="s">
        <v>285</v>
      </c>
      <c r="AW1053" s="1" t="s">
        <v>285</v>
      </c>
      <c r="BA1053" s="1" t="s">
        <v>285</v>
      </c>
      <c r="BE1053" s="1" t="s">
        <v>285</v>
      </c>
    </row>
    <row r="1054" spans="1:61">
      <c r="A1054" s="6">
        <v>2</v>
      </c>
      <c r="B1054" s="103" t="s">
        <v>582</v>
      </c>
      <c r="C1054" s="1" t="s">
        <v>53</v>
      </c>
      <c r="D1054" s="2">
        <v>1.75</v>
      </c>
      <c r="E1054" s="2"/>
      <c r="F1054" s="8">
        <v>24</v>
      </c>
      <c r="G1054" s="8"/>
      <c r="H1054" s="8">
        <v>24</v>
      </c>
      <c r="I1054" s="8">
        <f>H1054-D1054</f>
        <v>22.25</v>
      </c>
      <c r="K1054" s="3"/>
      <c r="L1054" s="1" t="s">
        <v>314</v>
      </c>
      <c r="M1054" s="3">
        <v>12.9</v>
      </c>
      <c r="O1054" s="3">
        <v>12.9</v>
      </c>
      <c r="Q1054" s="3">
        <f>O1054-H1054</f>
        <v>-11.1</v>
      </c>
      <c r="R1054" s="3">
        <v>10.25</v>
      </c>
      <c r="T1054" s="3">
        <f>R1054-O1054</f>
        <v>-2.6500000000000004</v>
      </c>
      <c r="Y1054" s="1" t="s">
        <v>285</v>
      </c>
      <c r="AT1054" s="1" t="s">
        <v>285</v>
      </c>
      <c r="AW1054" s="1" t="s">
        <v>285</v>
      </c>
      <c r="BA1054" s="1" t="s">
        <v>285</v>
      </c>
      <c r="BE1054" s="1" t="s">
        <v>285</v>
      </c>
    </row>
    <row r="1055" spans="1:61">
      <c r="B1055" s="103" t="s">
        <v>582</v>
      </c>
      <c r="C1055" s="1" t="s">
        <v>595</v>
      </c>
      <c r="D1055" s="2"/>
      <c r="E1055" s="2"/>
      <c r="F1055" s="8"/>
      <c r="G1055" s="8"/>
      <c r="H1055" s="8"/>
      <c r="I1055" s="8"/>
      <c r="T1055" s="3"/>
      <c r="AM1055" s="3">
        <v>2.5</v>
      </c>
      <c r="AT1055" s="1" t="s">
        <v>285</v>
      </c>
      <c r="AW1055" s="1" t="s">
        <v>285</v>
      </c>
      <c r="BA1055" s="1" t="s">
        <v>285</v>
      </c>
      <c r="BE1055" s="1" t="s">
        <v>285</v>
      </c>
    </row>
    <row r="1056" spans="1:61">
      <c r="A1056" s="6">
        <v>12</v>
      </c>
      <c r="B1056" s="103" t="s">
        <v>582</v>
      </c>
      <c r="C1056" s="1" t="s">
        <v>594</v>
      </c>
      <c r="D1056" s="2">
        <v>1.86</v>
      </c>
      <c r="E1056" s="2"/>
      <c r="F1056" s="8">
        <v>4.3</v>
      </c>
      <c r="G1056" s="8"/>
      <c r="H1056" s="8">
        <v>4.3</v>
      </c>
      <c r="I1056" s="9">
        <f>H1056-D1056</f>
        <v>2.4399999999999995</v>
      </c>
      <c r="K1056" s="3"/>
      <c r="M1056" s="3">
        <v>4.8</v>
      </c>
      <c r="O1056" s="3">
        <v>4.8</v>
      </c>
      <c r="Q1056" s="3">
        <f>O1056-H1056</f>
        <v>0.5</v>
      </c>
      <c r="R1056" s="3">
        <v>5.5</v>
      </c>
      <c r="T1056" s="3">
        <f>R1056-O1056</f>
        <v>0.70000000000000018</v>
      </c>
      <c r="U1056" s="3">
        <f>2.5*2.2046</f>
        <v>5.5114999999999998</v>
      </c>
      <c r="V1056" s="1" t="s">
        <v>333</v>
      </c>
      <c r="W1056" s="3">
        <f>U1056-R1056</f>
        <v>1.1499999999999844E-2</v>
      </c>
      <c r="Y1056" s="1" t="s">
        <v>285</v>
      </c>
      <c r="AA1056" s="3">
        <v>11</v>
      </c>
      <c r="AD1056" s="24">
        <v>9</v>
      </c>
      <c r="AG1056" s="3">
        <v>6</v>
      </c>
      <c r="AI1056" s="3">
        <f>AG1056-AD1056</f>
        <v>-3</v>
      </c>
      <c r="AJ1056" s="3">
        <v>7</v>
      </c>
      <c r="AL1056" s="3">
        <f>AJ1056-AG1056</f>
        <v>1</v>
      </c>
      <c r="AM1056" s="3">
        <v>2</v>
      </c>
      <c r="AO1056" s="3">
        <f>AM1056-AJ1056</f>
        <v>-5</v>
      </c>
      <c r="AP1056" s="3">
        <v>4</v>
      </c>
      <c r="AT1056" s="1" t="s">
        <v>285</v>
      </c>
      <c r="AW1056" s="1" t="s">
        <v>285</v>
      </c>
      <c r="BA1056" s="1" t="s">
        <v>285</v>
      </c>
      <c r="BE1056" s="1" t="s">
        <v>285</v>
      </c>
      <c r="BH1056" s="3">
        <v>43</v>
      </c>
      <c r="BI1056" s="1" t="s">
        <v>1023</v>
      </c>
    </row>
    <row r="1057" spans="1:61">
      <c r="A1057" s="6">
        <v>14</v>
      </c>
      <c r="B1057" s="103" t="s">
        <v>582</v>
      </c>
      <c r="C1057" s="1" t="s">
        <v>58</v>
      </c>
      <c r="D1057" s="2">
        <v>1.79</v>
      </c>
      <c r="E1057" s="2"/>
      <c r="F1057" s="8">
        <v>14</v>
      </c>
      <c r="G1057" s="8"/>
      <c r="H1057" s="8">
        <v>14</v>
      </c>
      <c r="I1057" s="9">
        <f>H1057-D1057</f>
        <v>12.21</v>
      </c>
      <c r="K1057" s="3"/>
      <c r="L1057" s="1" t="s">
        <v>591</v>
      </c>
      <c r="M1057" s="3">
        <v>12.9</v>
      </c>
      <c r="O1057" s="3">
        <v>12.9</v>
      </c>
      <c r="Q1057" s="3">
        <f>O1057-H1057</f>
        <v>-1.0999999999999996</v>
      </c>
      <c r="R1057" s="3">
        <v>13</v>
      </c>
      <c r="T1057" s="3">
        <f>R1057-O1057</f>
        <v>9.9999999999999645E-2</v>
      </c>
      <c r="U1057" s="3">
        <f>5.52*2.2046</f>
        <v>12.169392</v>
      </c>
      <c r="V1057" s="1" t="s">
        <v>334</v>
      </c>
      <c r="W1057" s="3">
        <f>U1057-R1057</f>
        <v>-0.83060799999999979</v>
      </c>
      <c r="Y1057" s="1" t="s">
        <v>285</v>
      </c>
      <c r="AA1057" s="3">
        <v>8</v>
      </c>
      <c r="AD1057" s="24">
        <v>23</v>
      </c>
      <c r="AG1057" s="3">
        <v>10</v>
      </c>
      <c r="AI1057" s="3">
        <f>AG1057-AD1057</f>
        <v>-13</v>
      </c>
      <c r="AJ1057" s="3">
        <v>14</v>
      </c>
      <c r="AL1057" s="3">
        <f>AJ1057-AG1057</f>
        <v>4</v>
      </c>
      <c r="AM1057" s="3">
        <v>3.2</v>
      </c>
      <c r="AO1057" s="3">
        <f>AM1057-AJ1057</f>
        <v>-10.8</v>
      </c>
      <c r="AP1057" s="3">
        <v>9</v>
      </c>
      <c r="AT1057" s="1" t="s">
        <v>285</v>
      </c>
      <c r="AW1057" s="1" t="s">
        <v>285</v>
      </c>
      <c r="BA1057" s="1" t="s">
        <v>285</v>
      </c>
      <c r="BE1057" s="1" t="s">
        <v>285</v>
      </c>
      <c r="BH1057" s="2">
        <v>61.15</v>
      </c>
      <c r="BI1057" s="1" t="s">
        <v>1023</v>
      </c>
    </row>
    <row r="1058" spans="1:61">
      <c r="B1058" s="103" t="s">
        <v>582</v>
      </c>
      <c r="C1058" s="1" t="s">
        <v>289</v>
      </c>
      <c r="D1058" s="2"/>
      <c r="E1058" s="2"/>
      <c r="F1058" s="8"/>
      <c r="G1058" s="8"/>
      <c r="H1058" s="8"/>
      <c r="K1058" s="3"/>
      <c r="Q1058" s="3"/>
      <c r="T1058" s="3"/>
      <c r="W1058" s="3"/>
      <c r="AI1058" s="3"/>
      <c r="AL1058" s="3"/>
      <c r="AO1058" s="3"/>
      <c r="BH1058" s="2">
        <v>3.08</v>
      </c>
      <c r="BI1058" s="1" t="s">
        <v>1026</v>
      </c>
    </row>
    <row r="1059" spans="1:61">
      <c r="B1059" s="103" t="s">
        <v>582</v>
      </c>
      <c r="C1059" s="1" t="s">
        <v>64</v>
      </c>
      <c r="D1059" s="2"/>
      <c r="E1059" s="2"/>
      <c r="F1059" s="8"/>
      <c r="G1059" s="8"/>
      <c r="H1059" s="8"/>
      <c r="K1059" s="3"/>
      <c r="Q1059" s="3"/>
      <c r="R1059" s="3">
        <v>9.65</v>
      </c>
      <c r="T1059" s="3"/>
      <c r="U1059" s="3">
        <f>7.03*2.2046</f>
        <v>15.498338000000002</v>
      </c>
      <c r="V1059" s="1" t="s">
        <v>335</v>
      </c>
      <c r="W1059" s="3">
        <f>U1059-R1059</f>
        <v>5.8483380000000018</v>
      </c>
      <c r="Y1059" s="1" t="s">
        <v>285</v>
      </c>
      <c r="AA1059" s="3">
        <v>250</v>
      </c>
      <c r="AG1059" s="3">
        <v>8</v>
      </c>
      <c r="AJ1059" s="3">
        <v>14</v>
      </c>
      <c r="AL1059" s="3">
        <f>AJ1059-AG1059</f>
        <v>6</v>
      </c>
      <c r="AP1059" s="3">
        <v>8</v>
      </c>
      <c r="AT1059" s="1" t="s">
        <v>285</v>
      </c>
      <c r="AW1059" s="1" t="s">
        <v>285</v>
      </c>
      <c r="BA1059" s="1" t="s">
        <v>285</v>
      </c>
      <c r="BE1059" s="1" t="s">
        <v>285</v>
      </c>
      <c r="BH1059" s="2">
        <v>63.55</v>
      </c>
      <c r="BI1059" s="1" t="s">
        <v>1024</v>
      </c>
    </row>
    <row r="1060" spans="1:61">
      <c r="B1060" s="103" t="s">
        <v>582</v>
      </c>
      <c r="C1060" s="1" t="s">
        <v>286</v>
      </c>
      <c r="D1060" s="2"/>
      <c r="E1060" s="2"/>
      <c r="F1060" s="8"/>
      <c r="G1060" s="8"/>
      <c r="H1060" s="8"/>
      <c r="I1060" s="8"/>
      <c r="T1060" s="3"/>
      <c r="AG1060" s="3">
        <v>12</v>
      </c>
      <c r="AJ1060" s="3">
        <v>15</v>
      </c>
      <c r="AL1060" s="3">
        <f>AJ1060-AG1060</f>
        <v>3</v>
      </c>
      <c r="AM1060" s="3">
        <v>3</v>
      </c>
      <c r="AO1060" s="3">
        <f>AM1060-AJ1060</f>
        <v>-12</v>
      </c>
      <c r="AT1060" s="1" t="s">
        <v>285</v>
      </c>
      <c r="AW1060" s="1" t="s">
        <v>285</v>
      </c>
      <c r="BA1060" s="1" t="s">
        <v>285</v>
      </c>
      <c r="BE1060" s="1" t="s">
        <v>285</v>
      </c>
      <c r="BH1060" s="2"/>
    </row>
    <row r="1061" spans="1:61">
      <c r="B1061" s="103" t="s">
        <v>582</v>
      </c>
      <c r="C1061" s="1" t="s">
        <v>288</v>
      </c>
      <c r="D1061" s="2"/>
      <c r="E1061" s="2"/>
      <c r="F1061" s="8"/>
      <c r="G1061" s="8"/>
      <c r="H1061" s="8"/>
      <c r="K1061" s="3"/>
      <c r="Q1061" s="3"/>
      <c r="R1061" s="3">
        <v>14</v>
      </c>
      <c r="T1061" s="3"/>
      <c r="U1061" s="3">
        <f>7.03*2.2046</f>
        <v>15.498338000000002</v>
      </c>
      <c r="V1061" s="1" t="s">
        <v>335</v>
      </c>
      <c r="W1061" s="3">
        <f>U1061-R1061</f>
        <v>1.4983380000000022</v>
      </c>
      <c r="Y1061" s="1" t="s">
        <v>285</v>
      </c>
      <c r="AA1061" s="3">
        <v>250</v>
      </c>
      <c r="AD1061" s="24">
        <v>28</v>
      </c>
      <c r="AG1061" s="3">
        <v>8</v>
      </c>
      <c r="AI1061" s="3">
        <f>AG1061-AD1061</f>
        <v>-20</v>
      </c>
      <c r="AJ1061" s="3">
        <v>15</v>
      </c>
      <c r="AL1061" s="3">
        <f>AJ1061-AG1061</f>
        <v>7</v>
      </c>
      <c r="AM1061" s="3">
        <v>10.5</v>
      </c>
      <c r="AO1061" s="3">
        <f>AM1061-AJ1061</f>
        <v>-4.5</v>
      </c>
      <c r="AP1061" s="3">
        <v>7</v>
      </c>
      <c r="AT1061" s="1" t="s">
        <v>285</v>
      </c>
      <c r="AW1061" s="1" t="s">
        <v>285</v>
      </c>
      <c r="BA1061" s="1" t="s">
        <v>285</v>
      </c>
      <c r="BE1061" s="1" t="s">
        <v>285</v>
      </c>
      <c r="BH1061" s="2">
        <v>50.16</v>
      </c>
      <c r="BI1061" s="1" t="s">
        <v>1025</v>
      </c>
    </row>
    <row r="1062" spans="1:61" ht="9.6" customHeight="1">
      <c r="A1062" s="6">
        <v>11</v>
      </c>
      <c r="B1062" s="103" t="s">
        <v>582</v>
      </c>
      <c r="C1062" s="1" t="s">
        <v>57</v>
      </c>
      <c r="D1062" s="2" t="s">
        <v>647</v>
      </c>
      <c r="E1062" s="2"/>
      <c r="F1062" s="8">
        <v>16.7</v>
      </c>
      <c r="G1062" s="8"/>
      <c r="H1062" s="8">
        <v>16.7</v>
      </c>
      <c r="I1062" s="8"/>
      <c r="R1062" s="3">
        <v>17.5</v>
      </c>
      <c r="T1062" s="3"/>
      <c r="Y1062" s="1" t="s">
        <v>285</v>
      </c>
      <c r="AA1062" s="3">
        <v>250</v>
      </c>
      <c r="AT1062" s="1" t="s">
        <v>285</v>
      </c>
      <c r="AW1062" s="1" t="s">
        <v>285</v>
      </c>
      <c r="BA1062" s="1" t="s">
        <v>285</v>
      </c>
      <c r="BE1062" s="1" t="s">
        <v>285</v>
      </c>
    </row>
    <row r="1063" spans="1:61">
      <c r="A1063" s="6">
        <v>1</v>
      </c>
      <c r="B1063" s="103" t="s">
        <v>587</v>
      </c>
      <c r="C1063" s="1" t="s">
        <v>52</v>
      </c>
      <c r="D1063" s="2">
        <v>8</v>
      </c>
      <c r="E1063" s="2"/>
      <c r="F1063" s="8">
        <v>10</v>
      </c>
      <c r="G1063" s="8"/>
      <c r="H1063" s="8">
        <v>10</v>
      </c>
      <c r="I1063" s="8">
        <f>H1063-D1063</f>
        <v>2</v>
      </c>
      <c r="K1063" s="3"/>
      <c r="M1063" s="3">
        <v>19</v>
      </c>
      <c r="O1063" s="3">
        <v>19</v>
      </c>
      <c r="Q1063" s="3">
        <f>O1063-H1063</f>
        <v>9</v>
      </c>
    </row>
    <row r="1064" spans="1:61">
      <c r="A1064" s="6">
        <v>3</v>
      </c>
      <c r="B1064" s="103" t="s">
        <v>587</v>
      </c>
      <c r="C1064" s="1" t="s">
        <v>54</v>
      </c>
      <c r="D1064" s="2"/>
      <c r="E1064" s="2"/>
      <c r="F1064" s="8">
        <v>0</v>
      </c>
      <c r="G1064" s="8"/>
      <c r="H1064" s="8">
        <v>0</v>
      </c>
      <c r="I1064" s="8"/>
    </row>
    <row r="1065" spans="1:61">
      <c r="A1065" s="6">
        <v>4</v>
      </c>
      <c r="B1065" s="103" t="s">
        <v>587</v>
      </c>
      <c r="C1065" s="1" t="s">
        <v>55</v>
      </c>
      <c r="D1065" s="2"/>
      <c r="E1065" s="2"/>
      <c r="F1065" s="8">
        <v>0</v>
      </c>
      <c r="G1065" s="8"/>
      <c r="H1065" s="8">
        <v>0</v>
      </c>
      <c r="I1065" s="8"/>
    </row>
    <row r="1066" spans="1:61">
      <c r="A1066" s="6">
        <v>5</v>
      </c>
      <c r="B1066" s="103" t="s">
        <v>587</v>
      </c>
      <c r="C1066" s="1" t="s">
        <v>56</v>
      </c>
      <c r="D1066" s="2"/>
      <c r="E1066" s="2"/>
      <c r="F1066" s="8">
        <v>0</v>
      </c>
      <c r="G1066" s="8"/>
      <c r="H1066" s="8">
        <v>0</v>
      </c>
      <c r="I1066" s="8"/>
    </row>
    <row r="1067" spans="1:61">
      <c r="A1067" s="6">
        <v>2</v>
      </c>
      <c r="B1067" s="103" t="s">
        <v>587</v>
      </c>
      <c r="C1067" s="1" t="s">
        <v>53</v>
      </c>
      <c r="D1067" s="2">
        <v>12</v>
      </c>
      <c r="E1067" s="2"/>
      <c r="F1067" s="8">
        <v>19</v>
      </c>
      <c r="G1067" s="8"/>
      <c r="H1067" s="8">
        <v>19</v>
      </c>
      <c r="I1067" s="10">
        <f>H1067-D1067</f>
        <v>7</v>
      </c>
      <c r="K1067" s="3"/>
      <c r="L1067" s="1" t="s">
        <v>394</v>
      </c>
      <c r="M1067" s="3">
        <v>18.5</v>
      </c>
      <c r="O1067" s="3">
        <v>18.5</v>
      </c>
      <c r="Q1067" s="3">
        <f>O1067-H1067</f>
        <v>-0.5</v>
      </c>
      <c r="R1067" s="3">
        <v>17</v>
      </c>
      <c r="T1067" s="3">
        <f>R1067-O1067</f>
        <v>-1.5</v>
      </c>
      <c r="U1067" s="3">
        <v>11.5</v>
      </c>
      <c r="W1067" s="3">
        <f>U1067-R1067</f>
        <v>-5.5</v>
      </c>
    </row>
    <row r="1068" spans="1:61" ht="9.6" customHeight="1">
      <c r="B1068" s="103" t="s">
        <v>587</v>
      </c>
      <c r="C1068" s="1" t="s">
        <v>595</v>
      </c>
      <c r="D1068" s="2"/>
      <c r="E1068" s="2"/>
      <c r="F1068" s="8"/>
      <c r="G1068" s="8"/>
      <c r="H1068" s="8"/>
      <c r="I1068" s="8"/>
      <c r="K1068" s="3"/>
      <c r="Q1068" s="3"/>
      <c r="T1068" s="3"/>
      <c r="U1068" s="3">
        <v>9.4499999999999993</v>
      </c>
      <c r="X1068" s="3">
        <v>10.29</v>
      </c>
      <c r="Z1068" s="3">
        <f>X1068-U1068</f>
        <v>0.83999999999999986</v>
      </c>
      <c r="AA1068" s="3">
        <v>14.36</v>
      </c>
      <c r="AC1068" s="3">
        <f>AA1068-X1068</f>
        <v>4.07</v>
      </c>
      <c r="AD1068" s="24">
        <v>8.4600000000000009</v>
      </c>
      <c r="AF1068" s="24">
        <f>AD1068-AA1068</f>
        <v>-5.8999999999999986</v>
      </c>
      <c r="AG1068" s="3">
        <v>14.12</v>
      </c>
      <c r="AI1068" s="3">
        <f>AG1068-AD1068</f>
        <v>5.6599999999999984</v>
      </c>
      <c r="AJ1068" s="3">
        <v>11.97</v>
      </c>
      <c r="AL1068" s="3">
        <f>AJ1068-AG1068</f>
        <v>-2.1499999999999986</v>
      </c>
      <c r="AM1068" s="3">
        <v>1.7</v>
      </c>
      <c r="AO1068" s="3">
        <f>AM1068-AJ1068</f>
        <v>-10.270000000000001</v>
      </c>
    </row>
    <row r="1069" spans="1:61">
      <c r="A1069" s="6">
        <v>12</v>
      </c>
      <c r="B1069" s="103" t="s">
        <v>587</v>
      </c>
      <c r="C1069" s="1" t="s">
        <v>594</v>
      </c>
      <c r="D1069" s="2"/>
      <c r="E1069" s="2"/>
      <c r="F1069" s="8">
        <v>20</v>
      </c>
      <c r="G1069" s="8"/>
      <c r="H1069" s="8">
        <v>20</v>
      </c>
      <c r="I1069" s="8"/>
      <c r="L1069" s="1" t="s">
        <v>401</v>
      </c>
      <c r="M1069" s="3">
        <v>7.25</v>
      </c>
      <c r="O1069" s="3">
        <v>7.25</v>
      </c>
      <c r="Q1069" s="3">
        <f>O1069-H1069</f>
        <v>-12.75</v>
      </c>
      <c r="R1069" s="3">
        <v>7.1</v>
      </c>
      <c r="T1069" s="3">
        <f>R1069-O1069</f>
        <v>-0.15000000000000036</v>
      </c>
      <c r="U1069" s="3">
        <v>9.4</v>
      </c>
      <c r="W1069" s="3">
        <f>U1069-R1069</f>
        <v>2.3000000000000007</v>
      </c>
      <c r="X1069" s="3">
        <v>8.36</v>
      </c>
      <c r="Z1069" s="3">
        <f>X1069-U1069</f>
        <v>-1.0400000000000009</v>
      </c>
      <c r="AA1069" s="3">
        <v>13.47</v>
      </c>
      <c r="AC1069" s="3">
        <f>AA1069-X1069</f>
        <v>5.1100000000000012</v>
      </c>
      <c r="AD1069" s="24">
        <v>8.7200000000000006</v>
      </c>
      <c r="AF1069" s="24">
        <f>AD1069-AA1069</f>
        <v>-4.75</v>
      </c>
      <c r="AG1069" s="3">
        <v>16.149999999999999</v>
      </c>
      <c r="AI1069" s="3">
        <f>AG1069-AD1069</f>
        <v>7.4299999999999979</v>
      </c>
      <c r="AJ1069" s="3">
        <v>8.76</v>
      </c>
      <c r="AL1069" s="3">
        <f>AJ1069-AG1069</f>
        <v>-7.3899999999999988</v>
      </c>
      <c r="AM1069" s="3">
        <v>6.8</v>
      </c>
      <c r="AO1069" s="3">
        <f>AM1069-AJ1069</f>
        <v>-1.96</v>
      </c>
      <c r="AP1069" s="3">
        <v>9.5</v>
      </c>
      <c r="AS1069" s="3">
        <v>9.3699999999999992</v>
      </c>
      <c r="AV1069" s="3">
        <v>11.47</v>
      </c>
      <c r="AY1069" s="3">
        <v>11.47</v>
      </c>
      <c r="AZ1069" s="3">
        <v>11.25</v>
      </c>
      <c r="BC1069" s="3">
        <v>11.25</v>
      </c>
      <c r="BD1069" s="3">
        <v>7.5</v>
      </c>
      <c r="BG1069" s="3">
        <v>7.5</v>
      </c>
      <c r="BH1069" s="3">
        <v>7.8</v>
      </c>
    </row>
    <row r="1070" spans="1:61">
      <c r="A1070" s="6">
        <v>14</v>
      </c>
      <c r="B1070" s="103" t="s">
        <v>587</v>
      </c>
      <c r="C1070" s="1" t="s">
        <v>58</v>
      </c>
      <c r="D1070" s="2">
        <v>20.5</v>
      </c>
      <c r="E1070" s="2"/>
      <c r="F1070" s="8">
        <v>15</v>
      </c>
      <c r="G1070" s="8"/>
      <c r="H1070" s="8">
        <v>15</v>
      </c>
      <c r="I1070" s="8">
        <f>H1070-D1070</f>
        <v>-5.5</v>
      </c>
      <c r="K1070" s="3"/>
      <c r="L1070" s="1" t="s">
        <v>248</v>
      </c>
      <c r="M1070" s="3">
        <v>12.5</v>
      </c>
      <c r="O1070" s="3">
        <v>12.5</v>
      </c>
      <c r="Q1070" s="3">
        <f>O1070-H1070</f>
        <v>-2.5</v>
      </c>
      <c r="R1070" s="3">
        <v>10.78</v>
      </c>
      <c r="T1070" s="3">
        <f>R1070-O1070</f>
        <v>-1.7200000000000006</v>
      </c>
      <c r="U1070" s="3">
        <v>20.76</v>
      </c>
      <c r="W1070" s="3">
        <f>U1070-R1070</f>
        <v>9.9800000000000022</v>
      </c>
      <c r="X1070" s="3">
        <v>15</v>
      </c>
      <c r="Z1070" s="3">
        <f>X1070-U1070</f>
        <v>-5.7600000000000016</v>
      </c>
      <c r="AA1070" s="3">
        <v>23.94</v>
      </c>
      <c r="AC1070" s="3">
        <f>AA1070-X1070</f>
        <v>8.9400000000000013</v>
      </c>
      <c r="AD1070" s="24">
        <v>8.4600000000000009</v>
      </c>
      <c r="AF1070" s="24">
        <f>AD1070-AA1070</f>
        <v>-15.48</v>
      </c>
      <c r="AJ1070" s="3">
        <v>13.41</v>
      </c>
      <c r="AL1070" s="3"/>
      <c r="AM1070" s="3">
        <v>8.4</v>
      </c>
      <c r="AO1070" s="3">
        <f>AM1070-AJ1070</f>
        <v>-5.01</v>
      </c>
      <c r="AP1070" s="3">
        <v>10.1</v>
      </c>
      <c r="AS1070" s="3">
        <v>10.82</v>
      </c>
      <c r="AV1070" s="3">
        <v>12.96</v>
      </c>
      <c r="AY1070" s="3">
        <v>12.96</v>
      </c>
      <c r="AZ1070" s="3">
        <v>10.95</v>
      </c>
      <c r="BC1070" s="3">
        <v>10.95</v>
      </c>
      <c r="BD1070" s="3">
        <v>10.41</v>
      </c>
      <c r="BG1070" s="3">
        <v>10.41</v>
      </c>
      <c r="BH1070" s="3">
        <v>11.08</v>
      </c>
    </row>
    <row r="1071" spans="1:61">
      <c r="B1071" s="103" t="s">
        <v>587</v>
      </c>
      <c r="C1071" s="1" t="s">
        <v>943</v>
      </c>
      <c r="D1071" s="2"/>
      <c r="E1071" s="2"/>
      <c r="F1071" s="8"/>
      <c r="G1071" s="8"/>
      <c r="H1071" s="8"/>
      <c r="I1071" s="8"/>
      <c r="Q1071" s="3"/>
      <c r="BD1071" s="3">
        <v>7.33</v>
      </c>
    </row>
    <row r="1072" spans="1:61">
      <c r="B1072" s="103" t="s">
        <v>587</v>
      </c>
      <c r="C1072" s="1" t="s">
        <v>908</v>
      </c>
      <c r="D1072" s="2"/>
      <c r="E1072" s="2"/>
      <c r="F1072" s="8"/>
      <c r="G1072" s="8"/>
      <c r="H1072" s="8"/>
      <c r="I1072" s="8"/>
      <c r="Q1072" s="3"/>
      <c r="AZ1072" s="3">
        <v>150.19999999999999</v>
      </c>
      <c r="BC1072" s="3">
        <v>150.19999999999999</v>
      </c>
      <c r="BD1072" s="3">
        <v>145</v>
      </c>
      <c r="BG1072" s="3">
        <v>145</v>
      </c>
      <c r="BH1072" s="3">
        <v>164.12</v>
      </c>
    </row>
    <row r="1073" spans="1:60">
      <c r="B1073" s="103" t="s">
        <v>587</v>
      </c>
      <c r="C1073" s="1" t="s">
        <v>289</v>
      </c>
      <c r="D1073" s="2"/>
      <c r="E1073" s="2"/>
      <c r="F1073" s="8"/>
      <c r="G1073" s="8"/>
      <c r="H1073" s="8"/>
      <c r="I1073" s="8"/>
      <c r="K1073" s="3"/>
      <c r="Q1073" s="3"/>
      <c r="T1073" s="3"/>
      <c r="X1073" s="3">
        <v>29.59</v>
      </c>
      <c r="AA1073" s="3">
        <v>32.85</v>
      </c>
      <c r="AC1073" s="3">
        <f>AA1073-X1073</f>
        <v>3.2600000000000016</v>
      </c>
      <c r="AD1073" s="24">
        <v>35.78</v>
      </c>
      <c r="AF1073" s="24">
        <f>AD1073-AA1073</f>
        <v>2.9299999999999997</v>
      </c>
      <c r="AG1073" s="3">
        <v>55.11</v>
      </c>
      <c r="AI1073" s="3">
        <f>AG1073-AD1073</f>
        <v>19.329999999999998</v>
      </c>
      <c r="AJ1073" s="3">
        <v>36.799999999999997</v>
      </c>
      <c r="AL1073" s="3">
        <f>AJ1073-AG1073</f>
        <v>-18.310000000000002</v>
      </c>
      <c r="AM1073" s="3">
        <v>9.5</v>
      </c>
      <c r="AO1073" s="3">
        <f>AM1073-AJ1073</f>
        <v>-27.299999999999997</v>
      </c>
      <c r="AS1073" s="3">
        <v>16.3</v>
      </c>
      <c r="AV1073" s="3">
        <v>15.3</v>
      </c>
      <c r="AY1073" s="3">
        <v>15.3</v>
      </c>
      <c r="AZ1073" s="3">
        <v>14</v>
      </c>
      <c r="BC1073" s="3">
        <v>14</v>
      </c>
      <c r="BD1073" s="3">
        <v>13.75</v>
      </c>
      <c r="BG1073" s="3">
        <v>13.65</v>
      </c>
      <c r="BH1073" s="3">
        <v>22.18</v>
      </c>
    </row>
    <row r="1074" spans="1:60">
      <c r="B1074" s="103" t="s">
        <v>587</v>
      </c>
      <c r="C1074" s="1" t="s">
        <v>290</v>
      </c>
      <c r="D1074" s="2"/>
      <c r="E1074" s="2"/>
      <c r="F1074" s="8"/>
      <c r="G1074" s="8"/>
      <c r="H1074" s="8"/>
      <c r="I1074" s="8"/>
      <c r="K1074" s="3"/>
      <c r="Q1074" s="3"/>
      <c r="T1074" s="3"/>
      <c r="AC1074" s="3"/>
      <c r="AD1074" s="24">
        <v>35.78</v>
      </c>
      <c r="AG1074" s="3">
        <v>26.68</v>
      </c>
      <c r="AI1074" s="3">
        <f>AG1074-AD1074</f>
        <v>-9.1000000000000014</v>
      </c>
      <c r="AJ1074" s="3">
        <v>33.18</v>
      </c>
      <c r="AL1074" s="3">
        <f>AJ1074-AG1074</f>
        <v>6.5</v>
      </c>
      <c r="AM1074" s="3">
        <v>28.4</v>
      </c>
      <c r="AO1074" s="3">
        <f>AM1074-AJ1074</f>
        <v>-4.7800000000000011</v>
      </c>
      <c r="AP1074" s="3">
        <v>32</v>
      </c>
      <c r="AS1074" s="3">
        <v>17.39</v>
      </c>
      <c r="AV1074" s="3">
        <v>16.32</v>
      </c>
      <c r="AY1074" s="3">
        <v>16.32</v>
      </c>
      <c r="AZ1074" s="3">
        <v>13.8</v>
      </c>
      <c r="BC1074" s="3">
        <v>13.8</v>
      </c>
      <c r="BD1074" s="3">
        <v>16.66</v>
      </c>
      <c r="BG1074" s="3">
        <v>16.66</v>
      </c>
      <c r="BH1074" s="3">
        <v>29.79</v>
      </c>
    </row>
    <row r="1075" spans="1:60">
      <c r="B1075" s="103" t="s">
        <v>587</v>
      </c>
      <c r="C1075" s="1" t="s">
        <v>64</v>
      </c>
      <c r="D1075" s="2"/>
      <c r="E1075" s="2"/>
      <c r="F1075" s="8"/>
      <c r="G1075" s="8"/>
      <c r="H1075" s="8"/>
      <c r="I1075" s="8"/>
      <c r="K1075" s="3"/>
      <c r="Q1075" s="3"/>
      <c r="T1075" s="3"/>
      <c r="U1075" s="3">
        <v>19.14</v>
      </c>
      <c r="X1075" s="3">
        <v>18.46</v>
      </c>
      <c r="Z1075" s="3">
        <f>X1075-U1075</f>
        <v>-0.67999999999999972</v>
      </c>
      <c r="AA1075" s="3">
        <v>28.57</v>
      </c>
      <c r="AC1075" s="3">
        <f>AA1075-X1075</f>
        <v>10.11</v>
      </c>
      <c r="AD1075" s="24">
        <v>22.92</v>
      </c>
      <c r="AF1075" s="24">
        <f>AD1075-AA1075</f>
        <v>-5.6499999999999986</v>
      </c>
      <c r="AG1075" s="3">
        <v>19.45</v>
      </c>
      <c r="AI1075" s="3">
        <f>AG1075-AD1075</f>
        <v>-3.4700000000000024</v>
      </c>
      <c r="AJ1075" s="3">
        <v>22.38</v>
      </c>
      <c r="AL1075" s="3">
        <f>AJ1075-AG1075</f>
        <v>2.9299999999999997</v>
      </c>
      <c r="AM1075" s="3">
        <v>8.1999999999999993</v>
      </c>
      <c r="AO1075" s="3">
        <f>AM1075-AJ1075</f>
        <v>-14.18</v>
      </c>
      <c r="AP1075" s="3">
        <v>10.9</v>
      </c>
      <c r="AS1075" s="3">
        <v>14.34</v>
      </c>
      <c r="AV1075" s="3">
        <v>10.31</v>
      </c>
      <c r="AY1075" s="3">
        <v>10.31</v>
      </c>
      <c r="AZ1075" s="3">
        <v>12.93</v>
      </c>
      <c r="BC1075" s="3">
        <v>12.93</v>
      </c>
      <c r="BD1075" s="3">
        <v>7.39</v>
      </c>
      <c r="BG1075" s="3">
        <v>7.39</v>
      </c>
      <c r="BH1075" s="3">
        <v>13.86</v>
      </c>
    </row>
    <row r="1076" spans="1:60">
      <c r="B1076" s="103" t="s">
        <v>587</v>
      </c>
      <c r="C1076" s="1" t="s">
        <v>286</v>
      </c>
      <c r="D1076" s="2"/>
      <c r="E1076" s="2"/>
      <c r="F1076" s="8"/>
      <c r="G1076" s="8"/>
      <c r="H1076" s="8"/>
      <c r="I1076" s="8"/>
      <c r="K1076" s="3"/>
      <c r="Q1076" s="3"/>
      <c r="T1076" s="3"/>
      <c r="U1076" s="3">
        <v>9.09</v>
      </c>
      <c r="AG1076" s="3">
        <v>15.89</v>
      </c>
      <c r="AJ1076" s="3">
        <v>8.82</v>
      </c>
      <c r="AL1076" s="3">
        <f>AJ1076-AG1076</f>
        <v>-7.07</v>
      </c>
      <c r="AM1076" s="3">
        <v>8</v>
      </c>
      <c r="AO1076" s="3">
        <f>AM1076-AJ1076</f>
        <v>-0.82000000000000028</v>
      </c>
      <c r="AS1076" s="3">
        <v>8.81</v>
      </c>
      <c r="AV1076" s="3">
        <v>8.27</v>
      </c>
      <c r="AY1076" s="3">
        <v>8.27</v>
      </c>
      <c r="AZ1076" s="3">
        <v>11.66</v>
      </c>
      <c r="BC1076" s="3">
        <v>11.66</v>
      </c>
      <c r="BD1076" s="3">
        <v>7.33</v>
      </c>
      <c r="BG1076" s="3">
        <v>7.33</v>
      </c>
      <c r="BH1076" s="3">
        <v>13.15</v>
      </c>
    </row>
    <row r="1077" spans="1:60">
      <c r="B1077" s="103" t="s">
        <v>587</v>
      </c>
      <c r="C1077" s="1" t="s">
        <v>288</v>
      </c>
      <c r="D1077" s="2"/>
      <c r="E1077" s="2"/>
      <c r="F1077" s="8"/>
      <c r="G1077" s="8"/>
      <c r="H1077" s="8"/>
      <c r="I1077" s="8"/>
      <c r="K1077" s="3"/>
      <c r="Q1077" s="3"/>
      <c r="T1077" s="3"/>
      <c r="U1077" s="3">
        <v>8.35</v>
      </c>
      <c r="X1077" s="3">
        <v>9.27</v>
      </c>
      <c r="Z1077" s="3">
        <f>X1077-U1077</f>
        <v>0.91999999999999993</v>
      </c>
      <c r="AA1077" s="3">
        <v>22.36</v>
      </c>
      <c r="AC1077" s="3">
        <f>AA1077-X1077</f>
        <v>13.09</v>
      </c>
      <c r="AD1077" s="24">
        <v>178.75</v>
      </c>
      <c r="AF1077" s="24">
        <f>AD1077-AA1077</f>
        <v>156.38999999999999</v>
      </c>
      <c r="AG1077" s="3">
        <v>28.03</v>
      </c>
      <c r="AI1077" s="3">
        <f>AG1077-AD1077</f>
        <v>-150.72</v>
      </c>
      <c r="AJ1077" s="3">
        <v>7.14</v>
      </c>
      <c r="AL1077" s="3">
        <f>AJ1077-AG1077</f>
        <v>-20.89</v>
      </c>
      <c r="AM1077" s="3">
        <v>7</v>
      </c>
      <c r="AO1077" s="3">
        <f>AM1077-AJ1077</f>
        <v>-0.13999999999999968</v>
      </c>
      <c r="AP1077" s="3">
        <v>9.9</v>
      </c>
      <c r="AS1077" s="3">
        <v>20</v>
      </c>
      <c r="AV1077" s="3">
        <v>20.72</v>
      </c>
      <c r="AY1077" s="3">
        <v>20.72</v>
      </c>
      <c r="AZ1077" s="3">
        <v>16.2</v>
      </c>
      <c r="BC1077" s="3">
        <v>16.2</v>
      </c>
      <c r="BD1077" s="3">
        <v>7.33</v>
      </c>
      <c r="BG1077" s="3">
        <v>7.33</v>
      </c>
      <c r="BH1077" s="3">
        <v>7.2</v>
      </c>
    </row>
    <row r="1078" spans="1:60">
      <c r="A1078" s="6">
        <v>11</v>
      </c>
      <c r="B1078" s="103" t="s">
        <v>587</v>
      </c>
      <c r="C1078" s="1" t="s">
        <v>57</v>
      </c>
      <c r="D1078" s="2">
        <v>12.6</v>
      </c>
      <c r="E1078" s="2"/>
      <c r="F1078" s="8">
        <v>0</v>
      </c>
      <c r="G1078" s="8"/>
      <c r="H1078" s="8">
        <v>0</v>
      </c>
      <c r="I1078" s="8"/>
      <c r="M1078" s="3">
        <v>22</v>
      </c>
      <c r="O1078" s="3">
        <v>22</v>
      </c>
      <c r="Q1078" s="3"/>
    </row>
    <row r="1079" spans="1:60">
      <c r="B1079" s="103" t="s">
        <v>587</v>
      </c>
      <c r="C1079" s="1" t="s">
        <v>287</v>
      </c>
      <c r="D1079" s="2"/>
      <c r="E1079" s="2"/>
      <c r="F1079" s="8"/>
      <c r="G1079" s="8"/>
      <c r="H1079" s="8"/>
      <c r="I1079" s="8"/>
      <c r="Q1079" s="3"/>
      <c r="AM1079" s="3">
        <v>9.4</v>
      </c>
      <c r="AP1079" s="3">
        <v>16.600000000000001</v>
      </c>
      <c r="AS1079" s="3">
        <v>10.91</v>
      </c>
      <c r="AV1079" s="3">
        <v>13.5</v>
      </c>
      <c r="AY1079" s="3">
        <v>13.5</v>
      </c>
      <c r="AZ1079" s="3">
        <v>16.3</v>
      </c>
      <c r="BC1079" s="3">
        <v>16.3</v>
      </c>
      <c r="BD1079" s="3">
        <v>8.6</v>
      </c>
      <c r="BG1079" s="3">
        <v>8.6</v>
      </c>
      <c r="BH1079" s="3">
        <v>10.4</v>
      </c>
    </row>
    <row r="1080" spans="1:60">
      <c r="A1080" s="6">
        <v>1</v>
      </c>
      <c r="B1080" s="103" t="s">
        <v>165</v>
      </c>
      <c r="C1080" s="1" t="s">
        <v>52</v>
      </c>
      <c r="D1080" s="2">
        <v>5.5</v>
      </c>
      <c r="E1080" s="2"/>
      <c r="F1080" s="8">
        <v>17.5</v>
      </c>
      <c r="G1080" s="8"/>
      <c r="H1080" s="8">
        <v>17.5</v>
      </c>
      <c r="I1080" s="8">
        <f>H1080-D1080</f>
        <v>12</v>
      </c>
      <c r="L1080" s="1" t="s">
        <v>366</v>
      </c>
      <c r="M1080" s="2">
        <v>17.5</v>
      </c>
      <c r="O1080" s="2">
        <v>17.5</v>
      </c>
      <c r="Q1080" s="3">
        <f>O1080-H1080</f>
        <v>0</v>
      </c>
      <c r="R1080" s="3">
        <v>17.5</v>
      </c>
      <c r="T1080" s="2">
        <f>R1080-O1080</f>
        <v>0</v>
      </c>
      <c r="U1080" s="3">
        <v>24</v>
      </c>
      <c r="W1080" s="3">
        <f>U1080-R1080</f>
        <v>6.5</v>
      </c>
      <c r="X1080" s="3">
        <v>24</v>
      </c>
      <c r="Z1080" s="3">
        <f>X1080-U1080</f>
        <v>0</v>
      </c>
    </row>
    <row r="1081" spans="1:60">
      <c r="A1081" s="6">
        <v>3</v>
      </c>
      <c r="B1081" s="103" t="s">
        <v>165</v>
      </c>
      <c r="C1081" s="1" t="s">
        <v>54</v>
      </c>
      <c r="D1081" s="2">
        <v>3.5</v>
      </c>
      <c r="E1081" s="2"/>
      <c r="F1081" s="8" t="s">
        <v>685</v>
      </c>
      <c r="G1081" s="8"/>
      <c r="H1081" s="8" t="s">
        <v>685</v>
      </c>
      <c r="I1081" s="8"/>
      <c r="M1081" s="2" t="s">
        <v>685</v>
      </c>
      <c r="O1081" s="2" t="s">
        <v>685</v>
      </c>
      <c r="R1081" s="2" t="s">
        <v>685</v>
      </c>
    </row>
    <row r="1082" spans="1:60">
      <c r="A1082" s="6">
        <v>4</v>
      </c>
      <c r="B1082" s="103" t="s">
        <v>165</v>
      </c>
      <c r="C1082" s="1" t="s">
        <v>55</v>
      </c>
      <c r="D1082" s="2" t="s">
        <v>685</v>
      </c>
      <c r="E1082" s="2"/>
      <c r="F1082" s="8" t="s">
        <v>685</v>
      </c>
      <c r="G1082" s="8"/>
      <c r="H1082" s="8" t="s">
        <v>685</v>
      </c>
      <c r="I1082" s="8"/>
      <c r="M1082" s="2" t="s">
        <v>685</v>
      </c>
      <c r="O1082" s="2" t="s">
        <v>685</v>
      </c>
      <c r="R1082" s="2" t="s">
        <v>685</v>
      </c>
    </row>
    <row r="1083" spans="1:60">
      <c r="A1083" s="6">
        <v>5</v>
      </c>
      <c r="B1083" s="103" t="s">
        <v>165</v>
      </c>
      <c r="C1083" s="1" t="s">
        <v>56</v>
      </c>
      <c r="D1083" s="2" t="s">
        <v>685</v>
      </c>
      <c r="E1083" s="2"/>
      <c r="F1083" s="8" t="s">
        <v>685</v>
      </c>
      <c r="G1083" s="8"/>
      <c r="H1083" s="8" t="s">
        <v>685</v>
      </c>
      <c r="I1083" s="8"/>
      <c r="M1083" s="2" t="s">
        <v>685</v>
      </c>
      <c r="O1083" s="2" t="s">
        <v>685</v>
      </c>
      <c r="R1083" s="2" t="s">
        <v>685</v>
      </c>
    </row>
    <row r="1084" spans="1:60">
      <c r="A1084" s="6">
        <v>2</v>
      </c>
      <c r="B1084" s="103" t="s">
        <v>165</v>
      </c>
      <c r="C1084" s="1" t="s">
        <v>53</v>
      </c>
      <c r="D1084" s="2" t="s">
        <v>213</v>
      </c>
      <c r="E1084" s="2"/>
      <c r="F1084" s="8">
        <v>16.25</v>
      </c>
      <c r="G1084" s="8"/>
      <c r="H1084" s="8">
        <v>16.25</v>
      </c>
      <c r="I1084" s="10" t="e">
        <f>H1084-D1084</f>
        <v>#VALUE!</v>
      </c>
      <c r="L1084" s="1" t="s">
        <v>390</v>
      </c>
      <c r="M1084" s="2">
        <v>16.2</v>
      </c>
      <c r="O1084" s="2">
        <v>16.2</v>
      </c>
      <c r="Q1084" s="3">
        <f>O1084-H1084</f>
        <v>-5.0000000000000711E-2</v>
      </c>
      <c r="R1084" s="3">
        <v>16.2</v>
      </c>
      <c r="T1084" s="3">
        <f>R1084-O1084</f>
        <v>0</v>
      </c>
      <c r="U1084" s="3">
        <v>22.5</v>
      </c>
      <c r="W1084" s="3">
        <f>U1084-R1084</f>
        <v>6.3000000000000007</v>
      </c>
      <c r="X1084" s="3">
        <v>22.5</v>
      </c>
      <c r="Z1084" s="3">
        <f>X1084-U1084</f>
        <v>0</v>
      </c>
    </row>
    <row r="1085" spans="1:60" ht="9.6" customHeight="1">
      <c r="B1085" s="103" t="s">
        <v>165</v>
      </c>
      <c r="C1085" s="1" t="s">
        <v>597</v>
      </c>
      <c r="D1085" s="2"/>
      <c r="E1085" s="2"/>
      <c r="F1085" s="8"/>
      <c r="G1085" s="8"/>
      <c r="H1085" s="8"/>
      <c r="M1085" s="2"/>
      <c r="O1085" s="2"/>
      <c r="Q1085" s="3"/>
      <c r="T1085" s="3"/>
      <c r="U1085" s="3">
        <v>25</v>
      </c>
      <c r="X1085" s="3">
        <v>25</v>
      </c>
      <c r="Z1085" s="3">
        <f>X1085-U1085</f>
        <v>0</v>
      </c>
    </row>
    <row r="1086" spans="1:60">
      <c r="A1086" s="6">
        <v>12</v>
      </c>
      <c r="B1086" s="103" t="s">
        <v>165</v>
      </c>
      <c r="C1086" s="1" t="s">
        <v>594</v>
      </c>
      <c r="D1086" s="2">
        <v>7.84</v>
      </c>
      <c r="E1086" s="2"/>
      <c r="F1086" s="8">
        <v>10.25</v>
      </c>
      <c r="G1086" s="8"/>
      <c r="H1086" s="8">
        <v>10.25</v>
      </c>
      <c r="I1086" s="8">
        <f>H1086-D1086</f>
        <v>2.41</v>
      </c>
      <c r="M1086" s="2">
        <v>10.199999999999999</v>
      </c>
      <c r="O1086" s="2">
        <v>10.199999999999999</v>
      </c>
      <c r="Q1086" s="3">
        <f>O1086-H1086</f>
        <v>-5.0000000000000711E-2</v>
      </c>
      <c r="R1086" s="3">
        <v>10.199999999999999</v>
      </c>
      <c r="T1086" s="3">
        <f>R1086-O1086</f>
        <v>0</v>
      </c>
      <c r="U1086" s="3">
        <v>12.5</v>
      </c>
      <c r="W1086" s="3">
        <f>U1086-R1086</f>
        <v>2.3000000000000007</v>
      </c>
      <c r="X1086" s="3">
        <v>12.5</v>
      </c>
      <c r="Z1086" s="3">
        <f>X1086-U1086</f>
        <v>0</v>
      </c>
      <c r="AA1086" s="3">
        <v>10.5</v>
      </c>
      <c r="AC1086" s="3">
        <f>AA1086-X1086</f>
        <v>-2</v>
      </c>
      <c r="AD1086" s="24">
        <v>10.5</v>
      </c>
      <c r="AG1086" s="3">
        <v>10.5</v>
      </c>
      <c r="AI1086" s="3">
        <f>AG1086-AD1086</f>
        <v>0</v>
      </c>
      <c r="AJ1086" s="3">
        <v>10.5</v>
      </c>
      <c r="AL1086" s="3">
        <f>AJ1086-AG1086</f>
        <v>0</v>
      </c>
      <c r="AM1086" s="3">
        <v>10.5</v>
      </c>
      <c r="AO1086" s="3">
        <f>AM1086-AJ1086</f>
        <v>0</v>
      </c>
      <c r="AP1086" s="3">
        <v>10.5</v>
      </c>
      <c r="AS1086" s="3">
        <v>10.5</v>
      </c>
      <c r="AV1086" s="3">
        <v>10.5</v>
      </c>
      <c r="AZ1086" s="3">
        <v>10.5</v>
      </c>
      <c r="BC1086" s="3">
        <v>10.5</v>
      </c>
      <c r="BD1086" s="3">
        <v>10.5</v>
      </c>
      <c r="BG1086" s="3">
        <v>6.5</v>
      </c>
      <c r="BH1086" s="3">
        <v>6.5</v>
      </c>
    </row>
    <row r="1087" spans="1:60">
      <c r="A1087" s="6">
        <v>14</v>
      </c>
      <c r="B1087" s="103" t="s">
        <v>165</v>
      </c>
      <c r="C1087" s="1" t="s">
        <v>58</v>
      </c>
      <c r="D1087" s="2">
        <v>5.5</v>
      </c>
      <c r="E1087" s="2"/>
      <c r="F1087" s="8">
        <v>9.3699999999999992</v>
      </c>
      <c r="G1087" s="8"/>
      <c r="H1087" s="8">
        <v>9.3699999999999992</v>
      </c>
      <c r="I1087" s="9">
        <f>H1087-D1087</f>
        <v>3.8699999999999992</v>
      </c>
      <c r="M1087" s="2">
        <v>9.3699999999999992</v>
      </c>
      <c r="O1087" s="2">
        <v>9.3699999999999992</v>
      </c>
      <c r="Q1087" s="3">
        <f>O1087-H1087</f>
        <v>0</v>
      </c>
      <c r="R1087" s="3">
        <v>9.3699999999999992</v>
      </c>
      <c r="T1087" s="3">
        <f>R1087-O1087</f>
        <v>0</v>
      </c>
      <c r="U1087" s="3">
        <v>14.8</v>
      </c>
      <c r="W1087" s="3">
        <f>U1087-R1087</f>
        <v>5.4300000000000015</v>
      </c>
      <c r="X1087" s="3">
        <v>14</v>
      </c>
      <c r="Z1087" s="3">
        <f>X1087-U1087</f>
        <v>-0.80000000000000071</v>
      </c>
      <c r="AA1087" s="3">
        <v>12.5</v>
      </c>
      <c r="AC1087" s="3">
        <f>AA1087-X1087</f>
        <v>-1.5</v>
      </c>
      <c r="AD1087" s="24">
        <v>12.5</v>
      </c>
      <c r="AG1087" s="3">
        <v>12.5</v>
      </c>
      <c r="AI1087" s="3">
        <f>AG1087-AD1087</f>
        <v>0</v>
      </c>
      <c r="AJ1087" s="3">
        <v>12.5</v>
      </c>
      <c r="AL1087" s="3">
        <f>AJ1087-AG1087</f>
        <v>0</v>
      </c>
      <c r="AM1087" s="3">
        <v>12.5</v>
      </c>
      <c r="AO1087" s="3">
        <f>AM1087-AJ1087</f>
        <v>0</v>
      </c>
      <c r="AP1087" s="3">
        <v>12.5</v>
      </c>
      <c r="AS1087" s="3">
        <v>12.5</v>
      </c>
      <c r="AV1087" s="3">
        <v>12.5</v>
      </c>
      <c r="AZ1087" s="3">
        <v>12.5</v>
      </c>
      <c r="BC1087" s="3">
        <v>12.5</v>
      </c>
      <c r="BD1087" s="3">
        <v>12.5</v>
      </c>
      <c r="BG1087" s="3">
        <v>5.5</v>
      </c>
      <c r="BH1087" s="3">
        <v>5.5</v>
      </c>
    </row>
    <row r="1088" spans="1:60">
      <c r="A1088" s="6">
        <v>11</v>
      </c>
      <c r="B1088" s="103" t="s">
        <v>165</v>
      </c>
      <c r="C1088" s="1" t="s">
        <v>57</v>
      </c>
      <c r="D1088" s="2" t="s">
        <v>685</v>
      </c>
      <c r="E1088" s="2"/>
      <c r="F1088" s="8" t="s">
        <v>685</v>
      </c>
      <c r="G1088" s="8"/>
      <c r="H1088" s="8" t="s">
        <v>685</v>
      </c>
      <c r="I1088" s="8"/>
      <c r="M1088" s="2" t="s">
        <v>685</v>
      </c>
      <c r="O1088" s="2" t="s">
        <v>685</v>
      </c>
      <c r="R1088" s="2" t="s">
        <v>685</v>
      </c>
    </row>
    <row r="1089" spans="1:60">
      <c r="A1089" s="6">
        <v>1</v>
      </c>
      <c r="B1089" s="103" t="s">
        <v>669</v>
      </c>
      <c r="C1089" s="1" t="s">
        <v>52</v>
      </c>
      <c r="D1089" s="2">
        <v>3.8</v>
      </c>
      <c r="E1089" s="2">
        <v>3.38</v>
      </c>
      <c r="F1089" s="8">
        <v>5</v>
      </c>
      <c r="G1089" s="8">
        <v>3.49</v>
      </c>
      <c r="H1089" s="8">
        <v>3.49</v>
      </c>
      <c r="I1089" s="8">
        <f>H1089-E1089</f>
        <v>0.11000000000000032</v>
      </c>
      <c r="M1089" s="3">
        <v>3.8</v>
      </c>
      <c r="O1089" s="3">
        <v>3.8</v>
      </c>
      <c r="Q1089" s="3">
        <f>O1089-H1089</f>
        <v>0.30999999999999961</v>
      </c>
      <c r="R1089" s="3">
        <v>4</v>
      </c>
      <c r="T1089" s="2">
        <f>R1089-O1089</f>
        <v>0.20000000000000018</v>
      </c>
      <c r="U1089" s="3">
        <v>5.6</v>
      </c>
      <c r="W1089" s="3">
        <f>U1089-R1089</f>
        <v>1.5999999999999996</v>
      </c>
      <c r="X1089" s="3">
        <v>5.5</v>
      </c>
      <c r="Z1089" s="3">
        <f>X1089-U1089</f>
        <v>-9.9999999999999645E-2</v>
      </c>
      <c r="AA1089" s="3">
        <v>7</v>
      </c>
      <c r="AC1089" s="3">
        <f>AA1089-X1089</f>
        <v>1.5</v>
      </c>
    </row>
    <row r="1090" spans="1:60">
      <c r="A1090" s="6">
        <v>3</v>
      </c>
      <c r="B1090" s="103" t="s">
        <v>669</v>
      </c>
      <c r="C1090" s="1" t="s">
        <v>54</v>
      </c>
      <c r="D1090" s="2"/>
      <c r="E1090" s="2"/>
      <c r="F1090" s="8"/>
      <c r="G1090" s="8"/>
      <c r="H1090" s="8"/>
      <c r="I1090" s="8"/>
    </row>
    <row r="1091" spans="1:60">
      <c r="A1091" s="6">
        <v>4</v>
      </c>
      <c r="B1091" s="103" t="s">
        <v>669</v>
      </c>
      <c r="C1091" s="1" t="s">
        <v>55</v>
      </c>
      <c r="D1091" s="2"/>
      <c r="E1091" s="2"/>
      <c r="F1091" s="8"/>
      <c r="G1091" s="8"/>
      <c r="H1091" s="8"/>
      <c r="I1091" s="8"/>
    </row>
    <row r="1092" spans="1:60">
      <c r="A1092" s="6">
        <v>5</v>
      </c>
      <c r="B1092" s="103" t="s">
        <v>669</v>
      </c>
      <c r="C1092" s="1" t="s">
        <v>56</v>
      </c>
      <c r="D1092" s="2"/>
      <c r="E1092" s="2"/>
      <c r="F1092" s="8"/>
      <c r="G1092" s="8"/>
      <c r="H1092" s="8"/>
      <c r="I1092" s="8"/>
    </row>
    <row r="1093" spans="1:60">
      <c r="A1093" s="6">
        <v>2</v>
      </c>
      <c r="B1093" s="103" t="s">
        <v>669</v>
      </c>
      <c r="C1093" s="1" t="s">
        <v>53</v>
      </c>
      <c r="D1093" s="2">
        <v>5.3</v>
      </c>
      <c r="E1093" s="2">
        <v>3.6</v>
      </c>
      <c r="F1093" s="8">
        <v>11</v>
      </c>
      <c r="G1093" s="8">
        <v>4.9000000000000004</v>
      </c>
      <c r="H1093" s="8">
        <v>4.9000000000000004</v>
      </c>
      <c r="I1093" s="8">
        <f>H1093-E1093</f>
        <v>1.3000000000000003</v>
      </c>
      <c r="L1093" s="1" t="s">
        <v>234</v>
      </c>
      <c r="M1093" s="3">
        <v>5</v>
      </c>
      <c r="O1093" s="3">
        <v>5</v>
      </c>
      <c r="Q1093" s="3">
        <f>O1093-H1093</f>
        <v>9.9999999999999645E-2</v>
      </c>
      <c r="R1093" s="3">
        <v>6</v>
      </c>
      <c r="T1093" s="3">
        <f>R1093-O1093</f>
        <v>1</v>
      </c>
      <c r="U1093" s="3">
        <v>6.45</v>
      </c>
      <c r="W1093" s="3">
        <f>U1093-R1093</f>
        <v>0.45000000000000018</v>
      </c>
      <c r="X1093" s="3">
        <v>8.8000000000000007</v>
      </c>
      <c r="Z1093" s="3">
        <f>X1093-U1093</f>
        <v>2.3500000000000005</v>
      </c>
      <c r="AA1093" s="3">
        <v>7.98</v>
      </c>
      <c r="AC1093" s="3">
        <f>AA1093-X1093</f>
        <v>-0.82000000000000028</v>
      </c>
    </row>
    <row r="1094" spans="1:60">
      <c r="B1094" s="103" t="s">
        <v>669</v>
      </c>
      <c r="C1094" s="1" t="s">
        <v>158</v>
      </c>
      <c r="D1094" s="2"/>
      <c r="E1094" s="2"/>
      <c r="F1094" s="8"/>
      <c r="G1094" s="8"/>
      <c r="H1094" s="8"/>
      <c r="I1094" s="8"/>
      <c r="Q1094" s="3"/>
      <c r="T1094" s="3"/>
      <c r="AC1094" s="3"/>
      <c r="AD1094" s="24">
        <v>2.2999999999999998</v>
      </c>
      <c r="AG1094" s="3">
        <v>3.1</v>
      </c>
      <c r="AJ1094" s="3">
        <v>3.1</v>
      </c>
      <c r="AS1094" s="3">
        <v>2.5</v>
      </c>
      <c r="AV1094" s="3">
        <v>2.5</v>
      </c>
      <c r="AZ1094" s="3">
        <v>2</v>
      </c>
      <c r="BA1094" s="1" t="s">
        <v>852</v>
      </c>
      <c r="BD1094" s="3">
        <v>3.5</v>
      </c>
      <c r="BE1094" s="1" t="s">
        <v>852</v>
      </c>
    </row>
    <row r="1095" spans="1:60">
      <c r="B1095" s="103" t="s">
        <v>669</v>
      </c>
      <c r="C1095" s="1" t="s">
        <v>597</v>
      </c>
      <c r="D1095" s="2"/>
      <c r="E1095" s="2"/>
      <c r="F1095" s="8"/>
      <c r="G1095" s="8"/>
      <c r="H1095" s="8"/>
      <c r="I1095" s="8"/>
      <c r="Q1095" s="3"/>
      <c r="T1095" s="3"/>
      <c r="U1095" s="3">
        <v>7.25</v>
      </c>
      <c r="X1095" s="3">
        <v>8.9700000000000006</v>
      </c>
      <c r="Z1095" s="3">
        <f>X1095-U1095</f>
        <v>1.7200000000000006</v>
      </c>
      <c r="AA1095" s="3">
        <v>9.83</v>
      </c>
      <c r="AC1095" s="3">
        <f>AA1095-X1095</f>
        <v>0.85999999999999943</v>
      </c>
      <c r="AD1095" s="24">
        <v>9.1999999999999993</v>
      </c>
      <c r="AG1095" s="3">
        <v>9.7200000000000006</v>
      </c>
      <c r="AJ1095" s="3">
        <v>11.1</v>
      </c>
      <c r="AM1095" s="3">
        <v>12</v>
      </c>
      <c r="AP1095" s="3">
        <v>12</v>
      </c>
      <c r="AS1095" s="3">
        <v>11.5</v>
      </c>
      <c r="AV1095" s="3">
        <v>16.3</v>
      </c>
      <c r="AZ1095" s="3">
        <v>1</v>
      </c>
      <c r="BA1095" s="1" t="s">
        <v>852</v>
      </c>
      <c r="BD1095" s="3">
        <v>15.85</v>
      </c>
      <c r="BE1095" s="1" t="s">
        <v>852</v>
      </c>
      <c r="BH1095" s="3">
        <v>10.27</v>
      </c>
    </row>
    <row r="1096" spans="1:60">
      <c r="B1096" s="103" t="s">
        <v>669</v>
      </c>
      <c r="C1096" s="1" t="s">
        <v>600</v>
      </c>
      <c r="D1096" s="2"/>
      <c r="E1096" s="2"/>
      <c r="F1096" s="8"/>
      <c r="G1096" s="8"/>
      <c r="H1096" s="8"/>
      <c r="I1096" s="8"/>
      <c r="Q1096" s="3"/>
      <c r="T1096" s="3"/>
      <c r="U1096" s="3">
        <v>13</v>
      </c>
      <c r="X1096" s="3">
        <v>10</v>
      </c>
      <c r="Z1096" s="3">
        <f>X1096-U1096</f>
        <v>-3</v>
      </c>
      <c r="AA1096" s="3">
        <v>12.85</v>
      </c>
      <c r="AC1096" s="3">
        <f>AA1096-X1096</f>
        <v>2.8499999999999996</v>
      </c>
      <c r="AG1096" s="3">
        <v>19.399999999999999</v>
      </c>
    </row>
    <row r="1097" spans="1:60">
      <c r="B1097" s="103" t="s">
        <v>669</v>
      </c>
      <c r="C1097" s="1" t="s">
        <v>595</v>
      </c>
      <c r="D1097" s="2"/>
      <c r="E1097" s="2"/>
      <c r="F1097" s="8"/>
      <c r="G1097" s="8"/>
      <c r="H1097" s="8"/>
      <c r="I1097" s="8"/>
      <c r="Q1097" s="3"/>
      <c r="R1097" s="3">
        <v>3</v>
      </c>
      <c r="T1097" s="3"/>
      <c r="U1097" s="3">
        <v>2.23</v>
      </c>
      <c r="W1097" s="3">
        <f>U1097-R1097</f>
        <v>-0.77</v>
      </c>
      <c r="X1097" s="3">
        <v>2.92</v>
      </c>
      <c r="Z1097" s="3">
        <f>X1097-U1097</f>
        <v>0.69</v>
      </c>
      <c r="AA1097" s="3">
        <v>2.7</v>
      </c>
      <c r="AC1097" s="3">
        <f>AA1097-X1097</f>
        <v>-0.21999999999999975</v>
      </c>
      <c r="AD1097" s="24">
        <v>3</v>
      </c>
      <c r="AG1097" s="3">
        <v>3.25</v>
      </c>
      <c r="AI1097" s="3">
        <f>AG1097-AD1097</f>
        <v>0.25</v>
      </c>
      <c r="AJ1097" s="3">
        <v>3.23</v>
      </c>
      <c r="AL1097" s="3">
        <f>AJ1097-AG1097</f>
        <v>-2.0000000000000018E-2</v>
      </c>
      <c r="AM1097" s="3">
        <v>2.23</v>
      </c>
      <c r="AO1097" s="3">
        <f>AM1097-AJ1097</f>
        <v>-1</v>
      </c>
      <c r="AP1097" s="3">
        <v>2.23</v>
      </c>
      <c r="AS1097" s="3">
        <v>3.7450000000000001</v>
      </c>
      <c r="AV1097" s="3">
        <v>4.5</v>
      </c>
      <c r="AZ1097" s="3">
        <v>4.5</v>
      </c>
      <c r="BA1097" s="1" t="s">
        <v>852</v>
      </c>
      <c r="BD1097" s="3">
        <v>4.5</v>
      </c>
      <c r="BE1097" s="1" t="s">
        <v>852</v>
      </c>
      <c r="BH1097" s="3">
        <v>3.76</v>
      </c>
    </row>
    <row r="1098" spans="1:60">
      <c r="B1098" s="103" t="s">
        <v>669</v>
      </c>
      <c r="C1098" s="1" t="s">
        <v>700</v>
      </c>
      <c r="D1098" s="2"/>
      <c r="E1098" s="2"/>
      <c r="F1098" s="8"/>
      <c r="G1098" s="8"/>
      <c r="H1098" s="8"/>
      <c r="I1098" s="8"/>
      <c r="Q1098" s="3"/>
      <c r="T1098" s="3"/>
      <c r="W1098" s="3"/>
      <c r="X1098" s="3">
        <v>3.04</v>
      </c>
      <c r="AG1098" s="3">
        <v>2.54</v>
      </c>
      <c r="AZ1098" s="3">
        <v>2.48</v>
      </c>
      <c r="BA1098" s="1" t="s">
        <v>852</v>
      </c>
    </row>
    <row r="1099" spans="1:60">
      <c r="A1099" s="6">
        <v>12</v>
      </c>
      <c r="B1099" s="103" t="s">
        <v>669</v>
      </c>
      <c r="C1099" s="1" t="s">
        <v>594</v>
      </c>
      <c r="D1099" s="2">
        <v>3.7</v>
      </c>
      <c r="E1099" s="2">
        <v>1.91</v>
      </c>
      <c r="F1099" s="8">
        <v>2.5</v>
      </c>
      <c r="G1099" s="8">
        <v>1.91</v>
      </c>
      <c r="H1099" s="8">
        <v>1.91</v>
      </c>
      <c r="I1099" s="8">
        <f>H1099-E1099</f>
        <v>0</v>
      </c>
      <c r="M1099" s="3">
        <v>2.2999999999999998</v>
      </c>
      <c r="O1099" s="3">
        <v>2.2999999999999998</v>
      </c>
      <c r="Q1099" s="3">
        <f>O1099-H1099</f>
        <v>0.3899999999999999</v>
      </c>
      <c r="R1099" s="3">
        <v>3</v>
      </c>
      <c r="T1099" s="3">
        <f>R1099-O1099</f>
        <v>0.70000000000000018</v>
      </c>
      <c r="U1099" s="3">
        <v>3.51</v>
      </c>
      <c r="W1099" s="3">
        <f>U1099-R1099</f>
        <v>0.50999999999999979</v>
      </c>
      <c r="X1099" s="3">
        <v>5.1100000000000003</v>
      </c>
      <c r="Z1099" s="3">
        <f>X1099-U1099</f>
        <v>1.6000000000000005</v>
      </c>
      <c r="AA1099" s="3">
        <v>3.65</v>
      </c>
      <c r="AC1099" s="3">
        <f>AA1099-X1099</f>
        <v>-1.4600000000000004</v>
      </c>
      <c r="AD1099" s="24">
        <v>4.7</v>
      </c>
      <c r="AG1099" s="3">
        <v>3</v>
      </c>
      <c r="AI1099" s="3">
        <f>AG1099-AD1099</f>
        <v>-1.7000000000000002</v>
      </c>
      <c r="AJ1099" s="3">
        <v>3.33</v>
      </c>
      <c r="AL1099" s="3">
        <f>AJ1099-AG1099</f>
        <v>0.33000000000000007</v>
      </c>
      <c r="AM1099" s="3">
        <v>3.85</v>
      </c>
      <c r="AO1099" s="3">
        <f>AM1099-AJ1099</f>
        <v>0.52</v>
      </c>
      <c r="AP1099" s="3">
        <v>3.85</v>
      </c>
      <c r="AS1099" s="3">
        <v>4.9649999999999999</v>
      </c>
      <c r="AV1099" s="3">
        <v>6.5</v>
      </c>
      <c r="AZ1099" s="3">
        <v>4.97</v>
      </c>
      <c r="BA1099" s="1" t="s">
        <v>852</v>
      </c>
      <c r="BD1099" s="3">
        <v>4.83</v>
      </c>
      <c r="BE1099" s="1" t="s">
        <v>852</v>
      </c>
      <c r="BH1099" s="3">
        <v>2.5299999999999998</v>
      </c>
    </row>
    <row r="1100" spans="1:60">
      <c r="B1100" s="103" t="s">
        <v>669</v>
      </c>
      <c r="C1100" s="1" t="s">
        <v>643</v>
      </c>
      <c r="D1100" s="2"/>
      <c r="E1100" s="2"/>
      <c r="F1100" s="8"/>
      <c r="G1100" s="8"/>
      <c r="H1100" s="8"/>
      <c r="I1100" s="8"/>
      <c r="Q1100" s="3"/>
      <c r="T1100" s="3"/>
      <c r="AC1100" s="3"/>
      <c r="AL1100" s="3"/>
      <c r="AM1100" s="3">
        <v>77.89</v>
      </c>
      <c r="AP1100" s="3">
        <v>77.89</v>
      </c>
      <c r="AS1100" s="3">
        <v>26</v>
      </c>
      <c r="AV1100" s="3">
        <v>26</v>
      </c>
      <c r="AZ1100" s="3">
        <v>31</v>
      </c>
      <c r="BA1100" s="1" t="s">
        <v>852</v>
      </c>
    </row>
    <row r="1101" spans="1:60">
      <c r="B1101" s="103" t="s">
        <v>669</v>
      </c>
      <c r="C1101" s="1" t="s">
        <v>372</v>
      </c>
      <c r="D1101" s="2"/>
      <c r="E1101" s="2"/>
      <c r="F1101" s="8"/>
      <c r="G1101" s="8"/>
      <c r="H1101" s="8"/>
      <c r="I1101" s="8"/>
      <c r="Q1101" s="3"/>
      <c r="T1101" s="3"/>
      <c r="AC1101" s="3"/>
      <c r="AL1101" s="3"/>
      <c r="BH1101" s="3">
        <v>3.93</v>
      </c>
    </row>
    <row r="1102" spans="1:60">
      <c r="B1102" s="103" t="s">
        <v>669</v>
      </c>
      <c r="C1102" s="1" t="s">
        <v>851</v>
      </c>
      <c r="D1102" s="2"/>
      <c r="E1102" s="2"/>
      <c r="F1102" s="8"/>
      <c r="G1102" s="8"/>
      <c r="H1102" s="8"/>
      <c r="I1102" s="8"/>
      <c r="Q1102" s="3"/>
      <c r="T1102" s="3"/>
      <c r="AC1102" s="3"/>
      <c r="AL1102" s="3"/>
      <c r="BH1102" s="3">
        <v>3.78</v>
      </c>
    </row>
    <row r="1103" spans="1:60" ht="9.6" customHeight="1">
      <c r="A1103" s="6">
        <v>14</v>
      </c>
      <c r="B1103" s="103" t="s">
        <v>669</v>
      </c>
      <c r="C1103" s="1" t="s">
        <v>58</v>
      </c>
      <c r="D1103" s="2">
        <v>11.6</v>
      </c>
      <c r="E1103" s="2">
        <v>5.23</v>
      </c>
      <c r="F1103" s="8">
        <v>8</v>
      </c>
      <c r="G1103" s="8">
        <v>5.23</v>
      </c>
      <c r="H1103" s="8">
        <v>5.23</v>
      </c>
      <c r="I1103" s="8">
        <f>H1103-E1103</f>
        <v>0</v>
      </c>
      <c r="M1103" s="3">
        <v>5</v>
      </c>
      <c r="O1103" s="3">
        <v>5</v>
      </c>
      <c r="Q1103" s="3">
        <f>O1103-H1103</f>
        <v>-0.23000000000000043</v>
      </c>
      <c r="R1103" s="3">
        <v>6</v>
      </c>
      <c r="T1103" s="3">
        <f>R1103-O1103</f>
        <v>1</v>
      </c>
      <c r="U1103" s="3">
        <v>8.07</v>
      </c>
      <c r="W1103" s="3">
        <f>U1103-R1103</f>
        <v>2.0700000000000003</v>
      </c>
      <c r="X1103" s="3">
        <v>12.62</v>
      </c>
      <c r="Z1103" s="3">
        <f>X1103-U1103</f>
        <v>4.5499999999999989</v>
      </c>
      <c r="AA1103" s="3">
        <v>7.62</v>
      </c>
      <c r="AC1103" s="3">
        <f>AA1103-X1103</f>
        <v>-4.9999999999999991</v>
      </c>
      <c r="AD1103" s="24">
        <v>7</v>
      </c>
      <c r="AG1103" s="3">
        <v>4.3</v>
      </c>
      <c r="AI1103" s="3">
        <f>AG1103-AD1103</f>
        <v>-2.7</v>
      </c>
      <c r="AJ1103" s="3">
        <v>3.8</v>
      </c>
      <c r="AL1103" s="3">
        <f>AJ1103-AG1103</f>
        <v>-0.5</v>
      </c>
      <c r="AM1103" s="3">
        <v>3.8</v>
      </c>
      <c r="AO1103" s="3">
        <f>AM1103-AJ1103</f>
        <v>0</v>
      </c>
      <c r="AP1103" s="3">
        <v>3.8</v>
      </c>
      <c r="AS1103" s="3">
        <v>5.4</v>
      </c>
      <c r="AV1103" s="3">
        <v>6.5</v>
      </c>
      <c r="AZ1103" s="3">
        <v>7.52</v>
      </c>
      <c r="BA1103" s="1" t="s">
        <v>852</v>
      </c>
      <c r="BD1103" s="3">
        <v>8.27</v>
      </c>
      <c r="BE1103" s="1" t="s">
        <v>852</v>
      </c>
      <c r="BH1103" s="3">
        <v>4.7050000000000001</v>
      </c>
    </row>
    <row r="1104" spans="1:60" ht="9.6" customHeight="1">
      <c r="B1104" s="103" t="s">
        <v>669</v>
      </c>
      <c r="C1104" s="1" t="s">
        <v>961</v>
      </c>
      <c r="D1104" s="2"/>
      <c r="E1104" s="2"/>
      <c r="F1104" s="8"/>
      <c r="G1104" s="8"/>
      <c r="H1104" s="8"/>
      <c r="I1104" s="8"/>
      <c r="Q1104" s="3"/>
      <c r="T1104" s="3"/>
      <c r="W1104" s="3"/>
      <c r="AC1104" s="3"/>
      <c r="AI1104" s="3"/>
      <c r="AL1104" s="3"/>
      <c r="AO1104" s="3"/>
      <c r="BH1104" s="3">
        <v>3.86</v>
      </c>
    </row>
    <row r="1105" spans="2:60" ht="9.6" customHeight="1">
      <c r="B1105" s="103" t="s">
        <v>669</v>
      </c>
      <c r="C1105" s="1" t="s">
        <v>856</v>
      </c>
      <c r="D1105" s="2"/>
      <c r="E1105" s="2"/>
      <c r="F1105" s="8"/>
      <c r="G1105" s="8"/>
      <c r="H1105" s="8"/>
      <c r="I1105" s="8"/>
      <c r="Q1105" s="3"/>
      <c r="T1105" s="3"/>
      <c r="W1105" s="3"/>
      <c r="AC1105" s="3"/>
      <c r="AI1105" s="3"/>
      <c r="AL1105" s="3"/>
      <c r="AO1105" s="3"/>
      <c r="BH1105" s="3">
        <v>3.86</v>
      </c>
    </row>
    <row r="1106" spans="2:60" ht="9.6" customHeight="1">
      <c r="B1106" s="103" t="s">
        <v>669</v>
      </c>
      <c r="C1106" s="1" t="s">
        <v>1027</v>
      </c>
      <c r="D1106" s="2"/>
      <c r="E1106" s="2"/>
      <c r="F1106" s="8"/>
      <c r="G1106" s="8"/>
      <c r="H1106" s="8"/>
      <c r="I1106" s="8"/>
      <c r="Q1106" s="3"/>
      <c r="T1106" s="3"/>
      <c r="W1106" s="3"/>
      <c r="AC1106" s="3"/>
      <c r="AI1106" s="3"/>
      <c r="AL1106" s="3"/>
      <c r="AO1106" s="3"/>
      <c r="BH1106" s="3">
        <v>3.07</v>
      </c>
    </row>
    <row r="1107" spans="2:60" ht="9.6" customHeight="1">
      <c r="B1107" s="103" t="s">
        <v>669</v>
      </c>
      <c r="C1107" s="1" t="s">
        <v>868</v>
      </c>
      <c r="D1107" s="2"/>
      <c r="E1107" s="2"/>
      <c r="F1107" s="8"/>
      <c r="G1107" s="8"/>
      <c r="H1107" s="8"/>
      <c r="I1107" s="8"/>
      <c r="Q1107" s="3"/>
      <c r="T1107" s="3"/>
      <c r="W1107" s="3"/>
      <c r="AC1107" s="3"/>
      <c r="AI1107" s="3"/>
      <c r="AL1107" s="3"/>
      <c r="AO1107" s="3"/>
      <c r="BH1107" s="3">
        <v>3.07</v>
      </c>
    </row>
    <row r="1108" spans="2:60" ht="9.6" customHeight="1">
      <c r="B1108" s="103" t="s">
        <v>669</v>
      </c>
      <c r="C1108" s="1" t="s">
        <v>607</v>
      </c>
      <c r="D1108" s="2"/>
      <c r="E1108" s="2"/>
      <c r="F1108" s="8"/>
      <c r="G1108" s="8"/>
      <c r="H1108" s="8"/>
      <c r="I1108" s="8"/>
      <c r="Q1108" s="3"/>
      <c r="T1108" s="3"/>
      <c r="U1108" s="3">
        <v>30</v>
      </c>
      <c r="X1108" s="3">
        <v>50</v>
      </c>
      <c r="Z1108" s="3">
        <f>X1108-U1108</f>
        <v>20</v>
      </c>
      <c r="AA1108" s="3">
        <v>35</v>
      </c>
      <c r="AC1108" s="3">
        <f>AA1108-X1108</f>
        <v>-15</v>
      </c>
      <c r="AV1108" s="3">
        <v>8.9</v>
      </c>
      <c r="AZ1108" s="3">
        <v>50</v>
      </c>
      <c r="BA1108" s="1" t="s">
        <v>852</v>
      </c>
      <c r="BH1108" s="3">
        <v>16.2</v>
      </c>
    </row>
    <row r="1109" spans="2:60">
      <c r="B1109" s="103" t="s">
        <v>669</v>
      </c>
      <c r="C1109" s="1" t="s">
        <v>854</v>
      </c>
      <c r="D1109" s="2"/>
      <c r="E1109" s="2"/>
      <c r="F1109" s="8"/>
      <c r="G1109" s="8"/>
      <c r="H1109" s="8"/>
      <c r="I1109" s="8"/>
      <c r="Q1109" s="3"/>
      <c r="T1109" s="3"/>
      <c r="BH1109" s="3">
        <v>3.24</v>
      </c>
    </row>
    <row r="1110" spans="2:60">
      <c r="B1110" s="103" t="s">
        <v>669</v>
      </c>
      <c r="C1110" s="1" t="s">
        <v>869</v>
      </c>
      <c r="D1110" s="2"/>
      <c r="E1110" s="2"/>
      <c r="F1110" s="8"/>
      <c r="G1110" s="8"/>
      <c r="H1110" s="8"/>
      <c r="I1110" s="8"/>
      <c r="Q1110" s="3"/>
      <c r="T1110" s="3"/>
      <c r="AC1110" s="3"/>
      <c r="AZ1110" s="3">
        <v>43.55</v>
      </c>
      <c r="BA1110" s="1" t="s">
        <v>852</v>
      </c>
      <c r="BH1110" s="3">
        <v>16.8</v>
      </c>
    </row>
    <row r="1111" spans="2:60">
      <c r="B1111" s="103" t="s">
        <v>669</v>
      </c>
      <c r="C1111" s="1" t="s">
        <v>291</v>
      </c>
      <c r="D1111" s="2"/>
      <c r="E1111" s="2"/>
      <c r="F1111" s="8"/>
      <c r="G1111" s="8"/>
      <c r="H1111" s="8"/>
      <c r="I1111" s="8"/>
      <c r="Q1111" s="3"/>
      <c r="T1111" s="3"/>
      <c r="U1111" s="3">
        <v>25</v>
      </c>
      <c r="X1111" s="3">
        <v>16.78</v>
      </c>
      <c r="Z1111" s="3">
        <f>X1111-U1111</f>
        <v>-8.2199999999999989</v>
      </c>
      <c r="AA1111" s="3">
        <v>14.67</v>
      </c>
      <c r="AC1111" s="3">
        <f>AA1111-X1111</f>
        <v>-2.1100000000000012</v>
      </c>
      <c r="AD1111" s="24">
        <v>12</v>
      </c>
      <c r="AG1111" s="3">
        <v>15</v>
      </c>
      <c r="AJ1111" s="3">
        <v>10.5</v>
      </c>
      <c r="AM1111" s="3">
        <v>10</v>
      </c>
      <c r="AP1111" s="3">
        <v>10</v>
      </c>
      <c r="AV1111" s="3">
        <v>12.5</v>
      </c>
      <c r="AZ1111" s="3">
        <v>12</v>
      </c>
      <c r="BA1111" s="1" t="s">
        <v>852</v>
      </c>
      <c r="BD1111" s="3">
        <v>12</v>
      </c>
      <c r="BE1111" s="1" t="s">
        <v>852</v>
      </c>
      <c r="BH1111" s="3">
        <v>10.199999999999999</v>
      </c>
    </row>
    <row r="1112" spans="2:60">
      <c r="B1112" s="103" t="s">
        <v>669</v>
      </c>
      <c r="C1112" s="1" t="s">
        <v>858</v>
      </c>
      <c r="D1112" s="2"/>
      <c r="E1112" s="2"/>
      <c r="F1112" s="8"/>
      <c r="G1112" s="8"/>
      <c r="H1112" s="8"/>
      <c r="I1112" s="8"/>
      <c r="Q1112" s="3"/>
      <c r="T1112" s="3"/>
      <c r="AC1112" s="3"/>
      <c r="BH1112" s="3">
        <v>4.2</v>
      </c>
    </row>
    <row r="1113" spans="2:60">
      <c r="B1113" s="103" t="s">
        <v>669</v>
      </c>
      <c r="C1113" s="1" t="s">
        <v>857</v>
      </c>
      <c r="D1113" s="2"/>
      <c r="E1113" s="2"/>
      <c r="F1113" s="8"/>
      <c r="G1113" s="8"/>
      <c r="H1113" s="8"/>
      <c r="I1113" s="8"/>
      <c r="Q1113" s="3"/>
      <c r="T1113" s="3"/>
      <c r="AC1113" s="3"/>
      <c r="AL1113" s="3"/>
      <c r="AZ1113" s="3">
        <v>4.66</v>
      </c>
      <c r="BA1113" s="1" t="s">
        <v>852</v>
      </c>
      <c r="BD1113" s="3">
        <v>6.38</v>
      </c>
      <c r="BE1113" s="1" t="s">
        <v>852</v>
      </c>
      <c r="BH1113" s="3">
        <v>3.1815789473684211</v>
      </c>
    </row>
    <row r="1114" spans="2:60">
      <c r="B1114" s="103" t="s">
        <v>669</v>
      </c>
      <c r="C1114" s="1" t="s">
        <v>606</v>
      </c>
      <c r="D1114" s="2"/>
      <c r="E1114" s="2"/>
      <c r="F1114" s="8"/>
      <c r="G1114" s="8"/>
      <c r="H1114" s="8"/>
      <c r="I1114" s="8"/>
      <c r="Q1114" s="3"/>
      <c r="T1114" s="3"/>
      <c r="AA1114" s="3">
        <v>18</v>
      </c>
      <c r="BD1114" s="3">
        <v>13</v>
      </c>
      <c r="BE1114" s="1" t="s">
        <v>852</v>
      </c>
    </row>
    <row r="1115" spans="2:60">
      <c r="B1115" s="103" t="s">
        <v>669</v>
      </c>
      <c r="C1115" s="1" t="s">
        <v>289</v>
      </c>
      <c r="D1115" s="2"/>
      <c r="E1115" s="2"/>
      <c r="F1115" s="8"/>
      <c r="G1115" s="8"/>
      <c r="H1115" s="8"/>
      <c r="I1115" s="8"/>
      <c r="Q1115" s="3"/>
      <c r="T1115" s="3"/>
      <c r="U1115" s="3">
        <v>8</v>
      </c>
      <c r="X1115" s="3">
        <v>8.52</v>
      </c>
      <c r="Z1115" s="3">
        <f>X1115-U1115</f>
        <v>0.51999999999999957</v>
      </c>
      <c r="AA1115" s="3">
        <v>6.75</v>
      </c>
      <c r="AC1115" s="3">
        <f>AA1115-X1115</f>
        <v>-1.7699999999999996</v>
      </c>
      <c r="AG1115" s="3">
        <v>4</v>
      </c>
      <c r="AJ1115" s="3">
        <v>2.23</v>
      </c>
      <c r="AL1115" s="3">
        <f>AJ1115-AG1115</f>
        <v>-1.77</v>
      </c>
      <c r="AZ1115" s="3">
        <v>18.14</v>
      </c>
      <c r="BA1115" s="1" t="s">
        <v>852</v>
      </c>
      <c r="BD1115" s="3">
        <v>2.5</v>
      </c>
      <c r="BE1115" s="1" t="s">
        <v>852</v>
      </c>
      <c r="BH1115" s="3">
        <v>2.78</v>
      </c>
    </row>
    <row r="1116" spans="2:60">
      <c r="B1116" s="103" t="s">
        <v>669</v>
      </c>
      <c r="C1116" s="1" t="s">
        <v>160</v>
      </c>
      <c r="D1116" s="2"/>
      <c r="E1116" s="2"/>
      <c r="F1116" s="8"/>
      <c r="G1116" s="8"/>
      <c r="H1116" s="8"/>
      <c r="I1116" s="8"/>
      <c r="Q1116" s="3"/>
      <c r="T1116" s="3"/>
      <c r="U1116" s="3">
        <v>2</v>
      </c>
      <c r="X1116" s="3">
        <v>2.75</v>
      </c>
      <c r="Z1116" s="3">
        <f>X1116-U1116</f>
        <v>0.75</v>
      </c>
      <c r="AG1116" s="3">
        <v>2.5499999999999998</v>
      </c>
    </row>
    <row r="1117" spans="2:60">
      <c r="B1117" s="103" t="s">
        <v>669</v>
      </c>
      <c r="C1117" s="1" t="s">
        <v>238</v>
      </c>
      <c r="D1117" s="2"/>
      <c r="E1117" s="2"/>
      <c r="F1117" s="8"/>
      <c r="G1117" s="8"/>
      <c r="H1117" s="8"/>
      <c r="I1117" s="8"/>
      <c r="Q1117" s="3"/>
      <c r="T1117" s="3"/>
      <c r="AC1117" s="3"/>
      <c r="AL1117" s="3"/>
      <c r="BD1117" s="3">
        <v>4</v>
      </c>
      <c r="BE1117" s="1" t="s">
        <v>852</v>
      </c>
      <c r="BH1117" s="3">
        <v>2.5</v>
      </c>
    </row>
    <row r="1118" spans="2:60">
      <c r="B1118" s="103" t="s">
        <v>669</v>
      </c>
      <c r="C1118" s="1" t="s">
        <v>290</v>
      </c>
      <c r="D1118" s="2"/>
      <c r="E1118" s="2"/>
      <c r="F1118" s="8"/>
      <c r="G1118" s="8"/>
      <c r="H1118" s="8"/>
      <c r="I1118" s="8"/>
      <c r="Q1118" s="3"/>
      <c r="T1118" s="3"/>
      <c r="U1118" s="3">
        <v>6</v>
      </c>
      <c r="X1118" s="3">
        <v>4.4000000000000004</v>
      </c>
      <c r="Z1118" s="3">
        <f>X1118-U1118</f>
        <v>-1.5999999999999996</v>
      </c>
      <c r="AA1118" s="3">
        <v>6.5</v>
      </c>
      <c r="AC1118" s="3">
        <f>AA1118-X1118</f>
        <v>2.0999999999999996</v>
      </c>
      <c r="AG1118" s="3">
        <v>5.7</v>
      </c>
      <c r="AJ1118" s="3">
        <v>4.5</v>
      </c>
      <c r="AL1118" s="3">
        <f>AJ1118-AG1118</f>
        <v>-1.2000000000000002</v>
      </c>
      <c r="AZ1118" s="3">
        <v>6.41</v>
      </c>
      <c r="BA1118" s="1" t="s">
        <v>852</v>
      </c>
      <c r="BD1118" s="3">
        <v>2.5</v>
      </c>
      <c r="BE1118" s="1" t="s">
        <v>852</v>
      </c>
      <c r="BH1118" s="3">
        <v>3.02</v>
      </c>
    </row>
    <row r="1119" spans="2:60" ht="9.6" customHeight="1">
      <c r="B1119" s="103" t="s">
        <v>669</v>
      </c>
      <c r="C1119" s="1" t="s">
        <v>64</v>
      </c>
      <c r="D1119" s="2"/>
      <c r="E1119" s="2"/>
      <c r="F1119" s="8"/>
      <c r="G1119" s="8"/>
      <c r="H1119" s="8"/>
      <c r="I1119" s="8"/>
      <c r="Q1119" s="3"/>
      <c r="T1119" s="3"/>
      <c r="U1119" s="3">
        <v>9.23</v>
      </c>
      <c r="X1119" s="3">
        <v>17.22</v>
      </c>
      <c r="Z1119" s="3">
        <f>X1119-U1119</f>
        <v>7.9899999999999984</v>
      </c>
      <c r="AA1119" s="3">
        <v>9.61</v>
      </c>
      <c r="AC1119" s="3">
        <f>AA1119-X1119</f>
        <v>-7.6099999999999994</v>
      </c>
      <c r="AD1119" s="24">
        <v>8.5</v>
      </c>
      <c r="AG1119" s="3">
        <v>5.2</v>
      </c>
      <c r="AI1119" s="3">
        <f>AG1119-AD1119</f>
        <v>-3.3</v>
      </c>
      <c r="AJ1119" s="3">
        <v>4.83</v>
      </c>
      <c r="AL1119" s="3">
        <f>AJ1119-AG1119</f>
        <v>-0.37000000000000011</v>
      </c>
      <c r="AM1119" s="3">
        <v>5.01</v>
      </c>
      <c r="AO1119" s="3">
        <f>AM1119-AJ1119</f>
        <v>0.17999999999999972</v>
      </c>
      <c r="AP1119" s="3">
        <v>5.01</v>
      </c>
      <c r="AS1119" s="3">
        <v>7.35</v>
      </c>
      <c r="AV1119" s="3">
        <v>6.2</v>
      </c>
      <c r="AZ1119" s="3">
        <v>5.72</v>
      </c>
      <c r="BA1119" s="1" t="s">
        <v>852</v>
      </c>
      <c r="BD1119" s="3">
        <v>4.82</v>
      </c>
      <c r="BE1119" s="1" t="s">
        <v>852</v>
      </c>
      <c r="BH1119" s="3">
        <v>4.6979357798165138</v>
      </c>
    </row>
    <row r="1120" spans="2:60">
      <c r="B1120" s="103" t="s">
        <v>669</v>
      </c>
      <c r="C1120" s="1" t="s">
        <v>855</v>
      </c>
      <c r="D1120" s="2"/>
      <c r="E1120" s="2"/>
      <c r="F1120" s="8"/>
      <c r="G1120" s="8"/>
      <c r="H1120" s="8"/>
      <c r="I1120" s="8"/>
      <c r="Q1120" s="3"/>
      <c r="T1120" s="3"/>
      <c r="AC1120" s="3"/>
      <c r="AI1120" s="3"/>
      <c r="AL1120" s="3"/>
      <c r="AO1120" s="3"/>
      <c r="BH1120" s="3">
        <v>4.17</v>
      </c>
    </row>
    <row r="1121" spans="1:60">
      <c r="B1121" s="103" t="s">
        <v>669</v>
      </c>
      <c r="C1121" s="1" t="s">
        <v>286</v>
      </c>
      <c r="D1121" s="2"/>
      <c r="E1121" s="2"/>
      <c r="F1121" s="8"/>
      <c r="G1121" s="8"/>
      <c r="H1121" s="8"/>
      <c r="I1121" s="8"/>
      <c r="Q1121" s="3"/>
      <c r="T1121" s="3"/>
      <c r="U1121" s="3">
        <v>9.18</v>
      </c>
      <c r="X1121" s="3">
        <v>17.73</v>
      </c>
      <c r="Z1121" s="3">
        <f>X1121-U1121</f>
        <v>8.5500000000000007</v>
      </c>
      <c r="AA1121" s="3">
        <v>9.43</v>
      </c>
      <c r="AC1121" s="3">
        <f>AA1121-X1121</f>
        <v>-8.3000000000000007</v>
      </c>
      <c r="AD1121" s="24">
        <v>8.5</v>
      </c>
      <c r="AG1121" s="3">
        <v>5.5</v>
      </c>
      <c r="AI1121" s="3">
        <f>AG1121-AD1121</f>
        <v>-3</v>
      </c>
      <c r="AJ1121" s="3">
        <v>4.62</v>
      </c>
      <c r="AL1121" s="3">
        <f>AJ1121-AG1121</f>
        <v>-0.87999999999999989</v>
      </c>
      <c r="AM1121" s="3">
        <v>4.9800000000000004</v>
      </c>
      <c r="AO1121" s="3">
        <f>AM1121-AJ1121</f>
        <v>0.36000000000000032</v>
      </c>
      <c r="AP1121" s="3">
        <v>4.9800000000000004</v>
      </c>
      <c r="AS1121" s="3">
        <v>7.2</v>
      </c>
      <c r="AV1121" s="3">
        <v>6.2</v>
      </c>
      <c r="AZ1121" s="3">
        <v>5.59</v>
      </c>
      <c r="BA1121" s="1" t="s">
        <v>852</v>
      </c>
      <c r="BD1121" s="3">
        <v>7.09</v>
      </c>
      <c r="BE1121" s="1" t="s">
        <v>852</v>
      </c>
      <c r="BH1121" s="3">
        <v>4.6856637168141591</v>
      </c>
    </row>
    <row r="1122" spans="1:60">
      <c r="B1122" s="103" t="s">
        <v>669</v>
      </c>
      <c r="C1122" s="1" t="s">
        <v>288</v>
      </c>
      <c r="D1122" s="2"/>
      <c r="E1122" s="2"/>
      <c r="F1122" s="8"/>
      <c r="G1122" s="8"/>
      <c r="H1122" s="8"/>
      <c r="I1122" s="8"/>
      <c r="Q1122" s="3"/>
      <c r="T1122" s="3"/>
      <c r="U1122" s="3">
        <v>12.25</v>
      </c>
      <c r="X1122" s="3">
        <v>17.55</v>
      </c>
      <c r="Z1122" s="3">
        <f>X1122-U1122</f>
        <v>5.3000000000000007</v>
      </c>
      <c r="AA1122" s="3">
        <v>9.3699999999999992</v>
      </c>
      <c r="AC1122" s="3">
        <f>AA1122-X1122</f>
        <v>-8.1800000000000015</v>
      </c>
      <c r="AD1122" s="24">
        <v>9</v>
      </c>
      <c r="AG1122" s="3">
        <v>5</v>
      </c>
      <c r="AI1122" s="3">
        <f>AG1122-AD1122</f>
        <v>-4</v>
      </c>
      <c r="AJ1122" s="3">
        <v>4.07</v>
      </c>
      <c r="AL1122" s="3">
        <f>AJ1122-AG1122</f>
        <v>-0.92999999999999972</v>
      </c>
      <c r="AM1122" s="3">
        <v>4.9800000000000004</v>
      </c>
      <c r="AO1122" s="3">
        <f>AM1122-AJ1122</f>
        <v>0.91000000000000014</v>
      </c>
      <c r="AP1122" s="3">
        <v>4.9800000000000004</v>
      </c>
      <c r="AS1122" s="3">
        <v>7.8</v>
      </c>
      <c r="AV1122" s="3">
        <v>6.2</v>
      </c>
      <c r="AZ1122" s="3">
        <v>5.59</v>
      </c>
      <c r="BA1122" s="1" t="s">
        <v>852</v>
      </c>
      <c r="BD1122" s="3">
        <v>7.02</v>
      </c>
      <c r="BE1122" s="1" t="s">
        <v>852</v>
      </c>
      <c r="BH1122" s="3">
        <v>4.4761061946902654</v>
      </c>
    </row>
    <row r="1123" spans="1:60">
      <c r="A1123" s="6">
        <v>11</v>
      </c>
      <c r="B1123" s="103" t="s">
        <v>669</v>
      </c>
      <c r="C1123" s="1" t="s">
        <v>57</v>
      </c>
      <c r="D1123" s="2">
        <v>5</v>
      </c>
      <c r="E1123" s="2"/>
      <c r="F1123" s="8">
        <v>12</v>
      </c>
      <c r="G1123" s="8"/>
      <c r="H1123" s="8">
        <v>12</v>
      </c>
      <c r="I1123" s="8">
        <f>H1123-D1123</f>
        <v>7</v>
      </c>
      <c r="L1123" s="1" t="s">
        <v>617</v>
      </c>
      <c r="X1123" s="3">
        <v>10.5</v>
      </c>
    </row>
    <row r="1124" spans="1:60">
      <c r="B1124" s="103" t="s">
        <v>669</v>
      </c>
      <c r="C1124" s="1" t="s">
        <v>287</v>
      </c>
      <c r="D1124" s="2"/>
      <c r="E1124" s="2"/>
      <c r="F1124" s="8"/>
      <c r="G1124" s="8"/>
      <c r="H1124" s="8"/>
      <c r="I1124" s="8"/>
      <c r="Q1124" s="3"/>
      <c r="T1124" s="3"/>
      <c r="U1124" s="3">
        <v>14.1</v>
      </c>
      <c r="X1124" s="3">
        <v>14.68</v>
      </c>
      <c r="Z1124" s="3">
        <f>X1124-U1124</f>
        <v>0.58000000000000007</v>
      </c>
      <c r="AA1124" s="3">
        <v>7.54</v>
      </c>
      <c r="AC1124" s="3">
        <f>AA1124-X1124</f>
        <v>-7.14</v>
      </c>
      <c r="AG1124" s="3">
        <v>7</v>
      </c>
      <c r="AJ1124" s="3">
        <v>5.8</v>
      </c>
      <c r="AL1124" s="3">
        <f>AJ1124-AG1124</f>
        <v>-1.2000000000000002</v>
      </c>
      <c r="AV1124" s="3">
        <v>10.9</v>
      </c>
      <c r="AZ1124" s="3">
        <v>4.8099999999999996</v>
      </c>
      <c r="BA1124" s="1" t="s">
        <v>852</v>
      </c>
      <c r="BD1124" s="3">
        <v>12.78</v>
      </c>
      <c r="BE1124" s="1" t="s">
        <v>852</v>
      </c>
      <c r="BH1124" s="3">
        <v>4.26</v>
      </c>
    </row>
    <row r="1125" spans="1:60">
      <c r="B1125" s="103" t="s">
        <v>669</v>
      </c>
      <c r="C1125" s="1" t="s">
        <v>872</v>
      </c>
      <c r="D1125" s="2"/>
      <c r="E1125" s="2"/>
      <c r="F1125" s="8"/>
      <c r="G1125" s="8"/>
      <c r="H1125" s="8"/>
      <c r="I1125" s="8"/>
      <c r="Q1125" s="3"/>
      <c r="T1125" s="3"/>
      <c r="AC1125" s="3"/>
      <c r="AL1125" s="3"/>
      <c r="BH1125" s="3">
        <v>5.17</v>
      </c>
    </row>
    <row r="1126" spans="1:60">
      <c r="A1126" s="6">
        <v>1</v>
      </c>
      <c r="B1126" s="103" t="s">
        <v>413</v>
      </c>
      <c r="C1126" s="1" t="s">
        <v>52</v>
      </c>
      <c r="D1126" s="2" t="s">
        <v>214</v>
      </c>
      <c r="E1126" s="2"/>
      <c r="F1126" s="9">
        <v>3</v>
      </c>
      <c r="H1126" s="9">
        <v>3</v>
      </c>
      <c r="I1126" s="8" t="e">
        <f>H1126-D1126</f>
        <v>#VALUE!</v>
      </c>
      <c r="M1126" s="3">
        <v>3</v>
      </c>
      <c r="O1126" s="3">
        <v>3</v>
      </c>
      <c r="Q1126" s="3">
        <f>O1126-H1126</f>
        <v>0</v>
      </c>
      <c r="R1126" s="3">
        <v>2.9</v>
      </c>
      <c r="T1126" s="2">
        <f>R1126-O1126</f>
        <v>-0.10000000000000009</v>
      </c>
      <c r="U1126" s="3">
        <v>6.7</v>
      </c>
      <c r="W1126" s="3">
        <f>U1126-R1126</f>
        <v>3.8000000000000003</v>
      </c>
    </row>
    <row r="1127" spans="1:60">
      <c r="A1127" s="6">
        <v>3</v>
      </c>
      <c r="B1127" s="103" t="s">
        <v>413</v>
      </c>
      <c r="C1127" s="1" t="s">
        <v>54</v>
      </c>
      <c r="D1127" s="2"/>
      <c r="E1127" s="2"/>
      <c r="F1127" s="9" t="s">
        <v>685</v>
      </c>
      <c r="H1127" s="9" t="s">
        <v>685</v>
      </c>
      <c r="M1127" s="2" t="s">
        <v>685</v>
      </c>
      <c r="N1127" s="2"/>
      <c r="O1127" s="2" t="s">
        <v>685</v>
      </c>
      <c r="R1127" s="2" t="s">
        <v>685</v>
      </c>
    </row>
    <row r="1128" spans="1:60">
      <c r="A1128" s="6">
        <v>4</v>
      </c>
      <c r="B1128" s="103" t="s">
        <v>413</v>
      </c>
      <c r="C1128" s="1" t="s">
        <v>55</v>
      </c>
      <c r="D1128" s="2"/>
      <c r="E1128" s="2"/>
      <c r="F1128" s="9" t="s">
        <v>685</v>
      </c>
      <c r="H1128" s="9" t="s">
        <v>685</v>
      </c>
      <c r="M1128" s="2" t="s">
        <v>685</v>
      </c>
      <c r="N1128" s="2"/>
      <c r="O1128" s="2" t="s">
        <v>685</v>
      </c>
      <c r="R1128" s="2" t="s">
        <v>685</v>
      </c>
    </row>
    <row r="1129" spans="1:60">
      <c r="A1129" s="6">
        <v>5</v>
      </c>
      <c r="B1129" s="103" t="s">
        <v>413</v>
      </c>
      <c r="C1129" s="1" t="s">
        <v>56</v>
      </c>
      <c r="D1129" s="2"/>
      <c r="E1129" s="2"/>
      <c r="F1129" s="9" t="s">
        <v>685</v>
      </c>
      <c r="H1129" s="9" t="s">
        <v>685</v>
      </c>
      <c r="M1129" s="2" t="s">
        <v>685</v>
      </c>
      <c r="N1129" s="2"/>
      <c r="O1129" s="2" t="s">
        <v>685</v>
      </c>
      <c r="R1129" s="2" t="s">
        <v>685</v>
      </c>
    </row>
    <row r="1130" spans="1:60">
      <c r="A1130" s="6">
        <v>2</v>
      </c>
      <c r="B1130" s="103" t="s">
        <v>413</v>
      </c>
      <c r="C1130" s="1" t="s">
        <v>53</v>
      </c>
      <c r="D1130" s="2">
        <v>4.5999999999999996</v>
      </c>
      <c r="E1130" s="2"/>
      <c r="F1130" s="9">
        <v>4</v>
      </c>
      <c r="H1130" s="9">
        <v>4</v>
      </c>
      <c r="I1130" s="8">
        <f>H1130-D1130</f>
        <v>-0.59999999999999964</v>
      </c>
      <c r="M1130" s="3">
        <v>4</v>
      </c>
      <c r="O1130" s="3">
        <v>4</v>
      </c>
      <c r="Q1130" s="3">
        <f>O1130-H1130</f>
        <v>0</v>
      </c>
      <c r="R1130" s="3">
        <v>2.7</v>
      </c>
      <c r="T1130" s="3">
        <f>R1130-O1130</f>
        <v>-1.2999999999999998</v>
      </c>
      <c r="U1130" s="3">
        <v>6.2</v>
      </c>
      <c r="W1130" s="3">
        <f>U1130-R1130</f>
        <v>3.5</v>
      </c>
    </row>
    <row r="1131" spans="1:60">
      <c r="B1131" s="103" t="s">
        <v>413</v>
      </c>
      <c r="C1131" s="1" t="s">
        <v>158</v>
      </c>
      <c r="D1131" s="2"/>
      <c r="E1131" s="2"/>
      <c r="I1131" s="8"/>
      <c r="Q1131" s="3"/>
      <c r="T1131" s="3"/>
      <c r="AF1131" s="24"/>
      <c r="AI1131" s="3"/>
      <c r="AJ1131" s="3">
        <v>2.5</v>
      </c>
      <c r="AM1131" s="3">
        <v>2.5</v>
      </c>
      <c r="AP1131" s="3">
        <v>1.8</v>
      </c>
      <c r="AS1131" s="3">
        <v>1.8</v>
      </c>
      <c r="AV1131" s="3">
        <v>2</v>
      </c>
      <c r="AY1131" s="3">
        <v>2</v>
      </c>
    </row>
    <row r="1132" spans="1:60">
      <c r="B1132" s="103" t="s">
        <v>413</v>
      </c>
      <c r="C1132" s="1" t="s">
        <v>600</v>
      </c>
      <c r="D1132" s="2"/>
      <c r="E1132" s="2"/>
      <c r="I1132" s="8"/>
      <c r="Q1132" s="3"/>
      <c r="T1132" s="3"/>
      <c r="W1132" s="3"/>
      <c r="AC1132" s="3"/>
      <c r="AF1132" s="24"/>
      <c r="AI1132" s="3"/>
      <c r="AL1132" s="3"/>
      <c r="AO1132" s="3"/>
      <c r="AS1132" s="3">
        <v>3.91</v>
      </c>
    </row>
    <row r="1133" spans="1:60">
      <c r="B1133" s="103" t="s">
        <v>413</v>
      </c>
      <c r="C1133" s="1" t="s">
        <v>595</v>
      </c>
      <c r="D1133" s="2"/>
      <c r="E1133" s="2"/>
      <c r="I1133" s="8"/>
      <c r="Q1133" s="3"/>
      <c r="R1133" s="3">
        <v>2.1</v>
      </c>
      <c r="T1133" s="3"/>
      <c r="X1133" s="3">
        <v>1.4</v>
      </c>
      <c r="Y1133" s="1" t="s">
        <v>375</v>
      </c>
      <c r="AA1133" s="3">
        <v>2.4</v>
      </c>
      <c r="AC1133" s="3">
        <f>AA1133-X1133</f>
        <v>1</v>
      </c>
      <c r="AD1133" s="24">
        <v>2.68</v>
      </c>
      <c r="AF1133" s="24">
        <f>AD1133-AA1133</f>
        <v>0.28000000000000025</v>
      </c>
      <c r="AG1133" s="3">
        <v>2.8</v>
      </c>
      <c r="AI1133" s="3">
        <f>AG1133-AD1133</f>
        <v>0.11999999999999966</v>
      </c>
      <c r="AJ1133" s="3">
        <v>2.8</v>
      </c>
      <c r="AL1133" s="3">
        <f>AJ1133-AG1133</f>
        <v>0</v>
      </c>
      <c r="AM1133" s="3">
        <v>2.1</v>
      </c>
      <c r="AO1133" s="3">
        <f>AM1133-AJ1133</f>
        <v>-0.69999999999999973</v>
      </c>
      <c r="AP1133" s="3">
        <v>2.4</v>
      </c>
      <c r="AS1133" s="3">
        <v>3</v>
      </c>
      <c r="AV1133" s="3">
        <v>2.5</v>
      </c>
      <c r="AY1133" s="3">
        <v>2.5</v>
      </c>
      <c r="AZ1133" s="3">
        <v>2.4700000000000002</v>
      </c>
      <c r="BC1133" s="3">
        <v>2.4700000000000002</v>
      </c>
      <c r="BD1133" s="3">
        <v>2.2000000000000002</v>
      </c>
      <c r="BG1133" s="3">
        <v>2.2000000000000002</v>
      </c>
      <c r="BH1133" s="3">
        <v>2.31</v>
      </c>
    </row>
    <row r="1134" spans="1:60">
      <c r="A1134" s="6">
        <v>12</v>
      </c>
      <c r="B1134" s="103" t="s">
        <v>413</v>
      </c>
      <c r="C1134" s="1" t="s">
        <v>594</v>
      </c>
      <c r="D1134" s="2">
        <v>2</v>
      </c>
      <c r="E1134" s="2"/>
      <c r="F1134" s="9">
        <v>1.8</v>
      </c>
      <c r="H1134" s="9">
        <v>1.8</v>
      </c>
      <c r="I1134" s="9">
        <f>H1134-D1134</f>
        <v>-0.19999999999999996</v>
      </c>
      <c r="M1134" s="3">
        <v>1.8</v>
      </c>
      <c r="O1134" s="3">
        <v>1.8</v>
      </c>
      <c r="Q1134" s="3">
        <f>O1134-H1134</f>
        <v>0</v>
      </c>
      <c r="R1134" s="3">
        <v>2.7</v>
      </c>
      <c r="T1134" s="3">
        <f>R1134-O1134</f>
        <v>0.90000000000000013</v>
      </c>
      <c r="U1134" s="3">
        <v>1.78</v>
      </c>
      <c r="W1134" s="3">
        <f>U1134-R1134</f>
        <v>-0.92000000000000015</v>
      </c>
      <c r="X1134" s="3">
        <v>2.69</v>
      </c>
      <c r="Y1134" s="1" t="s">
        <v>374</v>
      </c>
      <c r="Z1134" s="3">
        <f>X1134-U1134</f>
        <v>0.90999999999999992</v>
      </c>
      <c r="AA1134" s="3">
        <v>3</v>
      </c>
      <c r="AC1134" s="3">
        <f>AA1134-X1134</f>
        <v>0.31000000000000005</v>
      </c>
      <c r="AD1134" s="24">
        <v>3.6</v>
      </c>
      <c r="AF1134" s="24">
        <f>AD1134-AA1134</f>
        <v>0.60000000000000009</v>
      </c>
      <c r="AG1134" s="3">
        <v>2.4</v>
      </c>
      <c r="AI1134" s="3">
        <f>AG1134-AD1134</f>
        <v>-1.2000000000000002</v>
      </c>
      <c r="AJ1134" s="3">
        <v>2.4</v>
      </c>
      <c r="AL1134" s="3">
        <f>AJ1134-AG1134</f>
        <v>0</v>
      </c>
      <c r="AM1134" s="3">
        <v>2.6</v>
      </c>
      <c r="AO1134" s="3">
        <f>AM1134-AJ1134</f>
        <v>0.20000000000000018</v>
      </c>
      <c r="AP1134" s="3">
        <v>1.9</v>
      </c>
      <c r="AS1134" s="3">
        <v>2.2000000000000002</v>
      </c>
      <c r="AV1134" s="3">
        <v>2.8</v>
      </c>
      <c r="AY1134" s="3">
        <v>2.8</v>
      </c>
      <c r="AZ1134" s="3">
        <v>2.95</v>
      </c>
      <c r="BC1134" s="3">
        <v>2.95</v>
      </c>
      <c r="BD1134" s="3">
        <v>2.9</v>
      </c>
      <c r="BG1134" s="3">
        <v>2.9</v>
      </c>
      <c r="BH1134" s="3">
        <v>2.5</v>
      </c>
    </row>
    <row r="1135" spans="1:60">
      <c r="A1135" s="6">
        <v>14</v>
      </c>
      <c r="B1135" s="103" t="s">
        <v>413</v>
      </c>
      <c r="C1135" s="1" t="s">
        <v>58</v>
      </c>
      <c r="D1135" s="2" t="s">
        <v>215</v>
      </c>
      <c r="E1135" s="2"/>
      <c r="F1135" s="9">
        <v>9</v>
      </c>
      <c r="H1135" s="9">
        <v>9</v>
      </c>
      <c r="I1135" s="8" t="e">
        <f>H1135-D1135</f>
        <v>#VALUE!</v>
      </c>
      <c r="M1135" s="3">
        <v>9</v>
      </c>
      <c r="O1135" s="3">
        <v>9</v>
      </c>
      <c r="Q1135" s="3">
        <f>O1135-H1135</f>
        <v>0</v>
      </c>
      <c r="R1135" s="3">
        <v>6.6</v>
      </c>
      <c r="T1135" s="3">
        <f>R1135-O1135</f>
        <v>-2.4000000000000004</v>
      </c>
      <c r="U1135" s="3">
        <v>3.78</v>
      </c>
      <c r="W1135" s="3">
        <f>U1135-R1135</f>
        <v>-2.82</v>
      </c>
      <c r="X1135" s="3">
        <v>6</v>
      </c>
      <c r="Z1135" s="3">
        <f>X1135-U1135</f>
        <v>2.2200000000000002</v>
      </c>
      <c r="AA1135" s="3">
        <v>7.5</v>
      </c>
      <c r="AC1135" s="3">
        <f>AA1135-X1135</f>
        <v>1.5</v>
      </c>
      <c r="AD1135" s="24">
        <v>7.33</v>
      </c>
      <c r="AF1135" s="24">
        <f>AD1135-AA1135</f>
        <v>-0.16999999999999993</v>
      </c>
      <c r="AG1135" s="3">
        <v>5.6</v>
      </c>
      <c r="AI1135" s="3">
        <f>AG1135-AD1135</f>
        <v>-1.7300000000000004</v>
      </c>
      <c r="AJ1135" s="3">
        <v>5</v>
      </c>
      <c r="AL1135" s="3">
        <f>AJ1135-AG1135</f>
        <v>-0.59999999999999964</v>
      </c>
      <c r="AM1135" s="3">
        <v>4.5999999999999996</v>
      </c>
      <c r="AO1135" s="3">
        <f>AM1135-AJ1135</f>
        <v>-0.40000000000000036</v>
      </c>
      <c r="AP1135" s="3">
        <v>4.3</v>
      </c>
      <c r="AS1135" s="3">
        <v>4.3</v>
      </c>
      <c r="AV1135" s="3">
        <v>4.7</v>
      </c>
      <c r="AY1135" s="3">
        <v>4.7</v>
      </c>
      <c r="AZ1135" s="3">
        <v>5</v>
      </c>
      <c r="BC1135" s="3">
        <v>5</v>
      </c>
      <c r="BD1135" s="3">
        <v>3.9</v>
      </c>
      <c r="BG1135" s="3">
        <v>3.9</v>
      </c>
      <c r="BH1135" s="3">
        <v>4.55</v>
      </c>
    </row>
    <row r="1136" spans="1:60">
      <c r="B1136" s="103" t="s">
        <v>413</v>
      </c>
      <c r="C1136" s="1" t="s">
        <v>607</v>
      </c>
      <c r="D1136" s="2"/>
      <c r="E1136" s="2"/>
      <c r="Q1136" s="3"/>
      <c r="T1136" s="3"/>
      <c r="AC1136" s="3"/>
      <c r="AP1136" s="3">
        <v>5.8</v>
      </c>
      <c r="AS1136" s="3">
        <v>18.8</v>
      </c>
      <c r="AV1136" s="3">
        <v>17.600000000000001</v>
      </c>
      <c r="AY1136" s="3">
        <v>17.600000000000001</v>
      </c>
      <c r="AZ1136" s="3">
        <v>9.58</v>
      </c>
    </row>
    <row r="1137" spans="1:60">
      <c r="B1137" s="103" t="s">
        <v>413</v>
      </c>
      <c r="C1137" s="1" t="s">
        <v>289</v>
      </c>
      <c r="D1137" s="2"/>
      <c r="E1137" s="2"/>
      <c r="Q1137" s="3"/>
      <c r="T1137" s="3"/>
      <c r="AC1137" s="3"/>
      <c r="AM1137" s="3">
        <v>3.7</v>
      </c>
      <c r="AP1137" s="3">
        <v>4.7</v>
      </c>
      <c r="AS1137" s="3">
        <v>3.39</v>
      </c>
      <c r="AV1137" s="3">
        <v>3.4</v>
      </c>
      <c r="AY1137" s="3">
        <v>3.4</v>
      </c>
      <c r="BD1137" s="3">
        <v>2.8</v>
      </c>
      <c r="BG1137" s="3">
        <v>2.8</v>
      </c>
      <c r="BH1137" s="3">
        <v>1.68</v>
      </c>
    </row>
    <row r="1138" spans="1:60">
      <c r="B1138" s="103" t="s">
        <v>413</v>
      </c>
      <c r="C1138" s="1" t="s">
        <v>74</v>
      </c>
      <c r="D1138" s="2"/>
      <c r="E1138" s="2"/>
      <c r="Q1138" s="3"/>
      <c r="T1138" s="3"/>
      <c r="AC1138" s="3"/>
      <c r="AJ1138" s="3">
        <v>2.2000000000000002</v>
      </c>
      <c r="AM1138" s="3">
        <v>2.2000000000000002</v>
      </c>
      <c r="AP1138" s="3">
        <v>2.2000000000000002</v>
      </c>
      <c r="AS1138" s="3">
        <v>2.2000000000000002</v>
      </c>
      <c r="AV1138" s="3">
        <v>2.4</v>
      </c>
      <c r="AY1138" s="3">
        <v>2.4</v>
      </c>
    </row>
    <row r="1139" spans="1:60">
      <c r="B1139" s="103" t="s">
        <v>413</v>
      </c>
      <c r="C1139" s="1" t="s">
        <v>290</v>
      </c>
      <c r="D1139" s="2"/>
      <c r="E1139" s="2"/>
      <c r="I1139" s="8"/>
      <c r="Q1139" s="3"/>
      <c r="T1139" s="3"/>
      <c r="AF1139" s="24"/>
      <c r="AI1139" s="3"/>
      <c r="AP1139" s="3">
        <v>10.6</v>
      </c>
      <c r="AS1139" s="3">
        <v>10.6</v>
      </c>
      <c r="AV1139" s="3">
        <v>10.6</v>
      </c>
      <c r="AY1139" s="3">
        <v>10.6</v>
      </c>
    </row>
    <row r="1140" spans="1:60">
      <c r="B1140" s="103" t="s">
        <v>413</v>
      </c>
      <c r="C1140" s="1" t="s">
        <v>64</v>
      </c>
      <c r="D1140" s="2"/>
      <c r="E1140" s="2"/>
      <c r="I1140" s="8"/>
      <c r="Q1140" s="3"/>
      <c r="R1140" s="3">
        <v>5.4</v>
      </c>
      <c r="T1140" s="3"/>
      <c r="AA1140" s="3">
        <v>2.5</v>
      </c>
      <c r="AD1140" s="24">
        <v>2.5</v>
      </c>
      <c r="AF1140" s="24">
        <f>AD1140-AA1140</f>
        <v>0</v>
      </c>
      <c r="AG1140" s="3">
        <v>4.04</v>
      </c>
      <c r="AI1140" s="3">
        <f>AG1140-AD1140</f>
        <v>1.54</v>
      </c>
      <c r="AJ1140" s="3">
        <v>4.2</v>
      </c>
      <c r="AL1140" s="3">
        <f>AJ1140-AG1140</f>
        <v>0.16000000000000014</v>
      </c>
      <c r="AM1140" s="3">
        <v>4.5999999999999996</v>
      </c>
      <c r="AO1140" s="3">
        <f>AM1140-AJ1140</f>
        <v>0.39999999999999947</v>
      </c>
      <c r="AP1140" s="3">
        <v>3.8</v>
      </c>
      <c r="AS1140" s="3">
        <v>7</v>
      </c>
      <c r="AV1140" s="3">
        <v>7.9</v>
      </c>
      <c r="AY1140" s="3">
        <v>7.9</v>
      </c>
      <c r="AZ1140" s="3">
        <v>5.58</v>
      </c>
      <c r="BC1140" s="3">
        <v>5.58</v>
      </c>
      <c r="BD1140" s="3">
        <v>5.2</v>
      </c>
      <c r="BG1140" s="3">
        <v>5.2</v>
      </c>
      <c r="BH1140" s="3">
        <v>6.16</v>
      </c>
    </row>
    <row r="1141" spans="1:60">
      <c r="B1141" s="103" t="s">
        <v>413</v>
      </c>
      <c r="C1141" s="1" t="s">
        <v>286</v>
      </c>
      <c r="D1141" s="2"/>
      <c r="E1141" s="2"/>
      <c r="I1141" s="8"/>
      <c r="Q1141" s="3"/>
      <c r="R1141" s="3">
        <v>6.6</v>
      </c>
      <c r="T1141" s="3"/>
      <c r="AA1141" s="3">
        <v>2.5</v>
      </c>
      <c r="AD1141" s="24">
        <v>2.5</v>
      </c>
      <c r="AF1141" s="24">
        <f>AD1141-AA1141</f>
        <v>0</v>
      </c>
      <c r="AG1141" s="3">
        <v>3.58</v>
      </c>
      <c r="AI1141" s="3">
        <f>AG1141-AD1141</f>
        <v>1.08</v>
      </c>
      <c r="AJ1141" s="3">
        <v>3.5</v>
      </c>
      <c r="AL1141" s="3">
        <f>AJ1141-AG1141</f>
        <v>-8.0000000000000071E-2</v>
      </c>
      <c r="AM1141" s="3">
        <v>3.2</v>
      </c>
      <c r="AO1141" s="3">
        <f>AM1141-AJ1141</f>
        <v>-0.29999999999999982</v>
      </c>
      <c r="AP1141" s="3">
        <v>3.2</v>
      </c>
      <c r="AS1141" s="3">
        <v>3.2</v>
      </c>
      <c r="AZ1141" s="3">
        <v>4.21</v>
      </c>
      <c r="BC1141" s="3">
        <v>4.21</v>
      </c>
      <c r="BD1141" s="3">
        <v>3.3</v>
      </c>
      <c r="BG1141" s="3">
        <v>3.3</v>
      </c>
      <c r="BH1141" s="3">
        <v>3.43</v>
      </c>
    </row>
    <row r="1142" spans="1:60">
      <c r="B1142" s="103" t="s">
        <v>413</v>
      </c>
      <c r="C1142" s="1" t="s">
        <v>288</v>
      </c>
      <c r="D1142" s="2"/>
      <c r="E1142" s="2"/>
      <c r="I1142" s="8"/>
      <c r="Q1142" s="3"/>
      <c r="R1142" s="3">
        <v>7.4</v>
      </c>
      <c r="T1142" s="3"/>
      <c r="AA1142" s="3">
        <v>2.5</v>
      </c>
      <c r="AD1142" s="24">
        <v>2.5</v>
      </c>
      <c r="AF1142" s="24">
        <f>AD1142-AA1142</f>
        <v>0</v>
      </c>
      <c r="AG1142" s="3">
        <v>4.7</v>
      </c>
      <c r="AI1142" s="3">
        <f>AG1142-AD1142</f>
        <v>2.2000000000000002</v>
      </c>
      <c r="AJ1142" s="3">
        <v>4</v>
      </c>
      <c r="AL1142" s="3">
        <f>AJ1142-AG1142</f>
        <v>-0.70000000000000018</v>
      </c>
      <c r="AM1142" s="3">
        <v>3.6</v>
      </c>
      <c r="AO1142" s="3">
        <f>AM1142-AJ1142</f>
        <v>-0.39999999999999991</v>
      </c>
      <c r="AP1142" s="3">
        <v>4.3</v>
      </c>
      <c r="AS1142" s="3">
        <v>3.06</v>
      </c>
      <c r="AV1142" s="3">
        <v>3.7</v>
      </c>
      <c r="AY1142" s="3">
        <v>3.7</v>
      </c>
      <c r="AZ1142" s="3">
        <v>4.13</v>
      </c>
      <c r="BC1142" s="3">
        <v>4.13</v>
      </c>
      <c r="BD1142" s="3">
        <v>3.3</v>
      </c>
      <c r="BG1142" s="3">
        <v>3.3</v>
      </c>
      <c r="BH1142" s="3">
        <v>3.48</v>
      </c>
    </row>
    <row r="1143" spans="1:60">
      <c r="A1143" s="6">
        <v>11</v>
      </c>
      <c r="B1143" s="103" t="s">
        <v>413</v>
      </c>
      <c r="C1143" s="1" t="s">
        <v>57</v>
      </c>
      <c r="D1143" s="2"/>
      <c r="E1143" s="2"/>
      <c r="F1143" s="9">
        <v>5</v>
      </c>
      <c r="H1143" s="9">
        <v>5</v>
      </c>
      <c r="M1143" s="3">
        <v>5</v>
      </c>
      <c r="O1143" s="3">
        <v>5</v>
      </c>
      <c r="Q1143" s="3">
        <f>O1143-H1143</f>
        <v>0</v>
      </c>
      <c r="R1143" s="3">
        <v>5</v>
      </c>
      <c r="T1143" s="3">
        <f>R1143-O1143</f>
        <v>0</v>
      </c>
      <c r="X1143" s="3">
        <v>6</v>
      </c>
      <c r="AA1143" s="3">
        <v>6</v>
      </c>
      <c r="AC1143" s="3">
        <f>AA1143-X1143</f>
        <v>0</v>
      </c>
    </row>
    <row r="1144" spans="1:60">
      <c r="B1144" s="103" t="s">
        <v>413</v>
      </c>
      <c r="C1144" s="1" t="s">
        <v>287</v>
      </c>
      <c r="D1144" s="2"/>
      <c r="E1144" s="2"/>
      <c r="Q1144" s="3"/>
      <c r="T1144" s="3"/>
      <c r="AC1144" s="3"/>
      <c r="AP1144" s="3">
        <v>4.3</v>
      </c>
      <c r="AS1144" s="3">
        <v>4.3</v>
      </c>
    </row>
    <row r="1145" spans="1:60">
      <c r="A1145" s="6">
        <v>1</v>
      </c>
      <c r="B1145" s="103" t="s">
        <v>364</v>
      </c>
      <c r="C1145" s="1" t="s">
        <v>52</v>
      </c>
      <c r="D1145" s="2"/>
      <c r="E1145" s="2"/>
      <c r="I1145" s="8"/>
      <c r="Q1145" s="3"/>
      <c r="S1145" s="1" t="s">
        <v>284</v>
      </c>
      <c r="U1145" s="3">
        <v>4.4000000000000004</v>
      </c>
      <c r="W1145" s="3"/>
      <c r="X1145" s="3">
        <v>3.5</v>
      </c>
      <c r="Z1145" s="3">
        <f>X1145-U1145</f>
        <v>-0.90000000000000036</v>
      </c>
    </row>
    <row r="1146" spans="1:60">
      <c r="A1146" s="6">
        <v>3</v>
      </c>
      <c r="B1146" s="103" t="s">
        <v>364</v>
      </c>
      <c r="C1146" s="1" t="s">
        <v>54</v>
      </c>
      <c r="D1146" s="2"/>
      <c r="E1146" s="2"/>
      <c r="I1146" s="8"/>
      <c r="Q1146" s="3"/>
      <c r="S1146" s="1" t="s">
        <v>284</v>
      </c>
      <c r="U1146" s="3">
        <v>5.2</v>
      </c>
      <c r="V1146" s="1" t="s">
        <v>341</v>
      </c>
    </row>
    <row r="1147" spans="1:60">
      <c r="A1147" s="6">
        <v>4</v>
      </c>
      <c r="B1147" s="103" t="s">
        <v>364</v>
      </c>
      <c r="C1147" s="1" t="s">
        <v>55</v>
      </c>
      <c r="D1147" s="2"/>
      <c r="E1147" s="2"/>
      <c r="I1147" s="8"/>
      <c r="Q1147" s="3"/>
      <c r="S1147" s="1" t="s">
        <v>284</v>
      </c>
    </row>
    <row r="1148" spans="1:60">
      <c r="A1148" s="6">
        <v>5</v>
      </c>
      <c r="B1148" s="103" t="s">
        <v>364</v>
      </c>
      <c r="C1148" s="1" t="s">
        <v>56</v>
      </c>
      <c r="D1148" s="2"/>
      <c r="E1148" s="2"/>
      <c r="I1148" s="8"/>
      <c r="Q1148" s="3"/>
      <c r="S1148" s="1" t="s">
        <v>284</v>
      </c>
    </row>
    <row r="1149" spans="1:60">
      <c r="A1149" s="6">
        <v>2</v>
      </c>
      <c r="B1149" s="103" t="s">
        <v>364</v>
      </c>
      <c r="C1149" s="1" t="s">
        <v>53</v>
      </c>
      <c r="D1149" s="2"/>
      <c r="E1149" s="2"/>
      <c r="I1149" s="8"/>
      <c r="Q1149" s="3"/>
      <c r="S1149" s="1" t="s">
        <v>284</v>
      </c>
      <c r="X1149" s="3">
        <v>5.2</v>
      </c>
      <c r="Y1149" s="1" t="s">
        <v>635</v>
      </c>
      <c r="AA1149" s="3">
        <v>7</v>
      </c>
      <c r="AC1149" s="3">
        <f>AA1149-X1149</f>
        <v>1.7999999999999998</v>
      </c>
    </row>
    <row r="1150" spans="1:60">
      <c r="B1150" s="103" t="s">
        <v>364</v>
      </c>
      <c r="C1150" s="1" t="s">
        <v>595</v>
      </c>
      <c r="D1150" s="2"/>
      <c r="E1150" s="2"/>
      <c r="I1150" s="8"/>
      <c r="Q1150" s="3"/>
      <c r="AC1150" s="3"/>
      <c r="AI1150" s="3"/>
      <c r="AL1150" s="3"/>
      <c r="AO1150" s="3"/>
      <c r="BD1150" s="3">
        <v>6</v>
      </c>
      <c r="BH1150" s="3">
        <v>6</v>
      </c>
    </row>
    <row r="1151" spans="1:60" ht="9" customHeight="1">
      <c r="A1151" s="6">
        <v>12</v>
      </c>
      <c r="B1151" s="103" t="s">
        <v>364</v>
      </c>
      <c r="C1151" s="1" t="s">
        <v>594</v>
      </c>
      <c r="D1151" s="2"/>
      <c r="E1151" s="2"/>
      <c r="I1151" s="8"/>
      <c r="Q1151" s="3"/>
      <c r="S1151" s="1" t="s">
        <v>284</v>
      </c>
      <c r="U1151" s="3">
        <v>4</v>
      </c>
      <c r="V1151" s="1" t="s">
        <v>342</v>
      </c>
      <c r="X1151" s="3">
        <v>6.1</v>
      </c>
      <c r="Y1151" s="1" t="s">
        <v>636</v>
      </c>
      <c r="Z1151" s="3">
        <f>X1151-U1151</f>
        <v>2.0999999999999996</v>
      </c>
      <c r="AA1151" s="3">
        <v>7.5</v>
      </c>
      <c r="AC1151" s="3">
        <f>AA1151-X1151</f>
        <v>1.4000000000000004</v>
      </c>
      <c r="AD1151" s="24">
        <v>7</v>
      </c>
      <c r="AG1151" s="3">
        <v>4</v>
      </c>
      <c r="AI1151" s="3">
        <f>AG1151-AD1151</f>
        <v>-3</v>
      </c>
      <c r="AJ1151" s="3">
        <v>4</v>
      </c>
      <c r="AL1151" s="3">
        <f>AJ1151-AG1151</f>
        <v>0</v>
      </c>
      <c r="AM1151" s="3">
        <v>5</v>
      </c>
      <c r="AO1151" s="3">
        <f>AM1151-AJ1151</f>
        <v>1</v>
      </c>
      <c r="AP1151" s="3">
        <v>5</v>
      </c>
      <c r="AS1151" s="3">
        <v>6</v>
      </c>
      <c r="AV1151" s="3">
        <v>5</v>
      </c>
      <c r="AZ1151" s="3">
        <v>4</v>
      </c>
      <c r="BD1151" s="3">
        <v>4</v>
      </c>
      <c r="BH1151" s="3">
        <v>5</v>
      </c>
    </row>
    <row r="1152" spans="1:60" ht="9.6" customHeight="1">
      <c r="A1152" s="6">
        <v>14</v>
      </c>
      <c r="B1152" s="103" t="s">
        <v>364</v>
      </c>
      <c r="C1152" s="1" t="s">
        <v>58</v>
      </c>
      <c r="D1152" s="2"/>
      <c r="E1152" s="2"/>
      <c r="I1152" s="8"/>
      <c r="Q1152" s="3"/>
      <c r="S1152" s="1" t="s">
        <v>284</v>
      </c>
      <c r="U1152" s="3">
        <v>7.3</v>
      </c>
      <c r="V1152" s="1" t="s">
        <v>343</v>
      </c>
      <c r="X1152" s="3">
        <v>7.3</v>
      </c>
      <c r="Y1152" s="1" t="s">
        <v>343</v>
      </c>
      <c r="Z1152" s="3">
        <f>X1152-U1152</f>
        <v>0</v>
      </c>
      <c r="AA1152" s="3">
        <v>7</v>
      </c>
      <c r="AC1152" s="3">
        <f>AA1152-X1152</f>
        <v>-0.29999999999999982</v>
      </c>
      <c r="AD1152" s="24">
        <v>8</v>
      </c>
      <c r="AG1152" s="3">
        <v>9</v>
      </c>
      <c r="AI1152" s="3">
        <f>AG1152-AD1152</f>
        <v>1</v>
      </c>
      <c r="AJ1152" s="3">
        <v>6</v>
      </c>
      <c r="AL1152" s="3">
        <f>AJ1152-AG1152</f>
        <v>-3</v>
      </c>
      <c r="AM1152" s="3">
        <v>11</v>
      </c>
      <c r="AO1152" s="3">
        <f>AM1152-AJ1152</f>
        <v>5</v>
      </c>
      <c r="AP1152" s="3">
        <v>7</v>
      </c>
      <c r="AS1152" s="3">
        <v>8.5</v>
      </c>
      <c r="AV1152" s="3">
        <v>7</v>
      </c>
      <c r="AZ1152" s="3">
        <v>6</v>
      </c>
      <c r="BD1152" s="3">
        <v>6</v>
      </c>
      <c r="BH1152" s="3">
        <v>8</v>
      </c>
    </row>
    <row r="1153" spans="1:60">
      <c r="B1153" s="103" t="s">
        <v>364</v>
      </c>
      <c r="C1153" s="1" t="s">
        <v>857</v>
      </c>
      <c r="D1153" s="2"/>
      <c r="E1153" s="2"/>
      <c r="I1153" s="8"/>
      <c r="Q1153" s="3"/>
      <c r="AC1153" s="3"/>
      <c r="AI1153" s="3"/>
      <c r="AL1153" s="3"/>
      <c r="AO1153" s="3"/>
      <c r="BD1153" s="3">
        <v>10</v>
      </c>
      <c r="BH1153" s="3">
        <v>11</v>
      </c>
    </row>
    <row r="1154" spans="1:60">
      <c r="B1154" s="103" t="s">
        <v>364</v>
      </c>
      <c r="C1154" s="1" t="s">
        <v>908</v>
      </c>
      <c r="D1154" s="2"/>
      <c r="E1154" s="2"/>
      <c r="I1154" s="8"/>
      <c r="Q1154" s="3"/>
      <c r="BH1154" s="3">
        <v>100</v>
      </c>
    </row>
    <row r="1155" spans="1:60">
      <c r="B1155" s="103" t="s">
        <v>364</v>
      </c>
      <c r="C1155" s="1" t="s">
        <v>289</v>
      </c>
      <c r="D1155" s="2"/>
      <c r="E1155" s="2"/>
      <c r="I1155" s="8"/>
      <c r="Q1155" s="3"/>
      <c r="AP1155" s="3">
        <v>7</v>
      </c>
      <c r="AS1155" s="3">
        <v>8</v>
      </c>
      <c r="AV1155" s="3">
        <v>3</v>
      </c>
      <c r="AZ1155" s="3">
        <v>3</v>
      </c>
      <c r="BD1155" s="3">
        <v>3</v>
      </c>
      <c r="BH1155" s="3">
        <v>6</v>
      </c>
    </row>
    <row r="1156" spans="1:60">
      <c r="B1156" s="103" t="s">
        <v>364</v>
      </c>
      <c r="C1156" s="1" t="s">
        <v>290</v>
      </c>
      <c r="D1156" s="2"/>
      <c r="E1156" s="2"/>
      <c r="I1156" s="8"/>
      <c r="Q1156" s="3"/>
      <c r="AV1156" s="3">
        <v>14</v>
      </c>
      <c r="AZ1156" s="3">
        <v>14</v>
      </c>
      <c r="BD1156" s="3">
        <v>14</v>
      </c>
      <c r="BH1156" s="3">
        <v>14</v>
      </c>
    </row>
    <row r="1157" spans="1:60">
      <c r="B1157" s="103" t="s">
        <v>364</v>
      </c>
      <c r="C1157" s="1" t="s">
        <v>64</v>
      </c>
      <c r="D1157" s="2"/>
      <c r="E1157" s="2"/>
      <c r="I1157" s="8"/>
      <c r="Q1157" s="3"/>
      <c r="S1157" s="1" t="s">
        <v>284</v>
      </c>
      <c r="AA1157" s="3">
        <v>8.1999999999999993</v>
      </c>
      <c r="AD1157" s="24">
        <v>9</v>
      </c>
      <c r="AG1157" s="3">
        <v>8</v>
      </c>
      <c r="AI1157" s="3">
        <f>AG1157-AD1157</f>
        <v>-1</v>
      </c>
      <c r="AJ1157" s="3">
        <v>9</v>
      </c>
      <c r="AL1157" s="3">
        <f>AJ1157-AG1157</f>
        <v>1</v>
      </c>
      <c r="AM1157" s="3">
        <v>13</v>
      </c>
      <c r="AO1157" s="3">
        <f>AM1157-AJ1157</f>
        <v>4</v>
      </c>
      <c r="AP1157" s="3">
        <v>8</v>
      </c>
      <c r="AS1157" s="3">
        <v>9</v>
      </c>
      <c r="AV1157" s="3">
        <v>8</v>
      </c>
      <c r="AZ1157" s="3">
        <v>7</v>
      </c>
      <c r="BD1157" s="3">
        <v>7</v>
      </c>
      <c r="BH1157" s="3">
        <v>7</v>
      </c>
    </row>
    <row r="1158" spans="1:60">
      <c r="B1158" s="103" t="s">
        <v>364</v>
      </c>
      <c r="C1158" s="1" t="s">
        <v>286</v>
      </c>
      <c r="D1158" s="2"/>
      <c r="E1158" s="2"/>
      <c r="I1158" s="8"/>
      <c r="Q1158" s="3"/>
      <c r="X1158" s="3">
        <v>6.85</v>
      </c>
      <c r="Y1158" s="1" t="s">
        <v>637</v>
      </c>
      <c r="AD1158" s="24">
        <v>9</v>
      </c>
      <c r="AG1158" s="3">
        <v>9</v>
      </c>
      <c r="AI1158" s="3">
        <f>AG1158-AD1158</f>
        <v>0</v>
      </c>
      <c r="AJ1158" s="3">
        <v>9</v>
      </c>
      <c r="AL1158" s="3">
        <f>AJ1158-AG1158</f>
        <v>0</v>
      </c>
      <c r="AM1158" s="3">
        <v>14</v>
      </c>
      <c r="AO1158" s="3">
        <f>AM1158-AJ1158</f>
        <v>5</v>
      </c>
      <c r="AP1158" s="3">
        <v>7</v>
      </c>
      <c r="AS1158" s="3">
        <v>7</v>
      </c>
      <c r="AV1158" s="3">
        <v>9</v>
      </c>
      <c r="AZ1158" s="3">
        <v>8</v>
      </c>
      <c r="BD1158" s="3">
        <v>8</v>
      </c>
      <c r="BH1158" s="3">
        <v>7</v>
      </c>
    </row>
    <row r="1159" spans="1:60">
      <c r="B1159" s="103" t="s">
        <v>364</v>
      </c>
      <c r="C1159" s="1" t="s">
        <v>288</v>
      </c>
      <c r="D1159" s="2"/>
      <c r="E1159" s="2"/>
      <c r="I1159" s="8"/>
      <c r="Q1159" s="3"/>
      <c r="S1159" s="1" t="s">
        <v>284</v>
      </c>
      <c r="X1159" s="3">
        <v>6.85</v>
      </c>
      <c r="Y1159" s="1" t="s">
        <v>637</v>
      </c>
      <c r="AA1159" s="3">
        <v>8.1999999999999993</v>
      </c>
      <c r="AC1159" s="3">
        <f>AA1159-X1159</f>
        <v>1.3499999999999996</v>
      </c>
      <c r="AD1159" s="24">
        <v>9</v>
      </c>
      <c r="AG1159" s="3">
        <v>9</v>
      </c>
      <c r="AI1159" s="3">
        <f>AG1159-AD1159</f>
        <v>0</v>
      </c>
      <c r="AJ1159" s="3">
        <v>9</v>
      </c>
      <c r="AL1159" s="3">
        <f>AJ1159-AG1159</f>
        <v>0</v>
      </c>
      <c r="AM1159" s="3">
        <v>14</v>
      </c>
      <c r="AO1159" s="3">
        <f>AM1159-AJ1159</f>
        <v>5</v>
      </c>
      <c r="AP1159" s="3">
        <v>8</v>
      </c>
      <c r="AS1159" s="3">
        <v>9</v>
      </c>
      <c r="AV1159" s="3">
        <v>8</v>
      </c>
      <c r="AZ1159" s="3">
        <v>7</v>
      </c>
      <c r="BD1159" s="3">
        <v>7</v>
      </c>
      <c r="BH1159" s="3">
        <v>7</v>
      </c>
    </row>
    <row r="1160" spans="1:60">
      <c r="A1160" s="6">
        <v>11</v>
      </c>
      <c r="B1160" s="103" t="s">
        <v>364</v>
      </c>
      <c r="C1160" s="1" t="s">
        <v>57</v>
      </c>
      <c r="D1160" s="2"/>
      <c r="E1160" s="2"/>
      <c r="I1160" s="8"/>
      <c r="Q1160" s="3"/>
      <c r="S1160" s="1" t="s">
        <v>284</v>
      </c>
    </row>
    <row r="1161" spans="1:60">
      <c r="B1161" s="103" t="s">
        <v>364</v>
      </c>
      <c r="C1161" s="1" t="s">
        <v>287</v>
      </c>
      <c r="D1161" s="2"/>
      <c r="E1161" s="2"/>
      <c r="I1161" s="8"/>
      <c r="Q1161" s="3"/>
      <c r="AA1161" s="3">
        <v>8.1999999999999993</v>
      </c>
    </row>
    <row r="1162" spans="1:60">
      <c r="A1162" s="6">
        <v>1</v>
      </c>
      <c r="B1162" s="103" t="s">
        <v>667</v>
      </c>
      <c r="C1162" s="1" t="s">
        <v>52</v>
      </c>
      <c r="D1162" s="2"/>
      <c r="E1162" s="2"/>
      <c r="F1162" s="8">
        <v>0</v>
      </c>
      <c r="G1162" s="8"/>
      <c r="H1162" s="8">
        <v>0</v>
      </c>
      <c r="I1162" s="8"/>
      <c r="AQ1162" s="1" t="s">
        <v>285</v>
      </c>
      <c r="AT1162" s="1" t="s">
        <v>285</v>
      </c>
    </row>
    <row r="1163" spans="1:60">
      <c r="A1163" s="6">
        <v>3</v>
      </c>
      <c r="B1163" s="103" t="s">
        <v>667</v>
      </c>
      <c r="C1163" s="1" t="s">
        <v>54</v>
      </c>
      <c r="D1163" s="2"/>
      <c r="E1163" s="2"/>
      <c r="F1163" s="8">
        <v>0</v>
      </c>
      <c r="G1163" s="8"/>
      <c r="H1163" s="8">
        <v>0</v>
      </c>
      <c r="I1163" s="8"/>
      <c r="AQ1163" s="1" t="s">
        <v>285</v>
      </c>
      <c r="AT1163" s="1" t="s">
        <v>285</v>
      </c>
    </row>
    <row r="1164" spans="1:60">
      <c r="A1164" s="6">
        <v>4</v>
      </c>
      <c r="B1164" s="103" t="s">
        <v>667</v>
      </c>
      <c r="C1164" s="1" t="s">
        <v>55</v>
      </c>
      <c r="D1164" s="2"/>
      <c r="E1164" s="2"/>
      <c r="F1164" s="8">
        <v>0</v>
      </c>
      <c r="G1164" s="8"/>
      <c r="H1164" s="8">
        <v>0</v>
      </c>
      <c r="I1164" s="8"/>
      <c r="AQ1164" s="1" t="s">
        <v>285</v>
      </c>
      <c r="AT1164" s="1" t="s">
        <v>285</v>
      </c>
    </row>
    <row r="1165" spans="1:60">
      <c r="A1165" s="6">
        <v>5</v>
      </c>
      <c r="B1165" s="103" t="s">
        <v>667</v>
      </c>
      <c r="C1165" s="1" t="s">
        <v>56</v>
      </c>
      <c r="D1165" s="2"/>
      <c r="E1165" s="2"/>
      <c r="F1165" s="8">
        <v>0</v>
      </c>
      <c r="G1165" s="8"/>
      <c r="H1165" s="8">
        <v>0</v>
      </c>
      <c r="I1165" s="8"/>
      <c r="AQ1165" s="1" t="s">
        <v>285</v>
      </c>
      <c r="AT1165" s="1" t="s">
        <v>285</v>
      </c>
    </row>
    <row r="1166" spans="1:60">
      <c r="A1166" s="6">
        <v>2</v>
      </c>
      <c r="B1166" s="103" t="s">
        <v>667</v>
      </c>
      <c r="C1166" s="1" t="s">
        <v>53</v>
      </c>
      <c r="D1166" s="2">
        <v>272.73</v>
      </c>
      <c r="E1166" s="2"/>
      <c r="F1166" s="8">
        <v>17.95</v>
      </c>
      <c r="G1166" s="8"/>
      <c r="H1166" s="8">
        <v>17.95</v>
      </c>
      <c r="I1166" s="10">
        <f>H1166-D1166</f>
        <v>-254.78000000000003</v>
      </c>
      <c r="K1166" s="3"/>
      <c r="L1166" s="1" t="s">
        <v>391</v>
      </c>
      <c r="AQ1166" s="1" t="s">
        <v>285</v>
      </c>
      <c r="AT1166" s="1" t="s">
        <v>285</v>
      </c>
    </row>
    <row r="1167" spans="1:60">
      <c r="A1167" s="6">
        <v>12</v>
      </c>
      <c r="B1167" s="103" t="s">
        <v>667</v>
      </c>
      <c r="C1167" s="1" t="s">
        <v>594</v>
      </c>
      <c r="D1167" s="2">
        <v>60.3</v>
      </c>
      <c r="E1167" s="2"/>
      <c r="F1167" s="8">
        <v>5.39</v>
      </c>
      <c r="G1167" s="8"/>
      <c r="H1167" s="8">
        <v>5.39</v>
      </c>
      <c r="I1167" s="8">
        <f>H1167-D1167</f>
        <v>-54.91</v>
      </c>
      <c r="K1167" s="3"/>
      <c r="M1167" s="3">
        <v>4.13</v>
      </c>
      <c r="O1167" s="3">
        <v>4.13</v>
      </c>
      <c r="Q1167" s="3">
        <f>O1167-H1167</f>
        <v>-1.2599999999999998</v>
      </c>
      <c r="R1167" s="3">
        <f>68/13.6</f>
        <v>5</v>
      </c>
      <c r="S1167" s="1" t="s">
        <v>720</v>
      </c>
      <c r="T1167" s="3">
        <f>R1167-O1167</f>
        <v>0.87000000000000011</v>
      </c>
      <c r="U1167" s="3">
        <f>81/14</f>
        <v>5.7857142857142856</v>
      </c>
      <c r="V1167" s="1" t="s">
        <v>494</v>
      </c>
      <c r="W1167" s="3">
        <f>U1167-R1167</f>
        <v>0.78571428571428559</v>
      </c>
      <c r="X1167" s="3">
        <v>81</v>
      </c>
      <c r="Z1167" s="3">
        <f>X1167-U1167</f>
        <v>75.214285714285708</v>
      </c>
      <c r="AA1167" s="3">
        <v>69</v>
      </c>
      <c r="AC1167" s="3">
        <f>AA1167-X1167</f>
        <v>-12</v>
      </c>
      <c r="AD1167" s="24">
        <v>4.24</v>
      </c>
      <c r="AF1167" s="24">
        <f>AD1167-AA1167</f>
        <v>-64.760000000000005</v>
      </c>
      <c r="AG1167" s="3">
        <v>5.87</v>
      </c>
      <c r="AI1167" s="3">
        <f>AG1167-AD1167</f>
        <v>1.63</v>
      </c>
      <c r="AJ1167" s="3">
        <v>5.5</v>
      </c>
      <c r="AL1167" s="3">
        <f>AJ1167-AG1167</f>
        <v>-0.37000000000000011</v>
      </c>
      <c r="AM1167" s="3">
        <v>5.53</v>
      </c>
      <c r="AO1167" s="3">
        <f>AM1167-AJ1167</f>
        <v>3.0000000000000249E-2</v>
      </c>
      <c r="AQ1167" s="1" t="s">
        <v>285</v>
      </c>
      <c r="AT1167" s="1" t="s">
        <v>285</v>
      </c>
      <c r="AV1167" s="3">
        <v>9</v>
      </c>
      <c r="AZ1167" s="3">
        <v>2.56</v>
      </c>
      <c r="BA1167" s="1" t="s">
        <v>852</v>
      </c>
      <c r="BD1167" s="3">
        <v>7.23</v>
      </c>
      <c r="BH1167" s="3">
        <v>4.26</v>
      </c>
    </row>
    <row r="1168" spans="1:60">
      <c r="A1168" s="6">
        <v>14</v>
      </c>
      <c r="B1168" s="103" t="s">
        <v>667</v>
      </c>
      <c r="C1168" s="1" t="s">
        <v>58</v>
      </c>
      <c r="D1168" s="2">
        <v>196.18</v>
      </c>
      <c r="E1168" s="2"/>
      <c r="F1168" s="8">
        <v>0</v>
      </c>
      <c r="G1168" s="8"/>
      <c r="H1168" s="8">
        <v>0</v>
      </c>
      <c r="I1168" s="8"/>
      <c r="R1168" s="3">
        <f>151.57/13.6</f>
        <v>11.14485294117647</v>
      </c>
      <c r="S1168" s="1" t="s">
        <v>721</v>
      </c>
      <c r="T1168" s="3"/>
      <c r="U1168" s="3">
        <f>214/14</f>
        <v>15.285714285714286</v>
      </c>
      <c r="V1168" s="1" t="s">
        <v>495</v>
      </c>
      <c r="W1168" s="3">
        <f>U1168-R1168</f>
        <v>4.1408613445378162</v>
      </c>
      <c r="AD1168" s="24">
        <v>8.9499999999999993</v>
      </c>
      <c r="AG1168" s="3">
        <v>10.029999999999999</v>
      </c>
      <c r="AI1168" s="3">
        <f>AG1168-AD1168</f>
        <v>1.08</v>
      </c>
      <c r="AJ1168" s="3">
        <v>11.71</v>
      </c>
      <c r="AL1168" s="3">
        <f>AJ1168-AG1168</f>
        <v>1.6800000000000015</v>
      </c>
      <c r="AM1168" s="3">
        <v>12.42</v>
      </c>
      <c r="AO1168" s="3">
        <f>AM1168-AJ1168</f>
        <v>0.70999999999999908</v>
      </c>
      <c r="AQ1168" s="1" t="s">
        <v>285</v>
      </c>
      <c r="AT1168" s="1" t="s">
        <v>285</v>
      </c>
    </row>
    <row r="1169" spans="1:60">
      <c r="B1169" s="103" t="s">
        <v>667</v>
      </c>
      <c r="C1169" s="1" t="s">
        <v>289</v>
      </c>
      <c r="D1169" s="2"/>
      <c r="E1169" s="2"/>
      <c r="F1169" s="8"/>
      <c r="G1169" s="8"/>
      <c r="H1169" s="8"/>
      <c r="I1169" s="8"/>
      <c r="T1169" s="3"/>
      <c r="W1169" s="3"/>
      <c r="AI1169" s="3"/>
      <c r="AL1169" s="3"/>
      <c r="AM1169" s="3">
        <v>9.85</v>
      </c>
      <c r="AQ1169" s="1" t="s">
        <v>285</v>
      </c>
      <c r="AT1169" s="1" t="s">
        <v>285</v>
      </c>
    </row>
    <row r="1170" spans="1:60">
      <c r="B1170" s="103" t="s">
        <v>667</v>
      </c>
      <c r="C1170" s="1" t="s">
        <v>290</v>
      </c>
      <c r="D1170" s="2"/>
      <c r="E1170" s="2"/>
      <c r="F1170" s="8"/>
      <c r="G1170" s="8"/>
      <c r="H1170" s="8"/>
      <c r="I1170" s="8"/>
      <c r="T1170" s="3"/>
      <c r="U1170" s="3">
        <f>11/0.4</f>
        <v>27.5</v>
      </c>
      <c r="V1170" s="1" t="s">
        <v>498</v>
      </c>
      <c r="X1170" s="3">
        <v>11</v>
      </c>
      <c r="Z1170" s="3">
        <f>X1170-U1170</f>
        <v>-16.5</v>
      </c>
      <c r="AG1170" s="3">
        <v>12.7</v>
      </c>
      <c r="AJ1170" s="3">
        <v>12.4</v>
      </c>
      <c r="AL1170" s="3">
        <f>AJ1170-AG1170</f>
        <v>-0.29999999999999893</v>
      </c>
      <c r="AM1170" s="3">
        <v>14.33</v>
      </c>
      <c r="AO1170" s="3">
        <f>AM1170-AJ1170</f>
        <v>1.9299999999999997</v>
      </c>
      <c r="AQ1170" s="1" t="s">
        <v>285</v>
      </c>
      <c r="AT1170" s="1" t="s">
        <v>285</v>
      </c>
    </row>
    <row r="1171" spans="1:60">
      <c r="B1171" s="103" t="s">
        <v>667</v>
      </c>
      <c r="C1171" s="1" t="s">
        <v>64</v>
      </c>
      <c r="D1171" s="2"/>
      <c r="E1171" s="2"/>
      <c r="F1171" s="8"/>
      <c r="G1171" s="8"/>
      <c r="H1171" s="8"/>
      <c r="I1171" s="8"/>
      <c r="R1171" s="3">
        <f>152/10.89</f>
        <v>13.957759412304867</v>
      </c>
      <c r="S1171" s="1" t="s">
        <v>722</v>
      </c>
      <c r="T1171" s="3"/>
      <c r="U1171" s="3">
        <f>167/11</f>
        <v>15.181818181818182</v>
      </c>
      <c r="V1171" s="1" t="s">
        <v>496</v>
      </c>
      <c r="W1171" s="3">
        <f>U1171-R1171</f>
        <v>1.2240587695133147</v>
      </c>
      <c r="AD1171" s="24">
        <v>11.7</v>
      </c>
      <c r="AG1171" s="3">
        <v>10.029999999999999</v>
      </c>
      <c r="AI1171" s="3">
        <f>AG1171-AD1171</f>
        <v>-1.67</v>
      </c>
      <c r="AJ1171" s="3">
        <v>8.64</v>
      </c>
      <c r="AL1171" s="3">
        <f>AJ1171-AG1171</f>
        <v>-1.3899999999999988</v>
      </c>
      <c r="AM1171" s="3">
        <v>11.44</v>
      </c>
      <c r="AO1171" s="3">
        <f>AM1171-AJ1171</f>
        <v>2.7999999999999989</v>
      </c>
      <c r="AQ1171" s="1" t="s">
        <v>285</v>
      </c>
      <c r="AT1171" s="1" t="s">
        <v>285</v>
      </c>
    </row>
    <row r="1172" spans="1:60">
      <c r="B1172" s="103" t="s">
        <v>667</v>
      </c>
      <c r="C1172" s="1" t="s">
        <v>286</v>
      </c>
      <c r="D1172" s="2"/>
      <c r="E1172" s="2"/>
      <c r="F1172" s="8"/>
      <c r="G1172" s="8"/>
      <c r="H1172" s="8"/>
      <c r="I1172" s="8"/>
      <c r="T1172" s="3"/>
      <c r="W1172" s="3"/>
      <c r="AD1172" s="24">
        <v>10.64</v>
      </c>
      <c r="AG1172" s="3">
        <v>11.23</v>
      </c>
      <c r="AI1172" s="3">
        <f>AG1172-AD1172</f>
        <v>0.58999999999999986</v>
      </c>
      <c r="AJ1172" s="3">
        <v>8.1199999999999992</v>
      </c>
      <c r="AL1172" s="3">
        <f>AJ1172-AG1172</f>
        <v>-3.1100000000000012</v>
      </c>
      <c r="AM1172" s="3">
        <v>10.27</v>
      </c>
      <c r="AO1172" s="3">
        <f>AM1172-AJ1172</f>
        <v>2.1500000000000004</v>
      </c>
      <c r="AQ1172" s="1" t="s">
        <v>285</v>
      </c>
      <c r="AT1172" s="1" t="s">
        <v>285</v>
      </c>
    </row>
    <row r="1173" spans="1:60">
      <c r="B1173" s="103" t="s">
        <v>667</v>
      </c>
      <c r="C1173" s="1" t="s">
        <v>288</v>
      </c>
      <c r="D1173" s="2"/>
      <c r="E1173" s="2"/>
      <c r="F1173" s="8"/>
      <c r="G1173" s="8"/>
      <c r="H1173" s="8"/>
      <c r="I1173" s="8"/>
      <c r="R1173" s="3">
        <f>152/11.34</f>
        <v>13.403880070546737</v>
      </c>
      <c r="S1173" s="1" t="s">
        <v>723</v>
      </c>
      <c r="T1173" s="3"/>
      <c r="U1173" s="3">
        <f>134/11</f>
        <v>12.181818181818182</v>
      </c>
      <c r="V1173" s="1" t="s">
        <v>497</v>
      </c>
      <c r="W1173" s="3">
        <f>U1173-R1173</f>
        <v>-1.2220618887285557</v>
      </c>
      <c r="AD1173" s="24">
        <v>10.25</v>
      </c>
      <c r="AG1173" s="3">
        <v>7.03</v>
      </c>
      <c r="AI1173" s="3">
        <f>AG1173-AD1173</f>
        <v>-3.2199999999999998</v>
      </c>
      <c r="AJ1173" s="3">
        <v>7.46</v>
      </c>
      <c r="AL1173" s="3">
        <f>AJ1173-AG1173</f>
        <v>0.42999999999999972</v>
      </c>
      <c r="AM1173" s="3">
        <v>7.95</v>
      </c>
      <c r="AO1173" s="3">
        <f>AM1173-AJ1173</f>
        <v>0.49000000000000021</v>
      </c>
      <c r="AQ1173" s="1" t="s">
        <v>285</v>
      </c>
      <c r="AT1173" s="1" t="s">
        <v>285</v>
      </c>
    </row>
    <row r="1174" spans="1:60">
      <c r="A1174" s="6">
        <v>11</v>
      </c>
      <c r="B1174" s="103" t="s">
        <v>667</v>
      </c>
      <c r="C1174" s="1" t="s">
        <v>57</v>
      </c>
      <c r="D1174" s="2"/>
      <c r="E1174" s="2"/>
      <c r="F1174" s="8">
        <v>0</v>
      </c>
      <c r="G1174" s="8"/>
      <c r="H1174" s="8">
        <v>0</v>
      </c>
      <c r="I1174" s="8"/>
      <c r="AQ1174" s="1" t="s">
        <v>285</v>
      </c>
      <c r="AT1174" s="1" t="s">
        <v>285</v>
      </c>
    </row>
    <row r="1175" spans="1:60">
      <c r="A1175" s="6">
        <v>1</v>
      </c>
      <c r="B1175" s="103" t="s">
        <v>668</v>
      </c>
      <c r="C1175" s="1" t="s">
        <v>52</v>
      </c>
      <c r="D1175" s="2"/>
      <c r="E1175" s="2"/>
      <c r="F1175" s="8"/>
      <c r="G1175" s="8"/>
      <c r="H1175" s="8"/>
      <c r="I1175" s="8"/>
      <c r="K1175" s="1" t="s">
        <v>284</v>
      </c>
      <c r="M1175" s="3">
        <v>11.5</v>
      </c>
      <c r="O1175" s="3">
        <v>11.5</v>
      </c>
      <c r="P1175" s="109" t="s">
        <v>451</v>
      </c>
      <c r="Q1175" s="3"/>
      <c r="AB1175" s="1" t="s">
        <v>285</v>
      </c>
      <c r="AE1175" s="1" t="s">
        <v>285</v>
      </c>
      <c r="AH1175" s="1" t="s">
        <v>285</v>
      </c>
      <c r="AQ1175" s="1" t="s">
        <v>285</v>
      </c>
      <c r="AT1175" s="1" t="s">
        <v>285</v>
      </c>
      <c r="AW1175" s="1" t="s">
        <v>285</v>
      </c>
    </row>
    <row r="1176" spans="1:60">
      <c r="A1176" s="6">
        <v>3</v>
      </c>
      <c r="B1176" s="103" t="s">
        <v>668</v>
      </c>
      <c r="C1176" s="1" t="s">
        <v>54</v>
      </c>
      <c r="D1176" s="2"/>
      <c r="E1176" s="2"/>
      <c r="F1176" s="8"/>
      <c r="G1176" s="8"/>
      <c r="H1176" s="8"/>
      <c r="I1176" s="8"/>
      <c r="K1176" s="1" t="s">
        <v>284</v>
      </c>
      <c r="AB1176" s="1" t="s">
        <v>285</v>
      </c>
      <c r="AE1176" s="1" t="s">
        <v>285</v>
      </c>
      <c r="AH1176" s="1" t="s">
        <v>285</v>
      </c>
      <c r="AQ1176" s="1" t="s">
        <v>285</v>
      </c>
      <c r="AT1176" s="1" t="s">
        <v>285</v>
      </c>
      <c r="AW1176" s="1" t="s">
        <v>285</v>
      </c>
    </row>
    <row r="1177" spans="1:60">
      <c r="A1177" s="6">
        <v>4</v>
      </c>
      <c r="B1177" s="103" t="s">
        <v>668</v>
      </c>
      <c r="C1177" s="1" t="s">
        <v>55</v>
      </c>
      <c r="D1177" s="2"/>
      <c r="E1177" s="2"/>
      <c r="F1177" s="8"/>
      <c r="G1177" s="8"/>
      <c r="H1177" s="8"/>
      <c r="I1177" s="8"/>
      <c r="K1177" s="1" t="s">
        <v>284</v>
      </c>
      <c r="AB1177" s="1" t="s">
        <v>285</v>
      </c>
      <c r="AE1177" s="1" t="s">
        <v>285</v>
      </c>
      <c r="AH1177" s="1" t="s">
        <v>285</v>
      </c>
      <c r="AQ1177" s="1" t="s">
        <v>285</v>
      </c>
      <c r="AT1177" s="1" t="s">
        <v>285</v>
      </c>
      <c r="AW1177" s="1" t="s">
        <v>285</v>
      </c>
    </row>
    <row r="1178" spans="1:60">
      <c r="A1178" s="6">
        <v>5</v>
      </c>
      <c r="B1178" s="103" t="s">
        <v>668</v>
      </c>
      <c r="C1178" s="1" t="s">
        <v>56</v>
      </c>
      <c r="D1178" s="2"/>
      <c r="E1178" s="2"/>
      <c r="F1178" s="8"/>
      <c r="G1178" s="8"/>
      <c r="H1178" s="8"/>
      <c r="I1178" s="8"/>
      <c r="K1178" s="1" t="s">
        <v>284</v>
      </c>
      <c r="AB1178" s="1" t="s">
        <v>285</v>
      </c>
      <c r="AE1178" s="1" t="s">
        <v>285</v>
      </c>
      <c r="AH1178" s="1" t="s">
        <v>285</v>
      </c>
      <c r="AQ1178" s="1" t="s">
        <v>285</v>
      </c>
      <c r="AT1178" s="1" t="s">
        <v>285</v>
      </c>
      <c r="AW1178" s="1" t="s">
        <v>285</v>
      </c>
    </row>
    <row r="1179" spans="1:60">
      <c r="A1179" s="6">
        <v>2</v>
      </c>
      <c r="B1179" s="103" t="s">
        <v>668</v>
      </c>
      <c r="C1179" s="1" t="s">
        <v>53</v>
      </c>
      <c r="D1179" s="2"/>
      <c r="E1179" s="2"/>
      <c r="F1179" s="8"/>
      <c r="G1179" s="8"/>
      <c r="H1179" s="8"/>
      <c r="I1179" s="8"/>
      <c r="K1179" s="1" t="s">
        <v>284</v>
      </c>
      <c r="M1179" s="3">
        <v>15</v>
      </c>
      <c r="O1179" s="3">
        <v>15</v>
      </c>
      <c r="P1179" s="1" t="s">
        <v>152</v>
      </c>
      <c r="Q1179" s="3"/>
      <c r="R1179" s="3">
        <v>15</v>
      </c>
      <c r="T1179" s="3">
        <f>R1179-O1179</f>
        <v>0</v>
      </c>
      <c r="U1179" s="3">
        <v>7</v>
      </c>
      <c r="W1179" s="3">
        <f>U1179-R1179</f>
        <v>-8</v>
      </c>
      <c r="X1179" s="3">
        <v>11.5</v>
      </c>
      <c r="Z1179" s="3">
        <f>X1179-U1179</f>
        <v>4.5</v>
      </c>
      <c r="AB1179" s="1" t="s">
        <v>285</v>
      </c>
      <c r="AE1179" s="1" t="s">
        <v>285</v>
      </c>
      <c r="AH1179" s="1" t="s">
        <v>285</v>
      </c>
      <c r="AQ1179" s="1" t="s">
        <v>285</v>
      </c>
      <c r="AT1179" s="1" t="s">
        <v>285</v>
      </c>
      <c r="AW1179" s="1" t="s">
        <v>285</v>
      </c>
    </row>
    <row r="1180" spans="1:60">
      <c r="B1180" s="103" t="s">
        <v>668</v>
      </c>
      <c r="C1180" s="1" t="s">
        <v>158</v>
      </c>
      <c r="D1180" s="2"/>
      <c r="E1180" s="2"/>
      <c r="F1180" s="8"/>
      <c r="G1180" s="8"/>
      <c r="H1180" s="8"/>
      <c r="I1180" s="8"/>
      <c r="M1180" s="3">
        <v>7.5</v>
      </c>
      <c r="O1180" s="3">
        <v>7.5</v>
      </c>
      <c r="P1180" s="1" t="s">
        <v>159</v>
      </c>
      <c r="AB1180" s="1" t="s">
        <v>285</v>
      </c>
      <c r="AE1180" s="1" t="s">
        <v>285</v>
      </c>
      <c r="AH1180" s="1" t="s">
        <v>285</v>
      </c>
      <c r="AQ1180" s="1" t="s">
        <v>285</v>
      </c>
      <c r="AT1180" s="1" t="s">
        <v>285</v>
      </c>
      <c r="AW1180" s="1" t="s">
        <v>285</v>
      </c>
      <c r="BC1180" s="3">
        <v>6</v>
      </c>
      <c r="BD1180" s="3">
        <v>6</v>
      </c>
      <c r="BG1180" s="3">
        <v>6</v>
      </c>
      <c r="BH1180" s="3">
        <v>6</v>
      </c>
    </row>
    <row r="1181" spans="1:60">
      <c r="B1181" s="103" t="s">
        <v>668</v>
      </c>
      <c r="C1181" s="1" t="s">
        <v>595</v>
      </c>
      <c r="D1181" s="2"/>
      <c r="E1181" s="2"/>
      <c r="F1181" s="8"/>
      <c r="G1181" s="8"/>
      <c r="H1181" s="8"/>
      <c r="I1181" s="8"/>
      <c r="Q1181" s="3"/>
      <c r="S1181" s="112"/>
      <c r="T1181" s="3"/>
      <c r="W1181" s="3"/>
      <c r="X1181" s="3">
        <v>3.9</v>
      </c>
      <c r="AB1181" s="1" t="s">
        <v>285</v>
      </c>
      <c r="AE1181" s="1" t="s">
        <v>285</v>
      </c>
      <c r="AH1181" s="1" t="s">
        <v>285</v>
      </c>
      <c r="AJ1181" s="3">
        <v>6</v>
      </c>
      <c r="AL1181" s="3"/>
      <c r="AM1181" s="3">
        <v>6</v>
      </c>
      <c r="AO1181" s="3">
        <f>AM1181-AJ1181</f>
        <v>0</v>
      </c>
      <c r="AQ1181" s="1" t="s">
        <v>285</v>
      </c>
      <c r="AT1181" s="1" t="s">
        <v>285</v>
      </c>
      <c r="AW1181" s="1" t="s">
        <v>285</v>
      </c>
      <c r="AY1181" s="3">
        <v>2.6</v>
      </c>
      <c r="AZ1181" s="3">
        <v>3</v>
      </c>
      <c r="BC1181" s="3">
        <v>3</v>
      </c>
      <c r="BD1181" s="3">
        <v>3</v>
      </c>
    </row>
    <row r="1182" spans="1:60">
      <c r="B1182" s="103" t="s">
        <v>668</v>
      </c>
      <c r="C1182" s="1" t="s">
        <v>700</v>
      </c>
      <c r="D1182" s="2"/>
      <c r="E1182" s="2"/>
      <c r="F1182" s="8"/>
      <c r="G1182" s="8"/>
      <c r="H1182" s="8"/>
      <c r="I1182" s="8"/>
      <c r="Q1182" s="3"/>
      <c r="S1182" s="112"/>
      <c r="T1182" s="3"/>
      <c r="W1182" s="3"/>
      <c r="X1182" s="3">
        <v>3.8</v>
      </c>
      <c r="AB1182" s="1" t="s">
        <v>285</v>
      </c>
      <c r="AE1182" s="1" t="s">
        <v>285</v>
      </c>
      <c r="AH1182" s="1" t="s">
        <v>285</v>
      </c>
      <c r="AJ1182" s="3">
        <v>4</v>
      </c>
      <c r="AM1182" s="3">
        <v>4</v>
      </c>
      <c r="AQ1182" s="1" t="s">
        <v>285</v>
      </c>
      <c r="AT1182" s="1" t="s">
        <v>285</v>
      </c>
      <c r="AW1182" s="1" t="s">
        <v>285</v>
      </c>
      <c r="AY1182" s="3">
        <v>2.1</v>
      </c>
      <c r="AZ1182" s="3">
        <v>2.5</v>
      </c>
      <c r="BG1182" s="3">
        <v>5</v>
      </c>
      <c r="BH1182" s="3">
        <v>6</v>
      </c>
    </row>
    <row r="1183" spans="1:60">
      <c r="B1183" s="103" t="s">
        <v>668</v>
      </c>
      <c r="C1183" s="1" t="s">
        <v>596</v>
      </c>
      <c r="D1183" s="2"/>
      <c r="E1183" s="2"/>
      <c r="F1183" s="8"/>
      <c r="G1183" s="8"/>
      <c r="H1183" s="8"/>
      <c r="I1183" s="8"/>
      <c r="Q1183" s="3"/>
      <c r="S1183" s="112"/>
      <c r="T1183" s="3"/>
      <c r="W1183" s="3"/>
      <c r="BH1183" s="3">
        <v>5</v>
      </c>
    </row>
    <row r="1184" spans="1:60">
      <c r="A1184" s="6">
        <v>12</v>
      </c>
      <c r="B1184" s="103" t="s">
        <v>668</v>
      </c>
      <c r="C1184" s="1" t="s">
        <v>594</v>
      </c>
      <c r="D1184" s="2"/>
      <c r="E1184" s="2"/>
      <c r="F1184" s="8"/>
      <c r="G1184" s="8"/>
      <c r="H1184" s="8"/>
      <c r="I1184" s="8"/>
      <c r="K1184" s="1" t="s">
        <v>284</v>
      </c>
      <c r="M1184" s="3">
        <v>6.5</v>
      </c>
      <c r="O1184" s="3">
        <v>6.5</v>
      </c>
      <c r="P1184" s="1" t="s">
        <v>154</v>
      </c>
      <c r="Q1184" s="3"/>
      <c r="R1184" s="3">
        <v>8.5</v>
      </c>
      <c r="S1184" s="112" t="s">
        <v>724</v>
      </c>
      <c r="T1184" s="3">
        <f>R1184-O1184</f>
        <v>2</v>
      </c>
      <c r="U1184" s="3">
        <v>5</v>
      </c>
      <c r="W1184" s="3">
        <f>U1184-R1184</f>
        <v>-3.5</v>
      </c>
      <c r="X1184" s="3">
        <v>4.5</v>
      </c>
      <c r="Z1184" s="3">
        <f>X1184-U1184</f>
        <v>-0.5</v>
      </c>
      <c r="AB1184" s="1" t="s">
        <v>285</v>
      </c>
      <c r="AE1184" s="1" t="s">
        <v>285</v>
      </c>
      <c r="AH1184" s="1" t="s">
        <v>285</v>
      </c>
      <c r="AJ1184" s="3">
        <v>7.5</v>
      </c>
      <c r="AL1184" s="3"/>
      <c r="AM1184" s="3">
        <v>7.5</v>
      </c>
      <c r="AO1184" s="3">
        <f>AM1184-AJ1184</f>
        <v>0</v>
      </c>
      <c r="AQ1184" s="1" t="s">
        <v>285</v>
      </c>
      <c r="AT1184" s="1" t="s">
        <v>285</v>
      </c>
      <c r="AW1184" s="1" t="s">
        <v>285</v>
      </c>
      <c r="AY1184" s="3">
        <v>3</v>
      </c>
      <c r="AZ1184" s="3">
        <v>1.9</v>
      </c>
      <c r="BC1184" s="3">
        <v>6</v>
      </c>
      <c r="BD1184" s="3">
        <v>5</v>
      </c>
      <c r="BG1184" s="3">
        <v>6</v>
      </c>
      <c r="BH1184" s="3">
        <v>22</v>
      </c>
    </row>
    <row r="1185" spans="1:61">
      <c r="A1185" s="6">
        <v>14</v>
      </c>
      <c r="B1185" s="103" t="s">
        <v>668</v>
      </c>
      <c r="C1185" s="1" t="s">
        <v>58</v>
      </c>
      <c r="D1185" s="2"/>
      <c r="E1185" s="2"/>
      <c r="F1185" s="8"/>
      <c r="G1185" s="8"/>
      <c r="H1185" s="8"/>
      <c r="I1185" s="8"/>
      <c r="K1185" s="1" t="s">
        <v>284</v>
      </c>
      <c r="M1185" s="3">
        <v>12.5</v>
      </c>
      <c r="O1185" s="3">
        <v>12.5</v>
      </c>
      <c r="P1185" s="1" t="s">
        <v>155</v>
      </c>
      <c r="Q1185" s="3"/>
      <c r="R1185" s="3">
        <v>10</v>
      </c>
      <c r="S1185" s="112" t="s">
        <v>725</v>
      </c>
      <c r="T1185" s="3">
        <f>R1185-O1185</f>
        <v>-2.5</v>
      </c>
      <c r="U1185" s="3">
        <v>10</v>
      </c>
      <c r="W1185" s="3">
        <f>U1185-R1185</f>
        <v>0</v>
      </c>
      <c r="X1185" s="3">
        <v>11.5</v>
      </c>
      <c r="Z1185" s="3">
        <f>X1185-U1185</f>
        <v>1.5</v>
      </c>
      <c r="AB1185" s="1" t="s">
        <v>285</v>
      </c>
      <c r="AE1185" s="1" t="s">
        <v>285</v>
      </c>
      <c r="AH1185" s="1" t="s">
        <v>285</v>
      </c>
      <c r="AQ1185" s="1" t="s">
        <v>285</v>
      </c>
      <c r="AT1185" s="1" t="s">
        <v>285</v>
      </c>
      <c r="AW1185" s="1" t="s">
        <v>285</v>
      </c>
      <c r="BC1185" s="3">
        <v>6</v>
      </c>
      <c r="BD1185" s="3">
        <v>5</v>
      </c>
      <c r="BG1185" s="3">
        <v>6</v>
      </c>
      <c r="BH1185" s="3">
        <v>8.5</v>
      </c>
      <c r="BI1185" s="3" t="s">
        <v>1047</v>
      </c>
    </row>
    <row r="1186" spans="1:61">
      <c r="B1186" s="103" t="s">
        <v>668</v>
      </c>
      <c r="C1186" s="1" t="s">
        <v>607</v>
      </c>
      <c r="D1186" s="2"/>
      <c r="E1186" s="2"/>
      <c r="F1186" s="8"/>
      <c r="G1186" s="8"/>
      <c r="H1186" s="8"/>
      <c r="I1186" s="8"/>
      <c r="Q1186" s="3"/>
      <c r="S1186" s="112"/>
      <c r="T1186" s="3"/>
      <c r="W1186" s="3"/>
      <c r="BC1186" s="3">
        <v>200</v>
      </c>
      <c r="BD1186" s="3">
        <v>190</v>
      </c>
      <c r="BG1186" s="3">
        <v>200</v>
      </c>
      <c r="BH1186" s="3">
        <v>195</v>
      </c>
      <c r="BI1186" s="3" t="s">
        <v>1048</v>
      </c>
    </row>
    <row r="1187" spans="1:61">
      <c r="B1187" s="103" t="s">
        <v>668</v>
      </c>
      <c r="C1187" s="1" t="s">
        <v>857</v>
      </c>
      <c r="D1187" s="2"/>
      <c r="E1187" s="2"/>
      <c r="F1187" s="8"/>
      <c r="G1187" s="8"/>
      <c r="H1187" s="8"/>
      <c r="I1187" s="8"/>
      <c r="Q1187" s="3"/>
      <c r="S1187" s="112"/>
      <c r="T1187" s="3"/>
      <c r="W1187" s="3"/>
      <c r="BC1187" s="3">
        <v>6</v>
      </c>
      <c r="BD1187" s="3">
        <v>7</v>
      </c>
      <c r="BG1187" s="3">
        <v>6</v>
      </c>
      <c r="BH1187" s="3">
        <v>7</v>
      </c>
    </row>
    <row r="1188" spans="1:61">
      <c r="B1188" s="103" t="s">
        <v>668</v>
      </c>
      <c r="C1188" s="1" t="s">
        <v>1051</v>
      </c>
      <c r="D1188" s="2"/>
      <c r="E1188" s="2"/>
      <c r="F1188" s="8"/>
      <c r="G1188" s="8"/>
      <c r="H1188" s="8"/>
      <c r="I1188" s="8"/>
      <c r="BG1188" s="3">
        <v>140</v>
      </c>
      <c r="BH1188" s="3">
        <v>155</v>
      </c>
      <c r="BI1188" s="1" t="s">
        <v>1052</v>
      </c>
    </row>
    <row r="1189" spans="1:61">
      <c r="B1189" s="103" t="s">
        <v>668</v>
      </c>
      <c r="C1189" s="1" t="s">
        <v>289</v>
      </c>
      <c r="D1189" s="2"/>
      <c r="E1189" s="2"/>
      <c r="F1189" s="8"/>
      <c r="G1189" s="8"/>
      <c r="H1189" s="8"/>
      <c r="I1189" s="8"/>
      <c r="BC1189" s="3">
        <v>4</v>
      </c>
      <c r="BD1189" s="3">
        <v>4</v>
      </c>
      <c r="BG1189" s="3">
        <v>7</v>
      </c>
      <c r="BH1189" s="3">
        <v>9.5</v>
      </c>
      <c r="BI1189" s="1" t="s">
        <v>1049</v>
      </c>
    </row>
    <row r="1190" spans="1:61">
      <c r="B1190" s="103" t="s">
        <v>668</v>
      </c>
      <c r="C1190" s="1" t="s">
        <v>160</v>
      </c>
      <c r="D1190" s="2"/>
      <c r="E1190" s="2"/>
      <c r="F1190" s="8"/>
      <c r="G1190" s="8"/>
      <c r="H1190" s="8"/>
      <c r="I1190" s="8"/>
      <c r="M1190" s="3">
        <v>14</v>
      </c>
      <c r="O1190" s="3">
        <v>14</v>
      </c>
      <c r="P1190" s="1" t="s">
        <v>161</v>
      </c>
      <c r="AB1190" s="1" t="s">
        <v>285</v>
      </c>
      <c r="AE1190" s="1" t="s">
        <v>285</v>
      </c>
      <c r="AH1190" s="1" t="s">
        <v>285</v>
      </c>
      <c r="AQ1190" s="1" t="s">
        <v>285</v>
      </c>
      <c r="AT1190" s="1" t="s">
        <v>285</v>
      </c>
      <c r="AW1190" s="1" t="s">
        <v>285</v>
      </c>
      <c r="BG1190" s="1"/>
      <c r="BH1190" s="1"/>
    </row>
    <row r="1191" spans="1:61">
      <c r="B1191" s="103" t="s">
        <v>668</v>
      </c>
      <c r="C1191" s="1" t="s">
        <v>74</v>
      </c>
      <c r="D1191" s="2"/>
      <c r="E1191" s="2"/>
      <c r="F1191" s="8"/>
      <c r="G1191" s="8"/>
      <c r="H1191" s="8"/>
      <c r="I1191" s="8"/>
      <c r="BC1191" s="3">
        <v>6</v>
      </c>
      <c r="BD1191" s="3">
        <v>6</v>
      </c>
      <c r="BG1191" s="3">
        <v>3.5</v>
      </c>
      <c r="BH1191" s="3">
        <v>3.75</v>
      </c>
      <c r="BI1191" s="1" t="s">
        <v>1050</v>
      </c>
    </row>
    <row r="1192" spans="1:61">
      <c r="B1192" s="103" t="s">
        <v>668</v>
      </c>
      <c r="C1192" s="1" t="s">
        <v>290</v>
      </c>
      <c r="D1192" s="2"/>
      <c r="E1192" s="2"/>
      <c r="F1192" s="8"/>
      <c r="G1192" s="8"/>
      <c r="H1192" s="8"/>
      <c r="I1192" s="8"/>
      <c r="BC1192" s="3">
        <v>5</v>
      </c>
      <c r="BD1192" s="3">
        <v>5</v>
      </c>
      <c r="BG1192" s="3">
        <v>7</v>
      </c>
      <c r="BH1192" s="3">
        <v>9.5</v>
      </c>
      <c r="BI1192" s="1" t="s">
        <v>1049</v>
      </c>
    </row>
    <row r="1193" spans="1:61">
      <c r="B1193" s="103" t="s">
        <v>668</v>
      </c>
      <c r="C1193" s="1" t="s">
        <v>64</v>
      </c>
      <c r="D1193" s="2"/>
      <c r="E1193" s="2"/>
      <c r="F1193" s="8"/>
      <c r="G1193" s="8"/>
      <c r="H1193" s="8"/>
      <c r="I1193" s="8"/>
      <c r="M1193" s="3">
        <v>13</v>
      </c>
      <c r="O1193" s="3">
        <v>13</v>
      </c>
      <c r="P1193" s="1" t="s">
        <v>156</v>
      </c>
      <c r="U1193" s="3">
        <v>9</v>
      </c>
      <c r="X1193" s="3">
        <v>12</v>
      </c>
      <c r="Z1193" s="3">
        <f>X1193-U1193</f>
        <v>3</v>
      </c>
      <c r="AB1193" s="1" t="s">
        <v>285</v>
      </c>
      <c r="AE1193" s="1" t="s">
        <v>285</v>
      </c>
      <c r="AH1193" s="1" t="s">
        <v>285</v>
      </c>
      <c r="AQ1193" s="1" t="s">
        <v>285</v>
      </c>
      <c r="AT1193" s="1" t="s">
        <v>285</v>
      </c>
      <c r="AW1193" s="1" t="s">
        <v>285</v>
      </c>
      <c r="BC1193" s="3">
        <v>7</v>
      </c>
      <c r="BD1193" s="3">
        <v>6</v>
      </c>
      <c r="BG1193" s="3">
        <v>7</v>
      </c>
      <c r="BH1193" s="3">
        <v>8.5</v>
      </c>
      <c r="BI1193" s="1" t="s">
        <v>1047</v>
      </c>
    </row>
    <row r="1194" spans="1:61">
      <c r="B1194" s="103" t="s">
        <v>668</v>
      </c>
      <c r="C1194" s="1" t="s">
        <v>855</v>
      </c>
      <c r="D1194" s="2"/>
      <c r="E1194" s="2"/>
      <c r="F1194" s="8"/>
      <c r="G1194" s="8"/>
      <c r="H1194" s="8"/>
      <c r="I1194" s="8"/>
      <c r="BC1194" s="3">
        <v>8</v>
      </c>
      <c r="BD1194" s="3">
        <v>7</v>
      </c>
      <c r="BG1194" s="3">
        <v>8</v>
      </c>
      <c r="BH1194" s="3">
        <v>8.5</v>
      </c>
      <c r="BI1194" s="1" t="s">
        <v>1047</v>
      </c>
    </row>
    <row r="1195" spans="1:61">
      <c r="B1195" s="103" t="s">
        <v>668</v>
      </c>
      <c r="C1195" s="1" t="s">
        <v>286</v>
      </c>
      <c r="D1195" s="2"/>
      <c r="E1195" s="2"/>
      <c r="F1195" s="8"/>
      <c r="G1195" s="8"/>
      <c r="H1195" s="8"/>
      <c r="I1195" s="8"/>
      <c r="M1195" s="3">
        <v>11.5</v>
      </c>
      <c r="O1195" s="3">
        <v>11.5</v>
      </c>
      <c r="P1195" s="1" t="s">
        <v>451</v>
      </c>
      <c r="U1195" s="3">
        <v>8</v>
      </c>
      <c r="X1195" s="3">
        <v>11</v>
      </c>
      <c r="Z1195" s="3">
        <f>X1195-U1195</f>
        <v>3</v>
      </c>
      <c r="AB1195" s="1" t="s">
        <v>285</v>
      </c>
      <c r="AE1195" s="1" t="s">
        <v>285</v>
      </c>
      <c r="AH1195" s="1" t="s">
        <v>285</v>
      </c>
      <c r="AQ1195" s="1" t="s">
        <v>285</v>
      </c>
      <c r="AT1195" s="1" t="s">
        <v>285</v>
      </c>
      <c r="AW1195" s="1" t="s">
        <v>285</v>
      </c>
      <c r="BH1195" s="3">
        <v>8.5</v>
      </c>
      <c r="BI1195" s="1" t="s">
        <v>1047</v>
      </c>
    </row>
    <row r="1196" spans="1:61">
      <c r="B1196" s="103" t="s">
        <v>668</v>
      </c>
      <c r="C1196" s="1" t="s">
        <v>288</v>
      </c>
      <c r="D1196" s="2"/>
      <c r="E1196" s="2"/>
      <c r="F1196" s="8"/>
      <c r="G1196" s="8"/>
      <c r="H1196" s="8"/>
      <c r="I1196" s="8"/>
      <c r="M1196" s="3">
        <v>18</v>
      </c>
      <c r="O1196" s="3">
        <v>18</v>
      </c>
      <c r="P1196" s="1" t="s">
        <v>157</v>
      </c>
      <c r="U1196" s="3">
        <v>9.5</v>
      </c>
      <c r="X1196" s="3">
        <v>11.6</v>
      </c>
      <c r="Z1196" s="3">
        <f>X1196-U1196</f>
        <v>2.0999999999999996</v>
      </c>
      <c r="AB1196" s="1" t="s">
        <v>285</v>
      </c>
      <c r="AE1196" s="1" t="s">
        <v>285</v>
      </c>
      <c r="AH1196" s="1" t="s">
        <v>285</v>
      </c>
      <c r="AQ1196" s="1" t="s">
        <v>285</v>
      </c>
      <c r="AT1196" s="1" t="s">
        <v>285</v>
      </c>
      <c r="AW1196" s="1" t="s">
        <v>285</v>
      </c>
      <c r="BC1196" s="3">
        <v>8</v>
      </c>
      <c r="BD1196" s="3">
        <v>7</v>
      </c>
      <c r="BG1196" s="3">
        <v>8</v>
      </c>
      <c r="BH1196" s="3">
        <v>8.5</v>
      </c>
      <c r="BI1196" s="1" t="s">
        <v>1047</v>
      </c>
    </row>
    <row r="1197" spans="1:61">
      <c r="A1197" s="6">
        <v>11</v>
      </c>
      <c r="B1197" s="103" t="s">
        <v>668</v>
      </c>
      <c r="C1197" s="1" t="s">
        <v>57</v>
      </c>
      <c r="D1197" s="2"/>
      <c r="E1197" s="2"/>
      <c r="F1197" s="8"/>
      <c r="G1197" s="8"/>
      <c r="H1197" s="8"/>
      <c r="I1197" s="8"/>
      <c r="K1197" s="1" t="s">
        <v>284</v>
      </c>
      <c r="M1197" s="3">
        <v>15.5</v>
      </c>
      <c r="O1197" s="3">
        <v>15.5</v>
      </c>
      <c r="P1197" s="1" t="s">
        <v>153</v>
      </c>
      <c r="Q1197" s="3"/>
      <c r="AB1197" s="1" t="s">
        <v>285</v>
      </c>
      <c r="AE1197" s="1" t="s">
        <v>285</v>
      </c>
      <c r="AH1197" s="1" t="s">
        <v>285</v>
      </c>
      <c r="AQ1197" s="1" t="s">
        <v>285</v>
      </c>
      <c r="AT1197" s="1" t="s">
        <v>285</v>
      </c>
      <c r="AW1197" s="1" t="s">
        <v>285</v>
      </c>
    </row>
    <row r="1198" spans="1:61">
      <c r="B1198" s="103" t="s">
        <v>668</v>
      </c>
      <c r="C1198" s="1" t="s">
        <v>287</v>
      </c>
      <c r="D1198" s="2"/>
      <c r="E1198" s="2"/>
      <c r="F1198" s="8"/>
      <c r="G1198" s="8"/>
      <c r="H1198" s="8"/>
      <c r="I1198" s="8"/>
      <c r="U1198" s="3">
        <v>9.5</v>
      </c>
      <c r="AB1198" s="1" t="s">
        <v>285</v>
      </c>
      <c r="AE1198" s="1" t="s">
        <v>285</v>
      </c>
      <c r="AH1198" s="1" t="s">
        <v>285</v>
      </c>
      <c r="AQ1198" s="1" t="s">
        <v>285</v>
      </c>
      <c r="AT1198" s="1" t="s">
        <v>285</v>
      </c>
      <c r="AW1198" s="1" t="s">
        <v>285</v>
      </c>
      <c r="BC1198" s="3">
        <v>8</v>
      </c>
      <c r="BD1198" s="3">
        <v>6</v>
      </c>
      <c r="BG1198" s="3">
        <v>8</v>
      </c>
      <c r="BH1198" s="3">
        <v>8.5</v>
      </c>
      <c r="BI1198" s="1" t="s">
        <v>1047</v>
      </c>
    </row>
    <row r="1199" spans="1:61">
      <c r="A1199" s="6">
        <v>1</v>
      </c>
      <c r="B1199" s="103" t="s">
        <v>103</v>
      </c>
      <c r="C1199" s="1" t="s">
        <v>52</v>
      </c>
      <c r="D1199" s="2"/>
      <c r="E1199" s="2"/>
      <c r="F1199" s="8">
        <v>5</v>
      </c>
      <c r="G1199" s="8"/>
      <c r="H1199" s="8">
        <v>5</v>
      </c>
      <c r="I1199" s="8"/>
      <c r="M1199" s="3">
        <v>5</v>
      </c>
      <c r="O1199" s="3">
        <v>5</v>
      </c>
      <c r="Q1199" s="3">
        <f>O1199-H1199</f>
        <v>0</v>
      </c>
      <c r="R1199" s="3">
        <f>141/13</f>
        <v>10.846153846153847</v>
      </c>
      <c r="S1199" s="1" t="s">
        <v>726</v>
      </c>
      <c r="T1199" s="2">
        <f>R1199-O1199</f>
        <v>5.8461538461538467</v>
      </c>
      <c r="U1199" s="2" t="s">
        <v>685</v>
      </c>
      <c r="X1199" s="3">
        <v>10</v>
      </c>
      <c r="AA1199" s="3">
        <v>10</v>
      </c>
      <c r="AC1199" s="3">
        <f>AA1199-X1199</f>
        <v>0</v>
      </c>
      <c r="AE1199" s="1" t="s">
        <v>285</v>
      </c>
    </row>
    <row r="1200" spans="1:61">
      <c r="A1200" s="6">
        <v>3</v>
      </c>
      <c r="B1200" s="103" t="s">
        <v>103</v>
      </c>
      <c r="C1200" s="1" t="s">
        <v>54</v>
      </c>
      <c r="D1200" s="2"/>
      <c r="E1200" s="2"/>
      <c r="F1200" s="8"/>
      <c r="G1200" s="8"/>
      <c r="H1200" s="8"/>
      <c r="I1200" s="8"/>
      <c r="J1200" s="1" t="s">
        <v>515</v>
      </c>
      <c r="P1200" s="1" t="s">
        <v>515</v>
      </c>
      <c r="U1200" s="2" t="s">
        <v>685</v>
      </c>
      <c r="AE1200" s="1" t="s">
        <v>285</v>
      </c>
    </row>
    <row r="1201" spans="1:61">
      <c r="A1201" s="6">
        <v>4</v>
      </c>
      <c r="B1201" s="103" t="s">
        <v>103</v>
      </c>
      <c r="C1201" s="1" t="s">
        <v>55</v>
      </c>
      <c r="D1201" s="2"/>
      <c r="E1201" s="2"/>
      <c r="F1201" s="8"/>
      <c r="G1201" s="8"/>
      <c r="H1201" s="8"/>
      <c r="I1201" s="8"/>
      <c r="J1201" s="1" t="s">
        <v>515</v>
      </c>
      <c r="P1201" s="1" t="s">
        <v>515</v>
      </c>
      <c r="U1201" s="2" t="s">
        <v>685</v>
      </c>
      <c r="AE1201" s="1" t="s">
        <v>285</v>
      </c>
    </row>
    <row r="1202" spans="1:61">
      <c r="A1202" s="6">
        <v>5</v>
      </c>
      <c r="B1202" s="103" t="s">
        <v>103</v>
      </c>
      <c r="C1202" s="1" t="s">
        <v>56</v>
      </c>
      <c r="D1202" s="2"/>
      <c r="E1202" s="2"/>
      <c r="F1202" s="8"/>
      <c r="G1202" s="8"/>
      <c r="H1202" s="8"/>
      <c r="I1202" s="8"/>
      <c r="J1202" s="1" t="s">
        <v>515</v>
      </c>
      <c r="P1202" s="1" t="s">
        <v>515</v>
      </c>
      <c r="U1202" s="2" t="s">
        <v>685</v>
      </c>
      <c r="AE1202" s="1" t="s">
        <v>285</v>
      </c>
    </row>
    <row r="1203" spans="1:61">
      <c r="A1203" s="6">
        <v>2</v>
      </c>
      <c r="B1203" s="103" t="s">
        <v>103</v>
      </c>
      <c r="C1203" s="1" t="s">
        <v>53</v>
      </c>
      <c r="D1203" s="2"/>
      <c r="E1203" s="2"/>
      <c r="F1203" s="8">
        <v>5</v>
      </c>
      <c r="G1203" s="8"/>
      <c r="H1203" s="8">
        <v>5</v>
      </c>
      <c r="I1203" s="8"/>
      <c r="M1203" s="3">
        <v>5</v>
      </c>
      <c r="O1203" s="3">
        <v>5</v>
      </c>
      <c r="Q1203" s="3">
        <f>O1203-H1203</f>
        <v>0</v>
      </c>
      <c r="R1203" s="3">
        <f>141/13</f>
        <v>10.846153846153847</v>
      </c>
      <c r="S1203" s="1" t="s">
        <v>726</v>
      </c>
      <c r="T1203" s="3">
        <f>R1203-O1203</f>
        <v>5.8461538461538467</v>
      </c>
      <c r="U1203" s="3">
        <f>141/13</f>
        <v>10.846153846153847</v>
      </c>
      <c r="V1203" s="1" t="s">
        <v>726</v>
      </c>
      <c r="W1203" s="3">
        <f>U1203-R1203</f>
        <v>0</v>
      </c>
      <c r="X1203" s="3">
        <v>10</v>
      </c>
      <c r="Z1203" s="3">
        <f>X1203-U1203</f>
        <v>-0.8461538461538467</v>
      </c>
      <c r="AA1203" s="3">
        <v>10</v>
      </c>
      <c r="AC1203" s="3">
        <f>AA1203-X1203</f>
        <v>0</v>
      </c>
      <c r="AE1203" s="1" t="s">
        <v>285</v>
      </c>
    </row>
    <row r="1204" spans="1:61">
      <c r="B1204" s="103" t="s">
        <v>103</v>
      </c>
      <c r="C1204" s="1" t="s">
        <v>595</v>
      </c>
      <c r="D1204" s="2"/>
      <c r="E1204" s="2"/>
      <c r="F1204" s="8"/>
      <c r="G1204" s="8"/>
      <c r="H1204" s="8"/>
      <c r="I1204" s="8"/>
      <c r="Q1204" s="3"/>
      <c r="T1204" s="3"/>
      <c r="V1204" s="1" t="s">
        <v>337</v>
      </c>
      <c r="AE1204" s="1" t="s">
        <v>285</v>
      </c>
    </row>
    <row r="1205" spans="1:61">
      <c r="A1205" s="6">
        <v>12</v>
      </c>
      <c r="B1205" s="103" t="s">
        <v>103</v>
      </c>
      <c r="C1205" s="1" t="s">
        <v>594</v>
      </c>
      <c r="D1205" s="2"/>
      <c r="E1205" s="2"/>
      <c r="F1205" s="8">
        <v>7</v>
      </c>
      <c r="G1205" s="8"/>
      <c r="H1205" s="8">
        <v>7</v>
      </c>
      <c r="I1205" s="8"/>
      <c r="M1205" s="3">
        <v>7</v>
      </c>
      <c r="O1205" s="3">
        <v>7</v>
      </c>
      <c r="Q1205" s="3">
        <f>O1205-H1205</f>
        <v>0</v>
      </c>
      <c r="R1205" s="3">
        <f>70.5/13</f>
        <v>5.4230769230769234</v>
      </c>
      <c r="S1205" s="1" t="s">
        <v>728</v>
      </c>
      <c r="T1205" s="3">
        <f>R1205-O1205</f>
        <v>-1.5769230769230766</v>
      </c>
      <c r="U1205" s="3">
        <f>70.5/13</f>
        <v>5.4230769230769234</v>
      </c>
      <c r="V1205" s="1" t="s">
        <v>728</v>
      </c>
      <c r="W1205" s="3">
        <f>U1205-R1205</f>
        <v>0</v>
      </c>
      <c r="X1205" s="3">
        <v>7</v>
      </c>
      <c r="Z1205" s="3">
        <f>X1205-U1205</f>
        <v>1.5769230769230766</v>
      </c>
      <c r="AA1205" s="3">
        <v>7</v>
      </c>
      <c r="AC1205" s="3">
        <f>AA1205-X1205</f>
        <v>0</v>
      </c>
      <c r="AE1205" s="1" t="s">
        <v>285</v>
      </c>
      <c r="AG1205" s="3">
        <v>10</v>
      </c>
      <c r="AJ1205" s="3">
        <v>10</v>
      </c>
      <c r="AL1205" s="3">
        <f>AJ1205-AG1205</f>
        <v>0</v>
      </c>
      <c r="AM1205" s="3">
        <v>7.5</v>
      </c>
      <c r="AO1205" s="3">
        <f>AM1205-AJ1205</f>
        <v>-2.5</v>
      </c>
      <c r="AP1205" s="3">
        <v>5.2</v>
      </c>
      <c r="AS1205" s="3">
        <v>5.2</v>
      </c>
      <c r="AV1205" s="3">
        <v>14.23</v>
      </c>
      <c r="AY1205" s="3">
        <v>14.23</v>
      </c>
      <c r="AZ1205" s="3">
        <v>12</v>
      </c>
      <c r="BA1205" s="1" t="s">
        <v>852</v>
      </c>
      <c r="BC1205" s="3">
        <v>12</v>
      </c>
      <c r="BD1205" s="3">
        <v>10.75</v>
      </c>
      <c r="BE1205" s="1" t="s">
        <v>852</v>
      </c>
      <c r="BG1205" s="3">
        <v>10.75</v>
      </c>
      <c r="BH1205" s="3">
        <v>10.75</v>
      </c>
      <c r="BI1205" s="1" t="s">
        <v>852</v>
      </c>
    </row>
    <row r="1206" spans="1:61">
      <c r="A1206" s="6">
        <v>14</v>
      </c>
      <c r="B1206" s="103" t="s">
        <v>103</v>
      </c>
      <c r="C1206" s="1" t="s">
        <v>58</v>
      </c>
      <c r="D1206" s="2"/>
      <c r="E1206" s="2"/>
      <c r="F1206" s="8">
        <v>13</v>
      </c>
      <c r="G1206" s="8"/>
      <c r="H1206" s="8">
        <v>13</v>
      </c>
      <c r="I1206" s="8"/>
      <c r="M1206" s="3">
        <v>13</v>
      </c>
      <c r="O1206" s="3">
        <v>13</v>
      </c>
      <c r="Q1206" s="3">
        <f>O1206-H1206</f>
        <v>0</v>
      </c>
      <c r="R1206" s="3">
        <f>102.5/13</f>
        <v>7.884615384615385</v>
      </c>
      <c r="S1206" s="1" t="s">
        <v>729</v>
      </c>
      <c r="T1206" s="3">
        <f>R1206-O1206</f>
        <v>-5.115384615384615</v>
      </c>
      <c r="U1206" s="3">
        <f>102.5/13</f>
        <v>7.884615384615385</v>
      </c>
      <c r="V1206" s="1" t="s">
        <v>729</v>
      </c>
      <c r="W1206" s="3">
        <f>U1206-R1206</f>
        <v>0</v>
      </c>
      <c r="X1206" s="3">
        <v>11</v>
      </c>
      <c r="Z1206" s="3">
        <f>X1206-U1206</f>
        <v>3.115384615384615</v>
      </c>
      <c r="AA1206" s="3">
        <v>11</v>
      </c>
      <c r="AC1206" s="3">
        <f>AA1206-X1206</f>
        <v>0</v>
      </c>
      <c r="AE1206" s="1" t="s">
        <v>285</v>
      </c>
      <c r="AG1206" s="3">
        <v>13</v>
      </c>
      <c r="AJ1206" s="3">
        <v>13</v>
      </c>
      <c r="AL1206" s="3">
        <f>AJ1206-AG1206</f>
        <v>0</v>
      </c>
      <c r="AM1206" s="3">
        <v>12</v>
      </c>
      <c r="AO1206" s="3">
        <f>AM1206-AJ1206</f>
        <v>-1</v>
      </c>
      <c r="AP1206" s="3">
        <v>10.3</v>
      </c>
      <c r="AS1206" s="3">
        <v>10.3</v>
      </c>
      <c r="AV1206" s="3">
        <v>18.11</v>
      </c>
      <c r="AY1206" s="3">
        <v>18.11</v>
      </c>
      <c r="AZ1206" s="3">
        <v>13.5</v>
      </c>
      <c r="BA1206" s="1" t="s">
        <v>852</v>
      </c>
      <c r="BC1206" s="3">
        <v>13.5</v>
      </c>
      <c r="BD1206" s="3">
        <v>14.25</v>
      </c>
      <c r="BE1206" s="1" t="s">
        <v>852</v>
      </c>
      <c r="BG1206" s="3">
        <v>14.25</v>
      </c>
      <c r="BH1206" s="3">
        <v>14.25</v>
      </c>
      <c r="BI1206" s="1" t="s">
        <v>852</v>
      </c>
    </row>
    <row r="1207" spans="1:61">
      <c r="B1207" s="103" t="s">
        <v>103</v>
      </c>
      <c r="C1207" s="1" t="s">
        <v>857</v>
      </c>
      <c r="D1207" s="2"/>
      <c r="E1207" s="2"/>
      <c r="F1207" s="8"/>
      <c r="G1207" s="8"/>
      <c r="H1207" s="8"/>
      <c r="I1207" s="8"/>
      <c r="Q1207" s="3"/>
      <c r="T1207" s="3"/>
      <c r="AZ1207" s="3">
        <v>10</v>
      </c>
      <c r="BA1207" s="1" t="s">
        <v>852</v>
      </c>
      <c r="BC1207" s="3">
        <v>10</v>
      </c>
      <c r="BD1207" s="3">
        <v>16.5</v>
      </c>
      <c r="BE1207" s="1" t="s">
        <v>852</v>
      </c>
      <c r="BG1207" s="3">
        <v>16.5</v>
      </c>
      <c r="BH1207" s="3">
        <v>16.5</v>
      </c>
      <c r="BI1207" s="1" t="s">
        <v>852</v>
      </c>
    </row>
    <row r="1208" spans="1:61">
      <c r="B1208" s="103" t="s">
        <v>103</v>
      </c>
      <c r="C1208" s="1" t="s">
        <v>289</v>
      </c>
      <c r="D1208" s="2"/>
      <c r="E1208" s="2"/>
      <c r="F1208" s="8"/>
      <c r="G1208" s="8"/>
      <c r="H1208" s="8"/>
      <c r="I1208" s="8"/>
      <c r="Q1208" s="3"/>
      <c r="T1208" s="3"/>
      <c r="AG1208" s="3">
        <v>17.8</v>
      </c>
      <c r="AJ1208" s="3">
        <v>17.8</v>
      </c>
      <c r="AL1208" s="3">
        <f>AJ1208-AG1208</f>
        <v>0</v>
      </c>
      <c r="AM1208" s="3">
        <v>17.8</v>
      </c>
      <c r="AO1208" s="3">
        <f>AM1208-AJ1208</f>
        <v>0</v>
      </c>
      <c r="AP1208" s="3">
        <v>17.8</v>
      </c>
      <c r="AS1208" s="3">
        <v>17.8</v>
      </c>
      <c r="AV1208" s="3">
        <v>28</v>
      </c>
      <c r="AY1208" s="3">
        <v>28</v>
      </c>
      <c r="AZ1208" s="3">
        <v>15</v>
      </c>
      <c r="BA1208" s="1" t="s">
        <v>852</v>
      </c>
      <c r="BC1208" s="3">
        <v>15</v>
      </c>
      <c r="BD1208" s="3">
        <v>16.5</v>
      </c>
      <c r="BE1208" s="1" t="s">
        <v>852</v>
      </c>
      <c r="BG1208" s="3">
        <v>16.5</v>
      </c>
      <c r="BH1208" s="3">
        <v>16.5</v>
      </c>
      <c r="BI1208" s="1" t="s">
        <v>852</v>
      </c>
    </row>
    <row r="1209" spans="1:61">
      <c r="B1209" s="103" t="s">
        <v>103</v>
      </c>
      <c r="C1209" s="1" t="s">
        <v>290</v>
      </c>
      <c r="D1209" s="2"/>
      <c r="E1209" s="2"/>
      <c r="F1209" s="8"/>
      <c r="G1209" s="8"/>
      <c r="H1209" s="8"/>
      <c r="I1209" s="8"/>
      <c r="Q1209" s="3"/>
      <c r="T1209" s="3"/>
      <c r="AG1209" s="3">
        <v>20.2</v>
      </c>
      <c r="AJ1209" s="3">
        <v>20.2</v>
      </c>
      <c r="AL1209" s="3">
        <f>AJ1209-AG1209</f>
        <v>0</v>
      </c>
      <c r="AM1209" s="3">
        <v>20.2</v>
      </c>
      <c r="AO1209" s="3">
        <f>AM1209-AJ1209</f>
        <v>0</v>
      </c>
      <c r="AP1209" s="3">
        <v>20.2</v>
      </c>
      <c r="AS1209" s="3">
        <v>20.2</v>
      </c>
      <c r="AV1209" s="3">
        <v>48</v>
      </c>
      <c r="AY1209" s="3">
        <v>48</v>
      </c>
      <c r="AZ1209" s="3">
        <v>48</v>
      </c>
      <c r="BA1209" s="1" t="s">
        <v>852</v>
      </c>
      <c r="BC1209" s="3">
        <v>48</v>
      </c>
      <c r="BD1209" s="3">
        <v>22</v>
      </c>
      <c r="BE1209" s="1" t="s">
        <v>852</v>
      </c>
      <c r="BG1209" s="3">
        <v>22</v>
      </c>
      <c r="BH1209" s="3">
        <v>22</v>
      </c>
      <c r="BI1209" s="1" t="s">
        <v>852</v>
      </c>
    </row>
    <row r="1210" spans="1:61" ht="9.6" customHeight="1">
      <c r="B1210" s="103" t="s">
        <v>103</v>
      </c>
      <c r="C1210" s="1" t="s">
        <v>64</v>
      </c>
      <c r="D1210" s="2"/>
      <c r="E1210" s="2"/>
      <c r="F1210" s="8"/>
      <c r="G1210" s="8"/>
      <c r="H1210" s="8"/>
      <c r="I1210" s="8"/>
      <c r="Q1210" s="3"/>
      <c r="R1210" s="3">
        <f>160/13</f>
        <v>12.307692307692308</v>
      </c>
      <c r="S1210" s="1" t="s">
        <v>730</v>
      </c>
      <c r="T1210" s="3"/>
      <c r="U1210" s="3">
        <f>160/13</f>
        <v>12.307692307692308</v>
      </c>
      <c r="V1210" s="1" t="s">
        <v>730</v>
      </c>
      <c r="W1210" s="3">
        <f>U1210-R1210</f>
        <v>0</v>
      </c>
      <c r="X1210" s="3">
        <v>14</v>
      </c>
      <c r="Z1210" s="3">
        <f>X1210-U1210</f>
        <v>1.6923076923076916</v>
      </c>
      <c r="AA1210" s="3">
        <v>14</v>
      </c>
      <c r="AC1210" s="3">
        <f>AA1210-X1210</f>
        <v>0</v>
      </c>
      <c r="AE1210" s="1" t="s">
        <v>285</v>
      </c>
      <c r="AG1210" s="3">
        <v>19.399999999999999</v>
      </c>
      <c r="AJ1210" s="3">
        <v>19.399999999999999</v>
      </c>
      <c r="AL1210" s="3">
        <f>AJ1210-AG1210</f>
        <v>0</v>
      </c>
      <c r="AM1210" s="3">
        <v>13.5</v>
      </c>
      <c r="AO1210" s="3">
        <f>AM1210-AJ1210</f>
        <v>-5.8999999999999986</v>
      </c>
      <c r="AP1210" s="3">
        <v>10.64</v>
      </c>
      <c r="AS1210" s="3">
        <v>10.64</v>
      </c>
      <c r="AV1210" s="3">
        <v>18.38</v>
      </c>
      <c r="AY1210" s="3">
        <v>18.38</v>
      </c>
      <c r="AZ1210" s="3">
        <v>16.8</v>
      </c>
      <c r="BA1210" s="1" t="s">
        <v>852</v>
      </c>
      <c r="BC1210" s="3">
        <v>16.8</v>
      </c>
      <c r="BD1210" s="3">
        <v>13.17</v>
      </c>
      <c r="BE1210" s="1" t="s">
        <v>852</v>
      </c>
      <c r="BG1210" s="3">
        <v>13.17</v>
      </c>
      <c r="BH1210" s="3">
        <v>13.17</v>
      </c>
      <c r="BI1210" s="1" t="s">
        <v>852</v>
      </c>
    </row>
    <row r="1211" spans="1:61">
      <c r="B1211" s="103" t="s">
        <v>103</v>
      </c>
      <c r="C1211" s="1" t="s">
        <v>286</v>
      </c>
      <c r="D1211" s="2"/>
      <c r="E1211" s="2"/>
      <c r="F1211" s="8"/>
      <c r="G1211" s="8"/>
      <c r="H1211" s="8"/>
      <c r="I1211" s="8"/>
      <c r="Q1211" s="3"/>
      <c r="R1211" s="3">
        <f>128/13</f>
        <v>9.8461538461538467</v>
      </c>
      <c r="S1211" s="1" t="s">
        <v>731</v>
      </c>
      <c r="T1211" s="3"/>
      <c r="U1211" s="3">
        <f>128/13</f>
        <v>9.8461538461538467</v>
      </c>
      <c r="V1211" s="1" t="s">
        <v>731</v>
      </c>
      <c r="W1211" s="3">
        <f>U1211-R1211</f>
        <v>0</v>
      </c>
      <c r="X1211" s="3">
        <v>21</v>
      </c>
      <c r="Z1211" s="3">
        <f>X1211-U1211</f>
        <v>11.153846153846153</v>
      </c>
      <c r="AA1211" s="3">
        <v>21</v>
      </c>
      <c r="AC1211" s="3">
        <f>AA1211-X1211</f>
        <v>0</v>
      </c>
      <c r="AE1211" s="1" t="s">
        <v>285</v>
      </c>
      <c r="AG1211" s="3">
        <v>20</v>
      </c>
      <c r="AJ1211" s="3">
        <v>20</v>
      </c>
      <c r="AL1211" s="3">
        <f>AJ1211-AG1211</f>
        <v>0</v>
      </c>
      <c r="AM1211" s="3">
        <v>15</v>
      </c>
      <c r="AO1211" s="3">
        <f>AM1211-AJ1211</f>
        <v>-5</v>
      </c>
      <c r="AP1211" s="3">
        <v>10.26</v>
      </c>
      <c r="AS1211" s="3">
        <v>10.26</v>
      </c>
      <c r="AV1211" s="3">
        <v>17.8</v>
      </c>
      <c r="AY1211" s="3">
        <v>17.8</v>
      </c>
      <c r="AZ1211" s="3">
        <v>16.8</v>
      </c>
      <c r="BA1211" s="1" t="s">
        <v>852</v>
      </c>
      <c r="BC1211" s="3">
        <v>16.8</v>
      </c>
      <c r="BD1211" s="3">
        <v>13.92</v>
      </c>
      <c r="BE1211" s="1" t="s">
        <v>852</v>
      </c>
      <c r="BG1211" s="3">
        <v>13.92</v>
      </c>
      <c r="BH1211" s="3">
        <v>13.92</v>
      </c>
      <c r="BI1211" s="1" t="s">
        <v>852</v>
      </c>
    </row>
    <row r="1212" spans="1:61">
      <c r="B1212" s="103" t="s">
        <v>103</v>
      </c>
      <c r="C1212" s="1" t="s">
        <v>288</v>
      </c>
      <c r="D1212" s="2"/>
      <c r="E1212" s="2"/>
      <c r="F1212" s="8"/>
      <c r="G1212" s="8"/>
      <c r="H1212" s="8"/>
      <c r="I1212" s="8"/>
      <c r="Q1212" s="3"/>
      <c r="T1212" s="3"/>
      <c r="U1212" s="3">
        <f>155.3/13</f>
        <v>11.946153846153846</v>
      </c>
      <c r="V1212" s="1" t="s">
        <v>339</v>
      </c>
      <c r="X1212" s="3">
        <v>23</v>
      </c>
      <c r="Z1212" s="3">
        <f>X1212-U1212</f>
        <v>11.053846153846154</v>
      </c>
      <c r="AA1212" s="3">
        <v>23</v>
      </c>
      <c r="AC1212" s="3">
        <f>AA1212-X1212</f>
        <v>0</v>
      </c>
      <c r="AE1212" s="1" t="s">
        <v>285</v>
      </c>
      <c r="AG1212" s="3">
        <v>20</v>
      </c>
      <c r="AJ1212" s="3">
        <v>20</v>
      </c>
      <c r="AL1212" s="3">
        <f>AJ1212-AG1212</f>
        <v>0</v>
      </c>
      <c r="AM1212" s="3">
        <v>15</v>
      </c>
      <c r="AO1212" s="3">
        <f>AM1212-AJ1212</f>
        <v>-5</v>
      </c>
      <c r="AP1212" s="3">
        <v>12.35</v>
      </c>
      <c r="AS1212" s="3">
        <v>12.35</v>
      </c>
      <c r="AV1212" s="3">
        <v>17.8</v>
      </c>
      <c r="AY1212" s="3">
        <v>17.8</v>
      </c>
      <c r="AZ1212" s="3">
        <v>16.8</v>
      </c>
      <c r="BA1212" s="1" t="s">
        <v>852</v>
      </c>
      <c r="BC1212" s="3">
        <v>16.8</v>
      </c>
      <c r="BD1212" s="3">
        <v>15.96</v>
      </c>
      <c r="BE1212" s="1" t="s">
        <v>852</v>
      </c>
      <c r="BG1212" s="3">
        <v>15.96</v>
      </c>
      <c r="BH1212" s="3">
        <v>15.96</v>
      </c>
      <c r="BI1212" s="1" t="s">
        <v>852</v>
      </c>
    </row>
    <row r="1213" spans="1:61">
      <c r="A1213" s="6">
        <v>11</v>
      </c>
      <c r="B1213" s="103" t="s">
        <v>103</v>
      </c>
      <c r="C1213" s="1" t="s">
        <v>57</v>
      </c>
      <c r="D1213" s="2"/>
      <c r="E1213" s="2"/>
      <c r="F1213" s="8">
        <v>5</v>
      </c>
      <c r="G1213" s="8"/>
      <c r="H1213" s="8">
        <v>5</v>
      </c>
      <c r="I1213" s="8"/>
      <c r="M1213" s="3">
        <v>5</v>
      </c>
      <c r="O1213" s="3">
        <v>5</v>
      </c>
      <c r="Q1213" s="3">
        <f>O1213-H1213</f>
        <v>0</v>
      </c>
      <c r="R1213" s="3">
        <f>218/13</f>
        <v>16.76923076923077</v>
      </c>
      <c r="S1213" s="1" t="s">
        <v>727</v>
      </c>
      <c r="T1213" s="3">
        <f>R1213-O1213</f>
        <v>11.76923076923077</v>
      </c>
      <c r="U1213" s="3">
        <f>218/13</f>
        <v>16.76923076923077</v>
      </c>
      <c r="V1213" s="1" t="s">
        <v>727</v>
      </c>
      <c r="W1213" s="3">
        <f>U1213-R1213</f>
        <v>0</v>
      </c>
      <c r="X1213" s="3">
        <v>24</v>
      </c>
      <c r="Z1213" s="3">
        <f>X1213-U1213</f>
        <v>7.2307692307692299</v>
      </c>
      <c r="AA1213" s="3">
        <v>24</v>
      </c>
      <c r="AC1213" s="3">
        <f>AA1213-X1213</f>
        <v>0</v>
      </c>
      <c r="AE1213" s="1" t="s">
        <v>285</v>
      </c>
    </row>
    <row r="1214" spans="1:61">
      <c r="B1214" s="103" t="s">
        <v>103</v>
      </c>
      <c r="C1214" s="1" t="s">
        <v>287</v>
      </c>
      <c r="D1214" s="2"/>
      <c r="E1214" s="2"/>
      <c r="F1214" s="8"/>
      <c r="G1214" s="8"/>
      <c r="H1214" s="8"/>
      <c r="I1214" s="8"/>
      <c r="Q1214" s="3"/>
      <c r="T1214" s="3"/>
      <c r="U1214" s="3">
        <f>150.6/13</f>
        <v>11.584615384615384</v>
      </c>
      <c r="V1214" s="1" t="s">
        <v>338</v>
      </c>
      <c r="AE1214" s="1" t="s">
        <v>285</v>
      </c>
    </row>
    <row r="1215" spans="1:61">
      <c r="A1215" s="6">
        <v>1</v>
      </c>
      <c r="B1215" s="103" t="s">
        <v>104</v>
      </c>
      <c r="C1215" s="1" t="s">
        <v>52</v>
      </c>
      <c r="D1215" s="2"/>
      <c r="E1215" s="2"/>
      <c r="F1215" s="8"/>
      <c r="G1215" s="8"/>
      <c r="H1215" s="8"/>
      <c r="I1215" s="8"/>
      <c r="P1215" s="1" t="s">
        <v>285</v>
      </c>
      <c r="S1215" s="1" t="s">
        <v>285</v>
      </c>
    </row>
    <row r="1216" spans="1:61">
      <c r="A1216" s="6">
        <v>3</v>
      </c>
      <c r="B1216" s="103" t="s">
        <v>104</v>
      </c>
      <c r="C1216" s="1" t="s">
        <v>54</v>
      </c>
      <c r="D1216" s="2"/>
      <c r="E1216" s="2"/>
      <c r="F1216" s="8"/>
      <c r="G1216" s="8"/>
      <c r="H1216" s="8"/>
      <c r="I1216" s="8"/>
      <c r="P1216" s="1" t="s">
        <v>285</v>
      </c>
      <c r="S1216" s="1" t="s">
        <v>285</v>
      </c>
    </row>
    <row r="1217" spans="1:61">
      <c r="A1217" s="6">
        <v>4</v>
      </c>
      <c r="B1217" s="103" t="s">
        <v>104</v>
      </c>
      <c r="C1217" s="1" t="s">
        <v>55</v>
      </c>
      <c r="D1217" s="2"/>
      <c r="E1217" s="2"/>
      <c r="F1217" s="8"/>
      <c r="G1217" s="8"/>
      <c r="H1217" s="8"/>
      <c r="I1217" s="8"/>
      <c r="P1217" s="1" t="s">
        <v>285</v>
      </c>
      <c r="S1217" s="1" t="s">
        <v>285</v>
      </c>
    </row>
    <row r="1218" spans="1:61">
      <c r="A1218" s="6">
        <v>5</v>
      </c>
      <c r="B1218" s="103" t="s">
        <v>104</v>
      </c>
      <c r="C1218" s="1" t="s">
        <v>56</v>
      </c>
      <c r="D1218" s="2"/>
      <c r="E1218" s="2"/>
      <c r="F1218" s="8"/>
      <c r="G1218" s="8"/>
      <c r="H1218" s="8"/>
      <c r="I1218" s="8"/>
      <c r="P1218" s="1" t="s">
        <v>285</v>
      </c>
      <c r="S1218" s="1" t="s">
        <v>285</v>
      </c>
    </row>
    <row r="1219" spans="1:61">
      <c r="A1219" s="6">
        <v>2</v>
      </c>
      <c r="B1219" s="103" t="s">
        <v>104</v>
      </c>
      <c r="C1219" s="1" t="s">
        <v>53</v>
      </c>
      <c r="D1219" s="2"/>
      <c r="E1219" s="2"/>
      <c r="F1219" s="8"/>
      <c r="G1219" s="8"/>
      <c r="H1219" s="8"/>
      <c r="I1219" s="8"/>
      <c r="P1219" s="1" t="s">
        <v>285</v>
      </c>
      <c r="S1219" s="1" t="s">
        <v>285</v>
      </c>
    </row>
    <row r="1220" spans="1:61">
      <c r="B1220" s="103" t="s">
        <v>104</v>
      </c>
      <c r="C1220" s="1" t="s">
        <v>600</v>
      </c>
      <c r="D1220" s="2"/>
      <c r="E1220" s="2"/>
      <c r="F1220" s="8"/>
      <c r="G1220" s="8"/>
      <c r="H1220" s="8"/>
      <c r="I1220" s="8"/>
      <c r="AS1220" s="3">
        <v>12</v>
      </c>
    </row>
    <row r="1221" spans="1:61">
      <c r="A1221" s="6">
        <v>12</v>
      </c>
      <c r="B1221" s="103" t="s">
        <v>104</v>
      </c>
      <c r="C1221" s="1" t="s">
        <v>594</v>
      </c>
      <c r="D1221" s="2"/>
      <c r="E1221" s="2"/>
      <c r="F1221" s="8"/>
      <c r="G1221" s="8"/>
      <c r="H1221" s="8"/>
      <c r="I1221" s="8"/>
      <c r="P1221" s="1" t="s">
        <v>285</v>
      </c>
      <c r="S1221" s="1" t="s">
        <v>285</v>
      </c>
      <c r="U1221" s="3">
        <v>23</v>
      </c>
      <c r="X1221" s="3">
        <v>23.5</v>
      </c>
      <c r="Z1221" s="3">
        <f>X1221-U1221</f>
        <v>0.5</v>
      </c>
      <c r="AA1221" s="3">
        <v>23</v>
      </c>
      <c r="AC1221" s="3">
        <f>AA1221-X1221</f>
        <v>-0.5</v>
      </c>
      <c r="AD1221" s="24">
        <v>18.38</v>
      </c>
      <c r="AF1221" s="24">
        <f>AD1221-AA1221</f>
        <v>-4.620000000000001</v>
      </c>
      <c r="AG1221" s="3">
        <v>18</v>
      </c>
      <c r="AI1221" s="3">
        <f>AG1221-AD1221</f>
        <v>-0.37999999999999901</v>
      </c>
      <c r="AJ1221" s="3">
        <v>29.2</v>
      </c>
      <c r="AL1221" s="3">
        <f>AJ1221-AG1221</f>
        <v>11.2</v>
      </c>
      <c r="AM1221" s="3">
        <v>31.6</v>
      </c>
      <c r="AO1221" s="3">
        <f>AM1221-AJ1221</f>
        <v>2.4000000000000021</v>
      </c>
      <c r="AP1221" s="3">
        <v>21</v>
      </c>
      <c r="AS1221" s="3">
        <v>8</v>
      </c>
      <c r="AV1221" s="3">
        <v>7</v>
      </c>
      <c r="AZ1221" s="3">
        <v>20</v>
      </c>
      <c r="BA1221" s="1" t="s">
        <v>852</v>
      </c>
      <c r="BD1221" s="3">
        <v>25</v>
      </c>
      <c r="BE1221" s="1" t="s">
        <v>852</v>
      </c>
    </row>
    <row r="1222" spans="1:61">
      <c r="A1222" s="6">
        <v>14</v>
      </c>
      <c r="B1222" s="103" t="s">
        <v>104</v>
      </c>
      <c r="C1222" s="1" t="s">
        <v>58</v>
      </c>
      <c r="D1222" s="2"/>
      <c r="E1222" s="2"/>
      <c r="F1222" s="8"/>
      <c r="G1222" s="8"/>
      <c r="H1222" s="8"/>
      <c r="I1222" s="8"/>
      <c r="P1222" s="1" t="s">
        <v>285</v>
      </c>
      <c r="S1222" s="1" t="s">
        <v>285</v>
      </c>
      <c r="AJ1222" s="3">
        <v>34</v>
      </c>
      <c r="AL1222" s="3"/>
      <c r="AM1222" s="3">
        <v>54.4</v>
      </c>
      <c r="AO1222" s="3">
        <f>AM1222-AJ1222</f>
        <v>20.399999999999999</v>
      </c>
      <c r="AP1222" s="3">
        <v>20</v>
      </c>
      <c r="AS1222" s="3">
        <v>14</v>
      </c>
      <c r="AV1222" s="3">
        <v>9.5</v>
      </c>
      <c r="AZ1222" s="3">
        <v>25</v>
      </c>
      <c r="BA1222" s="1" t="s">
        <v>852</v>
      </c>
      <c r="BD1222" s="3">
        <v>25</v>
      </c>
      <c r="BE1222" s="1" t="s">
        <v>852</v>
      </c>
      <c r="BH1222" s="3">
        <v>34.32</v>
      </c>
      <c r="BI1222" s="1" t="s">
        <v>852</v>
      </c>
    </row>
    <row r="1223" spans="1:61">
      <c r="B1223" s="103" t="s">
        <v>104</v>
      </c>
      <c r="C1223" s="1" t="s">
        <v>289</v>
      </c>
      <c r="D1223" s="2"/>
      <c r="E1223" s="2"/>
      <c r="F1223" s="8"/>
      <c r="G1223" s="8"/>
      <c r="H1223" s="8"/>
      <c r="I1223" s="8"/>
      <c r="AP1223" s="3">
        <v>19</v>
      </c>
    </row>
    <row r="1224" spans="1:61">
      <c r="B1224" s="103" t="s">
        <v>104</v>
      </c>
      <c r="C1224" s="1" t="s">
        <v>64</v>
      </c>
      <c r="D1224" s="2"/>
      <c r="E1224" s="2"/>
      <c r="F1224" s="8"/>
      <c r="G1224" s="8"/>
      <c r="H1224" s="8"/>
      <c r="I1224" s="8"/>
      <c r="AJ1224" s="3">
        <v>29</v>
      </c>
      <c r="AM1224" s="3">
        <v>29</v>
      </c>
      <c r="AO1224" s="3">
        <f>AM1224-AJ1224</f>
        <v>0</v>
      </c>
      <c r="AP1224" s="3">
        <v>28</v>
      </c>
      <c r="AS1224" s="3">
        <v>15</v>
      </c>
      <c r="AV1224" s="3">
        <v>15.5</v>
      </c>
      <c r="AZ1224" s="3">
        <v>40</v>
      </c>
      <c r="BA1224" s="1" t="s">
        <v>852</v>
      </c>
      <c r="BH1224" s="3">
        <v>33.36</v>
      </c>
      <c r="BI1224" s="1" t="s">
        <v>852</v>
      </c>
    </row>
    <row r="1225" spans="1:61">
      <c r="B1225" s="103" t="s">
        <v>104</v>
      </c>
      <c r="C1225" s="1" t="s">
        <v>288</v>
      </c>
      <c r="D1225" s="2"/>
      <c r="E1225" s="2"/>
      <c r="F1225" s="8"/>
      <c r="G1225" s="8"/>
      <c r="H1225" s="8"/>
      <c r="I1225" s="8"/>
      <c r="AJ1225" s="3">
        <v>28.5</v>
      </c>
      <c r="AL1225" s="3"/>
      <c r="AM1225" s="3">
        <v>28.5</v>
      </c>
      <c r="AO1225" s="3">
        <f>AM1225-AJ1225</f>
        <v>0</v>
      </c>
      <c r="AP1225" s="3">
        <v>29</v>
      </c>
      <c r="AS1225" s="3">
        <v>15</v>
      </c>
      <c r="AV1225" s="3">
        <v>9.5</v>
      </c>
      <c r="AZ1225" s="3">
        <v>30</v>
      </c>
      <c r="BA1225" s="1" t="s">
        <v>852</v>
      </c>
      <c r="BD1225" s="3">
        <v>30</v>
      </c>
      <c r="BE1225" s="1" t="s">
        <v>852</v>
      </c>
      <c r="BH1225" s="3">
        <v>31.69</v>
      </c>
      <c r="BI1225" s="1" t="s">
        <v>852</v>
      </c>
    </row>
    <row r="1226" spans="1:61">
      <c r="A1226" s="6">
        <v>11</v>
      </c>
      <c r="B1226" s="103" t="s">
        <v>104</v>
      </c>
      <c r="C1226" s="1" t="s">
        <v>57</v>
      </c>
      <c r="D1226" s="2"/>
      <c r="E1226" s="2"/>
      <c r="F1226" s="8"/>
      <c r="G1226" s="8"/>
      <c r="H1226" s="8"/>
      <c r="I1226" s="8"/>
      <c r="P1226" s="1" t="s">
        <v>285</v>
      </c>
      <c r="S1226" s="1" t="s">
        <v>285</v>
      </c>
    </row>
    <row r="1227" spans="1:61">
      <c r="A1227" s="6">
        <v>1</v>
      </c>
      <c r="B1227" s="103" t="s">
        <v>105</v>
      </c>
      <c r="C1227" s="1" t="s">
        <v>52</v>
      </c>
      <c r="D1227" s="2">
        <v>5</v>
      </c>
      <c r="E1227" s="2"/>
      <c r="F1227" s="8">
        <v>5</v>
      </c>
      <c r="G1227" s="8"/>
      <c r="H1227" s="8">
        <v>5</v>
      </c>
      <c r="I1227" s="8">
        <f>H1227-D1227</f>
        <v>0</v>
      </c>
      <c r="K1227" s="3"/>
      <c r="R1227" s="3">
        <v>6.5</v>
      </c>
      <c r="S1227" s="112" t="s">
        <v>649</v>
      </c>
      <c r="T1227" s="2"/>
      <c r="V1227" s="1" t="s">
        <v>285</v>
      </c>
      <c r="Y1227" s="1" t="s">
        <v>285</v>
      </c>
      <c r="AB1227" s="1" t="s">
        <v>285</v>
      </c>
      <c r="AQ1227" s="1" t="s">
        <v>285</v>
      </c>
      <c r="AT1227" s="1" t="s">
        <v>843</v>
      </c>
      <c r="AW1227" s="1" t="s">
        <v>843</v>
      </c>
      <c r="BA1227" s="1" t="s">
        <v>843</v>
      </c>
      <c r="BE1227" s="1" t="s">
        <v>843</v>
      </c>
      <c r="BI1227" s="1" t="s">
        <v>843</v>
      </c>
    </row>
    <row r="1228" spans="1:61">
      <c r="A1228" s="6">
        <v>3</v>
      </c>
      <c r="B1228" s="103" t="s">
        <v>105</v>
      </c>
      <c r="C1228" s="1" t="s">
        <v>54</v>
      </c>
      <c r="D1228" s="2">
        <v>0</v>
      </c>
      <c r="E1228" s="2"/>
      <c r="F1228" s="8">
        <v>0</v>
      </c>
      <c r="G1228" s="8"/>
      <c r="H1228" s="8">
        <v>0</v>
      </c>
      <c r="I1228" s="8"/>
      <c r="R1228" s="3" t="s">
        <v>685</v>
      </c>
      <c r="S1228" s="112"/>
      <c r="V1228" s="1" t="s">
        <v>285</v>
      </c>
      <c r="Y1228" s="1" t="s">
        <v>285</v>
      </c>
      <c r="AB1228" s="1" t="s">
        <v>285</v>
      </c>
      <c r="AQ1228" s="1" t="s">
        <v>285</v>
      </c>
      <c r="AT1228" s="1" t="s">
        <v>843</v>
      </c>
      <c r="AW1228" s="1" t="s">
        <v>843</v>
      </c>
      <c r="BA1228" s="1" t="s">
        <v>843</v>
      </c>
      <c r="BE1228" s="1" t="s">
        <v>843</v>
      </c>
      <c r="BI1228" s="1" t="s">
        <v>843</v>
      </c>
    </row>
    <row r="1229" spans="1:61">
      <c r="A1229" s="6">
        <v>4</v>
      </c>
      <c r="B1229" s="103" t="s">
        <v>105</v>
      </c>
      <c r="C1229" s="1" t="s">
        <v>55</v>
      </c>
      <c r="D1229" s="2">
        <v>0</v>
      </c>
      <c r="E1229" s="2"/>
      <c r="F1229" s="8">
        <v>0</v>
      </c>
      <c r="G1229" s="8"/>
      <c r="H1229" s="8">
        <v>0</v>
      </c>
      <c r="I1229" s="8"/>
      <c r="R1229" s="3" t="s">
        <v>685</v>
      </c>
      <c r="S1229" s="112"/>
      <c r="V1229" s="1" t="s">
        <v>285</v>
      </c>
      <c r="Y1229" s="1" t="s">
        <v>285</v>
      </c>
      <c r="AB1229" s="1" t="s">
        <v>285</v>
      </c>
      <c r="AQ1229" s="1" t="s">
        <v>285</v>
      </c>
      <c r="AT1229" s="1" t="s">
        <v>843</v>
      </c>
      <c r="AW1229" s="1" t="s">
        <v>843</v>
      </c>
      <c r="BA1229" s="1" t="s">
        <v>843</v>
      </c>
      <c r="BE1229" s="1" t="s">
        <v>843</v>
      </c>
      <c r="BI1229" s="1" t="s">
        <v>843</v>
      </c>
    </row>
    <row r="1230" spans="1:61">
      <c r="A1230" s="6">
        <v>5</v>
      </c>
      <c r="B1230" s="103" t="s">
        <v>105</v>
      </c>
      <c r="C1230" s="1" t="s">
        <v>56</v>
      </c>
      <c r="D1230" s="2">
        <v>0</v>
      </c>
      <c r="E1230" s="2"/>
      <c r="F1230" s="8">
        <v>0</v>
      </c>
      <c r="G1230" s="8"/>
      <c r="H1230" s="8">
        <v>0</v>
      </c>
      <c r="I1230" s="8"/>
      <c r="R1230" s="3" t="s">
        <v>685</v>
      </c>
      <c r="S1230" s="112"/>
      <c r="V1230" s="1" t="s">
        <v>285</v>
      </c>
      <c r="Y1230" s="1" t="s">
        <v>285</v>
      </c>
      <c r="AB1230" s="1" t="s">
        <v>285</v>
      </c>
      <c r="AQ1230" s="1" t="s">
        <v>285</v>
      </c>
      <c r="AT1230" s="1" t="s">
        <v>843</v>
      </c>
      <c r="AW1230" s="1" t="s">
        <v>843</v>
      </c>
      <c r="BA1230" s="1" t="s">
        <v>843</v>
      </c>
      <c r="BE1230" s="1" t="s">
        <v>843</v>
      </c>
      <c r="BI1230" s="1" t="s">
        <v>843</v>
      </c>
    </row>
    <row r="1231" spans="1:61">
      <c r="A1231" s="6">
        <v>2</v>
      </c>
      <c r="B1231" s="103" t="s">
        <v>105</v>
      </c>
      <c r="C1231" s="1" t="s">
        <v>53</v>
      </c>
      <c r="D1231" s="2">
        <v>6</v>
      </c>
      <c r="E1231" s="2"/>
      <c r="F1231" s="8">
        <v>6</v>
      </c>
      <c r="G1231" s="8"/>
      <c r="H1231" s="8">
        <v>6</v>
      </c>
      <c r="I1231" s="10">
        <f>H1231-D1231</f>
        <v>0</v>
      </c>
      <c r="K1231" s="3"/>
      <c r="R1231" s="3">
        <v>9</v>
      </c>
      <c r="S1231" s="112" t="s">
        <v>609</v>
      </c>
      <c r="T1231" s="3"/>
      <c r="V1231" s="1" t="s">
        <v>285</v>
      </c>
      <c r="Y1231" s="1" t="s">
        <v>285</v>
      </c>
      <c r="AB1231" s="1" t="s">
        <v>285</v>
      </c>
      <c r="AQ1231" s="1" t="s">
        <v>285</v>
      </c>
      <c r="AT1231" s="1" t="s">
        <v>843</v>
      </c>
      <c r="AW1231" s="1" t="s">
        <v>843</v>
      </c>
      <c r="BA1231" s="1" t="s">
        <v>843</v>
      </c>
      <c r="BE1231" s="1" t="s">
        <v>843</v>
      </c>
      <c r="BI1231" s="1" t="s">
        <v>843</v>
      </c>
    </row>
    <row r="1232" spans="1:61">
      <c r="B1232" s="103" t="s">
        <v>105</v>
      </c>
      <c r="C1232" s="1" t="s">
        <v>595</v>
      </c>
      <c r="D1232" s="2"/>
      <c r="E1232" s="2"/>
      <c r="F1232" s="8"/>
      <c r="G1232" s="8"/>
      <c r="H1232" s="8"/>
      <c r="I1232" s="8"/>
      <c r="K1232" s="3"/>
      <c r="R1232" s="3">
        <v>2.5</v>
      </c>
      <c r="S1232" s="112"/>
      <c r="T1232" s="3"/>
      <c r="V1232" s="1" t="s">
        <v>285</v>
      </c>
      <c r="Y1232" s="1" t="s">
        <v>285</v>
      </c>
      <c r="AB1232" s="1" t="s">
        <v>285</v>
      </c>
      <c r="AD1232" s="24">
        <v>3.4</v>
      </c>
      <c r="AE1232" s="1" t="s">
        <v>822</v>
      </c>
      <c r="AG1232" s="24">
        <v>3.4</v>
      </c>
      <c r="AH1232" s="1" t="s">
        <v>822</v>
      </c>
      <c r="AJ1232" s="24">
        <v>3.4</v>
      </c>
      <c r="AK1232" s="1" t="s">
        <v>822</v>
      </c>
      <c r="AL1232" s="3">
        <f>AJ1232-AG1232</f>
        <v>0</v>
      </c>
      <c r="AM1232" s="3">
        <v>4.75</v>
      </c>
      <c r="AN1232" s="1" t="s">
        <v>837</v>
      </c>
      <c r="AO1232" s="3">
        <f>AM1232-AJ1232</f>
        <v>1.35</v>
      </c>
      <c r="AQ1232" s="1" t="s">
        <v>285</v>
      </c>
      <c r="AT1232" s="1" t="s">
        <v>843</v>
      </c>
      <c r="AW1232" s="1" t="s">
        <v>843</v>
      </c>
      <c r="BA1232" s="1" t="s">
        <v>843</v>
      </c>
      <c r="BE1232" s="1" t="s">
        <v>843</v>
      </c>
      <c r="BI1232" s="1" t="s">
        <v>843</v>
      </c>
    </row>
    <row r="1233" spans="1:61">
      <c r="B1233" s="103" t="s">
        <v>105</v>
      </c>
      <c r="C1233" s="1" t="s">
        <v>596</v>
      </c>
      <c r="D1233" s="2"/>
      <c r="E1233" s="2"/>
      <c r="F1233" s="8"/>
      <c r="G1233" s="8"/>
      <c r="H1233" s="8"/>
      <c r="I1233" s="8"/>
      <c r="K1233" s="3"/>
      <c r="R1233" s="3">
        <v>2</v>
      </c>
      <c r="S1233" s="112" t="s">
        <v>611</v>
      </c>
      <c r="V1233" s="1" t="s">
        <v>285</v>
      </c>
      <c r="Y1233" s="1" t="s">
        <v>285</v>
      </c>
      <c r="AB1233" s="1" t="s">
        <v>285</v>
      </c>
      <c r="AQ1233" s="1" t="s">
        <v>285</v>
      </c>
      <c r="AT1233" s="1" t="s">
        <v>843</v>
      </c>
      <c r="AW1233" s="1" t="s">
        <v>843</v>
      </c>
      <c r="BA1233" s="1" t="s">
        <v>843</v>
      </c>
      <c r="BE1233" s="1" t="s">
        <v>843</v>
      </c>
      <c r="BI1233" s="1" t="s">
        <v>843</v>
      </c>
    </row>
    <row r="1234" spans="1:61">
      <c r="A1234" s="6">
        <v>12</v>
      </c>
      <c r="B1234" s="103" t="s">
        <v>105</v>
      </c>
      <c r="C1234" s="1" t="s">
        <v>594</v>
      </c>
      <c r="D1234" s="2">
        <v>2</v>
      </c>
      <c r="E1234" s="2"/>
      <c r="F1234" s="8">
        <v>2</v>
      </c>
      <c r="G1234" s="8"/>
      <c r="H1234" s="8">
        <v>2</v>
      </c>
      <c r="I1234" s="9">
        <f>H1234-D1234</f>
        <v>0</v>
      </c>
      <c r="K1234" s="3"/>
      <c r="R1234" s="3">
        <v>3.5</v>
      </c>
      <c r="S1234" s="112" t="s">
        <v>610</v>
      </c>
      <c r="T1234" s="3"/>
      <c r="V1234" s="1" t="s">
        <v>285</v>
      </c>
      <c r="Y1234" s="1" t="s">
        <v>285</v>
      </c>
      <c r="AB1234" s="1" t="s">
        <v>285</v>
      </c>
      <c r="AD1234" s="24">
        <v>2.8</v>
      </c>
      <c r="AE1234" s="1" t="s">
        <v>821</v>
      </c>
      <c r="AG1234" s="24">
        <v>2.8</v>
      </c>
      <c r="AH1234" s="1" t="s">
        <v>821</v>
      </c>
      <c r="AJ1234" s="24">
        <v>2.8</v>
      </c>
      <c r="AK1234" s="1" t="s">
        <v>821</v>
      </c>
      <c r="AL1234" s="3">
        <f>AJ1234-AG1234</f>
        <v>0</v>
      </c>
      <c r="AM1234" s="3">
        <v>5.5</v>
      </c>
      <c r="AN1234" s="1" t="s">
        <v>836</v>
      </c>
      <c r="AO1234" s="3">
        <f>AM1234-AJ1234</f>
        <v>2.7</v>
      </c>
      <c r="AQ1234" s="1" t="s">
        <v>285</v>
      </c>
      <c r="AT1234" s="1" t="s">
        <v>843</v>
      </c>
      <c r="AW1234" s="1" t="s">
        <v>843</v>
      </c>
      <c r="BA1234" s="1" t="s">
        <v>843</v>
      </c>
      <c r="BE1234" s="1" t="s">
        <v>843</v>
      </c>
      <c r="BI1234" s="1" t="s">
        <v>843</v>
      </c>
    </row>
    <row r="1235" spans="1:61">
      <c r="A1235" s="6">
        <v>14</v>
      </c>
      <c r="B1235" s="103" t="s">
        <v>105</v>
      </c>
      <c r="C1235" s="1" t="s">
        <v>58</v>
      </c>
      <c r="D1235" s="2" t="s">
        <v>655</v>
      </c>
      <c r="E1235" s="2"/>
      <c r="F1235" s="8">
        <v>6.6550000000000002</v>
      </c>
      <c r="G1235" s="8"/>
      <c r="H1235" s="8">
        <v>6.6550000000000002</v>
      </c>
      <c r="I1235" s="8" t="e">
        <f>H1235-D1235</f>
        <v>#VALUE!</v>
      </c>
      <c r="J1235" s="1" t="s">
        <v>85</v>
      </c>
      <c r="K1235" s="3"/>
      <c r="R1235" s="3">
        <v>7</v>
      </c>
      <c r="S1235" s="112" t="s">
        <v>612</v>
      </c>
      <c r="T1235" s="3"/>
      <c r="V1235" s="1" t="s">
        <v>285</v>
      </c>
      <c r="Y1235" s="1" t="s">
        <v>285</v>
      </c>
      <c r="AB1235" s="1" t="s">
        <v>285</v>
      </c>
      <c r="AQ1235" s="1" t="s">
        <v>285</v>
      </c>
      <c r="AT1235" s="1" t="s">
        <v>843</v>
      </c>
      <c r="AW1235" s="1" t="s">
        <v>843</v>
      </c>
      <c r="BA1235" s="1" t="s">
        <v>843</v>
      </c>
      <c r="BE1235" s="1" t="s">
        <v>843</v>
      </c>
      <c r="BI1235" s="1" t="s">
        <v>843</v>
      </c>
    </row>
    <row r="1236" spans="1:61">
      <c r="B1236" s="103" t="s">
        <v>105</v>
      </c>
      <c r="C1236" s="1" t="s">
        <v>289</v>
      </c>
      <c r="D1236" s="2"/>
      <c r="E1236" s="2"/>
      <c r="F1236" s="8"/>
      <c r="G1236" s="8"/>
      <c r="H1236" s="8"/>
      <c r="I1236" s="8"/>
      <c r="K1236" s="3"/>
      <c r="R1236" s="3">
        <v>82.5</v>
      </c>
      <c r="S1236" s="112" t="s">
        <v>614</v>
      </c>
      <c r="T1236" s="3"/>
      <c r="V1236" s="1" t="s">
        <v>285</v>
      </c>
      <c r="Y1236" s="1" t="s">
        <v>285</v>
      </c>
      <c r="AB1236" s="1" t="s">
        <v>285</v>
      </c>
      <c r="AQ1236" s="1" t="s">
        <v>285</v>
      </c>
      <c r="AT1236" s="1" t="s">
        <v>843</v>
      </c>
      <c r="AW1236" s="1" t="s">
        <v>843</v>
      </c>
      <c r="BA1236" s="1" t="s">
        <v>843</v>
      </c>
      <c r="BE1236" s="1" t="s">
        <v>843</v>
      </c>
      <c r="BI1236" s="1" t="s">
        <v>843</v>
      </c>
    </row>
    <row r="1237" spans="1:61">
      <c r="B1237" s="103" t="s">
        <v>105</v>
      </c>
      <c r="C1237" s="1" t="s">
        <v>64</v>
      </c>
      <c r="D1237" s="2"/>
      <c r="E1237" s="2"/>
      <c r="F1237" s="8"/>
      <c r="G1237" s="8"/>
      <c r="H1237" s="8"/>
      <c r="I1237" s="8"/>
      <c r="K1237" s="3"/>
      <c r="R1237" s="3">
        <v>7</v>
      </c>
      <c r="S1237" s="112" t="s">
        <v>612</v>
      </c>
      <c r="T1237" s="3"/>
      <c r="V1237" s="1" t="s">
        <v>285</v>
      </c>
      <c r="Y1237" s="1" t="s">
        <v>285</v>
      </c>
      <c r="AB1237" s="1" t="s">
        <v>285</v>
      </c>
      <c r="AD1237" s="24">
        <v>6.6749999999999998</v>
      </c>
      <c r="AE1237" s="1" t="s">
        <v>823</v>
      </c>
      <c r="AG1237" s="24">
        <v>6.6749999999999998</v>
      </c>
      <c r="AH1237" s="1" t="s">
        <v>823</v>
      </c>
      <c r="AJ1237" s="24">
        <v>6.6749999999999998</v>
      </c>
      <c r="AK1237" s="1" t="s">
        <v>823</v>
      </c>
      <c r="AL1237" s="3">
        <f>AJ1237-AG1237</f>
        <v>0</v>
      </c>
      <c r="AQ1237" s="1" t="s">
        <v>285</v>
      </c>
      <c r="AT1237" s="1" t="s">
        <v>843</v>
      </c>
      <c r="AW1237" s="1" t="s">
        <v>843</v>
      </c>
      <c r="BA1237" s="1" t="s">
        <v>843</v>
      </c>
      <c r="BE1237" s="1" t="s">
        <v>843</v>
      </c>
      <c r="BI1237" s="1" t="s">
        <v>843</v>
      </c>
    </row>
    <row r="1238" spans="1:61">
      <c r="B1238" s="103" t="s">
        <v>105</v>
      </c>
      <c r="C1238" s="1" t="s">
        <v>286</v>
      </c>
      <c r="D1238" s="2"/>
      <c r="E1238" s="2"/>
      <c r="F1238" s="8"/>
      <c r="G1238" s="8"/>
      <c r="H1238" s="8"/>
      <c r="I1238" s="8"/>
      <c r="K1238" s="3"/>
      <c r="R1238" s="3">
        <v>11.13</v>
      </c>
      <c r="S1238" s="112"/>
      <c r="T1238" s="3"/>
      <c r="V1238" s="1" t="s">
        <v>285</v>
      </c>
      <c r="Y1238" s="1" t="s">
        <v>285</v>
      </c>
      <c r="AB1238" s="1" t="s">
        <v>285</v>
      </c>
      <c r="AD1238" s="24">
        <v>7</v>
      </c>
      <c r="AE1238" s="1" t="s">
        <v>824</v>
      </c>
      <c r="AG1238" s="24">
        <v>7</v>
      </c>
      <c r="AH1238" s="1" t="s">
        <v>824</v>
      </c>
      <c r="AJ1238" s="24">
        <v>7</v>
      </c>
      <c r="AK1238" s="1" t="s">
        <v>824</v>
      </c>
      <c r="AL1238" s="3">
        <f>AJ1238-AG1238</f>
        <v>0</v>
      </c>
      <c r="AQ1238" s="1" t="s">
        <v>285</v>
      </c>
      <c r="AT1238" s="1" t="s">
        <v>843</v>
      </c>
      <c r="AW1238" s="1" t="s">
        <v>843</v>
      </c>
      <c r="BA1238" s="1" t="s">
        <v>843</v>
      </c>
      <c r="BE1238" s="1" t="s">
        <v>843</v>
      </c>
      <c r="BI1238" s="1" t="s">
        <v>843</v>
      </c>
    </row>
    <row r="1239" spans="1:61">
      <c r="B1239" s="103" t="s">
        <v>105</v>
      </c>
      <c r="C1239" s="1" t="s">
        <v>288</v>
      </c>
      <c r="D1239" s="2"/>
      <c r="E1239" s="2"/>
      <c r="F1239" s="8"/>
      <c r="G1239" s="8"/>
      <c r="H1239" s="8"/>
      <c r="I1239" s="8"/>
      <c r="K1239" s="3"/>
      <c r="R1239" s="3">
        <v>6</v>
      </c>
      <c r="S1239" s="112" t="s">
        <v>613</v>
      </c>
      <c r="T1239" s="3"/>
      <c r="V1239" s="1" t="s">
        <v>285</v>
      </c>
      <c r="Y1239" s="1" t="s">
        <v>285</v>
      </c>
      <c r="AB1239" s="1" t="s">
        <v>285</v>
      </c>
      <c r="AD1239" s="24">
        <v>6.35</v>
      </c>
      <c r="AG1239" s="24">
        <v>6.35</v>
      </c>
      <c r="AJ1239" s="24">
        <v>6.35</v>
      </c>
      <c r="AL1239" s="3">
        <f>AJ1239-AG1239</f>
        <v>0</v>
      </c>
      <c r="AQ1239" s="1" t="s">
        <v>285</v>
      </c>
      <c r="AT1239" s="1" t="s">
        <v>843</v>
      </c>
      <c r="AW1239" s="1" t="s">
        <v>843</v>
      </c>
      <c r="BA1239" s="1" t="s">
        <v>843</v>
      </c>
      <c r="BE1239" s="1" t="s">
        <v>843</v>
      </c>
      <c r="BI1239" s="1" t="s">
        <v>843</v>
      </c>
    </row>
    <row r="1240" spans="1:61">
      <c r="A1240" s="6">
        <v>11</v>
      </c>
      <c r="B1240" s="103" t="s">
        <v>105</v>
      </c>
      <c r="C1240" s="1" t="s">
        <v>57</v>
      </c>
      <c r="D1240" s="2">
        <v>8</v>
      </c>
      <c r="E1240" s="2"/>
      <c r="F1240" s="8">
        <v>8</v>
      </c>
      <c r="G1240" s="8"/>
      <c r="H1240" s="8">
        <v>8</v>
      </c>
      <c r="I1240" s="8">
        <f>H1240-D1240</f>
        <v>0</v>
      </c>
      <c r="K1240" s="3"/>
      <c r="R1240" s="3" t="s">
        <v>685</v>
      </c>
      <c r="S1240" s="112"/>
      <c r="V1240" s="1" t="s">
        <v>285</v>
      </c>
      <c r="Y1240" s="1" t="s">
        <v>285</v>
      </c>
      <c r="AB1240" s="1" t="s">
        <v>285</v>
      </c>
      <c r="AQ1240" s="1" t="s">
        <v>285</v>
      </c>
      <c r="AT1240" s="1" t="s">
        <v>843</v>
      </c>
      <c r="AW1240" s="1" t="s">
        <v>843</v>
      </c>
      <c r="BA1240" s="1" t="s">
        <v>843</v>
      </c>
      <c r="BE1240" s="1" t="s">
        <v>843</v>
      </c>
      <c r="BI1240" s="1" t="s">
        <v>843</v>
      </c>
    </row>
    <row r="1241" spans="1:61">
      <c r="B1241" s="103" t="s">
        <v>105</v>
      </c>
      <c r="C1241" s="1" t="s">
        <v>287</v>
      </c>
      <c r="D1241" s="2"/>
      <c r="E1241" s="2"/>
      <c r="F1241" s="8"/>
      <c r="G1241" s="8"/>
      <c r="H1241" s="8"/>
      <c r="I1241" s="8"/>
      <c r="K1241" s="3"/>
      <c r="R1241" s="3">
        <v>12</v>
      </c>
      <c r="S1241" s="112"/>
      <c r="T1241" s="3"/>
      <c r="V1241" s="1" t="s">
        <v>285</v>
      </c>
      <c r="Y1241" s="1" t="s">
        <v>285</v>
      </c>
      <c r="AB1241" s="1" t="s">
        <v>285</v>
      </c>
      <c r="AQ1241" s="1" t="s">
        <v>285</v>
      </c>
      <c r="AT1241" s="1" t="s">
        <v>843</v>
      </c>
      <c r="AW1241" s="1" t="s">
        <v>843</v>
      </c>
      <c r="BA1241" s="1" t="s">
        <v>843</v>
      </c>
      <c r="BE1241" s="1" t="s">
        <v>843</v>
      </c>
      <c r="BI1241" s="1" t="s">
        <v>843</v>
      </c>
    </row>
    <row r="1242" spans="1:61">
      <c r="B1242" s="103" t="s">
        <v>762</v>
      </c>
      <c r="C1242" s="1" t="s">
        <v>949</v>
      </c>
      <c r="D1242" s="2"/>
      <c r="E1242" s="2"/>
      <c r="F1242" s="8"/>
      <c r="G1242" s="8"/>
      <c r="H1242" s="8"/>
      <c r="I1242" s="8"/>
      <c r="T1242" s="3"/>
      <c r="W1242" s="3"/>
      <c r="AC1242" s="3"/>
      <c r="AF1242" s="24"/>
      <c r="AI1242" s="3"/>
      <c r="AY1242" s="3">
        <v>1.8</v>
      </c>
      <c r="AZ1242" s="3">
        <v>1.8</v>
      </c>
      <c r="BC1242" s="3">
        <v>1.8</v>
      </c>
      <c r="BD1242" s="3">
        <v>1.67</v>
      </c>
      <c r="BG1242" s="3">
        <v>1.67</v>
      </c>
      <c r="BH1242" s="3">
        <v>1.88</v>
      </c>
    </row>
    <row r="1243" spans="1:61">
      <c r="A1243" s="6">
        <v>1</v>
      </c>
      <c r="B1243" s="103" t="s">
        <v>762</v>
      </c>
      <c r="C1243" s="1" t="s">
        <v>52</v>
      </c>
      <c r="D1243" s="2" t="s">
        <v>511</v>
      </c>
      <c r="E1243" s="2"/>
      <c r="F1243" s="8" t="s">
        <v>511</v>
      </c>
      <c r="G1243" s="8"/>
      <c r="H1243" s="8" t="s">
        <v>511</v>
      </c>
      <c r="I1243" s="8"/>
    </row>
    <row r="1244" spans="1:61">
      <c r="A1244" s="6">
        <v>3</v>
      </c>
      <c r="B1244" s="103" t="s">
        <v>762</v>
      </c>
      <c r="C1244" s="1" t="s">
        <v>54</v>
      </c>
      <c r="D1244" s="2" t="s">
        <v>511</v>
      </c>
      <c r="E1244" s="2"/>
      <c r="F1244" s="8" t="s">
        <v>511</v>
      </c>
      <c r="G1244" s="8"/>
      <c r="H1244" s="8" t="s">
        <v>511</v>
      </c>
      <c r="I1244" s="8"/>
    </row>
    <row r="1245" spans="1:61">
      <c r="A1245" s="6">
        <v>4</v>
      </c>
      <c r="B1245" s="103" t="s">
        <v>762</v>
      </c>
      <c r="C1245" s="1" t="s">
        <v>55</v>
      </c>
      <c r="D1245" s="2" t="s">
        <v>511</v>
      </c>
      <c r="E1245" s="2"/>
      <c r="F1245" s="8" t="s">
        <v>511</v>
      </c>
      <c r="G1245" s="8"/>
      <c r="H1245" s="8" t="s">
        <v>511</v>
      </c>
      <c r="I1245" s="8"/>
    </row>
    <row r="1246" spans="1:61">
      <c r="A1246" s="6">
        <v>5</v>
      </c>
      <c r="B1246" s="103" t="s">
        <v>762</v>
      </c>
      <c r="C1246" s="1" t="s">
        <v>56</v>
      </c>
      <c r="D1246" s="2" t="s">
        <v>511</v>
      </c>
      <c r="E1246" s="2"/>
      <c r="F1246" s="8" t="s">
        <v>511</v>
      </c>
      <c r="G1246" s="8"/>
      <c r="H1246" s="8" t="s">
        <v>511</v>
      </c>
      <c r="I1246" s="8"/>
    </row>
    <row r="1247" spans="1:61">
      <c r="A1247" s="6">
        <v>2</v>
      </c>
      <c r="B1247" s="103" t="s">
        <v>762</v>
      </c>
      <c r="C1247" s="1" t="s">
        <v>53</v>
      </c>
      <c r="D1247" s="2">
        <v>6.78</v>
      </c>
      <c r="E1247" s="2"/>
      <c r="F1247" s="8">
        <v>10</v>
      </c>
      <c r="G1247" s="8"/>
      <c r="H1247" s="8">
        <v>10</v>
      </c>
      <c r="I1247" s="10">
        <f>H1247-D1247</f>
        <v>3.2199999999999998</v>
      </c>
      <c r="M1247" s="3">
        <v>11</v>
      </c>
      <c r="O1247" s="3">
        <v>11</v>
      </c>
      <c r="P1247" s="1" t="s">
        <v>521</v>
      </c>
      <c r="Q1247" s="3">
        <f>O1247-H1247</f>
        <v>1</v>
      </c>
      <c r="R1247" s="3">
        <v>8.75</v>
      </c>
      <c r="T1247" s="3">
        <f>R1247-O1247</f>
        <v>-2.25</v>
      </c>
      <c r="U1247" s="3">
        <v>8.5</v>
      </c>
      <c r="W1247" s="3">
        <f>U1247-R1247</f>
        <v>-0.25</v>
      </c>
      <c r="X1247" s="3">
        <v>12.2</v>
      </c>
      <c r="Z1247" s="3">
        <f>X1247-U1247</f>
        <v>3.6999999999999993</v>
      </c>
      <c r="AA1247" s="3">
        <v>14.6</v>
      </c>
      <c r="AC1247" s="3">
        <f>AA1247-X1247</f>
        <v>2.4000000000000004</v>
      </c>
    </row>
    <row r="1248" spans="1:61">
      <c r="B1248" s="103" t="s">
        <v>762</v>
      </c>
      <c r="C1248" s="1" t="s">
        <v>158</v>
      </c>
      <c r="D1248" s="2"/>
      <c r="E1248" s="2"/>
      <c r="F1248" s="8"/>
      <c r="G1248" s="8"/>
      <c r="H1248" s="8"/>
      <c r="I1248" s="8"/>
      <c r="T1248" s="3"/>
      <c r="W1248" s="3"/>
      <c r="AC1248" s="3"/>
      <c r="AF1248" s="24"/>
      <c r="AI1248" s="3"/>
      <c r="AJ1248" s="3">
        <v>4</v>
      </c>
      <c r="AM1248" s="3">
        <v>4</v>
      </c>
      <c r="AP1248" s="3">
        <v>2.5</v>
      </c>
      <c r="AS1248" s="3">
        <v>2.5</v>
      </c>
      <c r="AV1248" s="3">
        <v>2.5</v>
      </c>
      <c r="AY1248" s="3">
        <v>2.5</v>
      </c>
      <c r="AZ1248" s="3">
        <v>2.5</v>
      </c>
      <c r="BC1248" s="3">
        <v>2.5</v>
      </c>
      <c r="BD1248" s="3">
        <v>2.5</v>
      </c>
      <c r="BG1248" s="3">
        <v>2.5</v>
      </c>
      <c r="BH1248" s="3">
        <v>2.6</v>
      </c>
    </row>
    <row r="1249" spans="1:60">
      <c r="B1249" s="103" t="s">
        <v>762</v>
      </c>
      <c r="C1249" s="1" t="s">
        <v>595</v>
      </c>
      <c r="D1249" s="2"/>
      <c r="E1249" s="2"/>
      <c r="F1249" s="8"/>
      <c r="G1249" s="8"/>
      <c r="H1249" s="8"/>
      <c r="I1249" s="8"/>
      <c r="Q1249" s="3"/>
      <c r="R1249" s="3">
        <v>6.4</v>
      </c>
      <c r="T1249" s="3"/>
      <c r="U1249" s="3">
        <v>6.4</v>
      </c>
      <c r="W1249" s="3">
        <f>U1249-R1249</f>
        <v>0</v>
      </c>
      <c r="AJ1249" s="3">
        <v>6</v>
      </c>
      <c r="AL1249" s="3"/>
      <c r="AM1249" s="3">
        <v>6</v>
      </c>
      <c r="AO1249" s="3">
        <f>AM1249-AJ1249</f>
        <v>0</v>
      </c>
    </row>
    <row r="1250" spans="1:60">
      <c r="B1250" s="103" t="s">
        <v>762</v>
      </c>
      <c r="C1250" s="1" t="s">
        <v>700</v>
      </c>
      <c r="D1250" s="2"/>
      <c r="E1250" s="2"/>
      <c r="F1250" s="8"/>
      <c r="G1250" s="8"/>
      <c r="H1250" s="8"/>
      <c r="I1250" s="8"/>
      <c r="Q1250" s="3"/>
      <c r="T1250" s="3"/>
      <c r="U1250" s="3">
        <v>6.4</v>
      </c>
      <c r="X1250" s="3">
        <v>8.1999999999999993</v>
      </c>
      <c r="Z1250" s="3">
        <f>X1250-U1250</f>
        <v>1.7999999999999989</v>
      </c>
      <c r="AA1250" s="3">
        <v>8.1999999999999993</v>
      </c>
      <c r="AC1250" s="3">
        <f>AA1250-X1250</f>
        <v>0</v>
      </c>
      <c r="AD1250" s="24">
        <v>8.1999999999999993</v>
      </c>
      <c r="AF1250" s="24">
        <f>AD1250-AA1250</f>
        <v>0</v>
      </c>
      <c r="AG1250" s="3">
        <v>8.1999999999999993</v>
      </c>
      <c r="AJ1250" s="3">
        <v>8.1999999999999993</v>
      </c>
      <c r="AM1250" s="3">
        <v>8.1999999999999993</v>
      </c>
      <c r="AP1250" s="3">
        <v>6.5</v>
      </c>
      <c r="AS1250" s="3">
        <v>6.5</v>
      </c>
      <c r="AV1250" s="3">
        <v>6.5</v>
      </c>
      <c r="AY1250" s="3">
        <v>6.5</v>
      </c>
      <c r="AZ1250" s="3">
        <v>8</v>
      </c>
    </row>
    <row r="1251" spans="1:60">
      <c r="B1251" s="103" t="s">
        <v>762</v>
      </c>
      <c r="C1251" s="1" t="s">
        <v>596</v>
      </c>
      <c r="D1251" s="2"/>
      <c r="E1251" s="2"/>
      <c r="F1251" s="8"/>
      <c r="G1251" s="8"/>
      <c r="H1251" s="8"/>
      <c r="I1251" s="8"/>
      <c r="Q1251" s="3"/>
      <c r="R1251" s="3">
        <v>7.52</v>
      </c>
      <c r="U1251" s="3">
        <v>7.5</v>
      </c>
      <c r="W1251" s="3">
        <f>U1251-R1251</f>
        <v>-1.9999999999999574E-2</v>
      </c>
      <c r="X1251" s="3">
        <v>9.3000000000000007</v>
      </c>
      <c r="Z1251" s="3">
        <f>X1251-U1251</f>
        <v>1.8000000000000007</v>
      </c>
      <c r="AA1251" s="3">
        <v>9.3000000000000007</v>
      </c>
      <c r="AC1251" s="3">
        <f>AA1251-X1251</f>
        <v>0</v>
      </c>
      <c r="AD1251" s="24">
        <v>9.3000000000000007</v>
      </c>
      <c r="AF1251" s="24">
        <f>AD1251-AA1251</f>
        <v>0</v>
      </c>
      <c r="AG1251" s="3">
        <v>9.3000000000000007</v>
      </c>
      <c r="AJ1251" s="3">
        <v>9.3000000000000007</v>
      </c>
      <c r="AM1251" s="3">
        <v>6</v>
      </c>
    </row>
    <row r="1252" spans="1:60">
      <c r="A1252" s="6">
        <v>12</v>
      </c>
      <c r="B1252" s="103" t="s">
        <v>762</v>
      </c>
      <c r="C1252" s="1" t="s">
        <v>594</v>
      </c>
      <c r="D1252" s="2">
        <v>5.22</v>
      </c>
      <c r="E1252" s="2"/>
      <c r="F1252" s="8">
        <v>8</v>
      </c>
      <c r="G1252" s="8"/>
      <c r="H1252" s="8">
        <v>8</v>
      </c>
      <c r="I1252" s="8">
        <f>H1252-D1252</f>
        <v>2.7800000000000002</v>
      </c>
      <c r="M1252" s="3">
        <v>6.5</v>
      </c>
      <c r="O1252" s="3">
        <v>6.5</v>
      </c>
      <c r="P1252" s="1" t="s">
        <v>523</v>
      </c>
      <c r="Q1252" s="3">
        <f>O1252-H1252</f>
        <v>-1.5</v>
      </c>
      <c r="R1252" s="3">
        <v>6.62</v>
      </c>
      <c r="T1252" s="3">
        <f>R1252-O1252</f>
        <v>0.12000000000000011</v>
      </c>
      <c r="U1252" s="3">
        <v>5.5</v>
      </c>
      <c r="W1252" s="3">
        <f>U1252-R1252</f>
        <v>-1.1200000000000001</v>
      </c>
      <c r="X1252" s="3">
        <v>7.6</v>
      </c>
      <c r="Z1252" s="3">
        <f>X1252-U1252</f>
        <v>2.0999999999999996</v>
      </c>
      <c r="AA1252" s="3">
        <v>8.6999999999999993</v>
      </c>
      <c r="AC1252" s="3">
        <f>AA1252-X1252</f>
        <v>1.0999999999999996</v>
      </c>
      <c r="AD1252" s="24">
        <v>4.5999999999999996</v>
      </c>
      <c r="AF1252" s="24">
        <f>AD1252-AA1252</f>
        <v>-4.0999999999999996</v>
      </c>
      <c r="AG1252" s="3">
        <v>5.8</v>
      </c>
      <c r="AI1252" s="3">
        <f>AG1252-AD1252</f>
        <v>1.2000000000000002</v>
      </c>
      <c r="AJ1252" s="3">
        <v>5.8</v>
      </c>
      <c r="AL1252" s="3">
        <f>AJ1252-AG1252</f>
        <v>0</v>
      </c>
      <c r="AM1252" s="3">
        <v>5.5</v>
      </c>
      <c r="AO1252" s="3">
        <f>AM1252-AJ1252</f>
        <v>-0.29999999999999982</v>
      </c>
      <c r="AP1252" s="3">
        <v>5.5</v>
      </c>
      <c r="AS1252" s="3">
        <v>6</v>
      </c>
      <c r="AV1252" s="3">
        <v>7</v>
      </c>
      <c r="AY1252" s="3">
        <v>7</v>
      </c>
      <c r="AZ1252" s="3">
        <v>8.5</v>
      </c>
      <c r="BC1252" s="3">
        <v>8.5</v>
      </c>
      <c r="BD1252" s="3">
        <v>10.01</v>
      </c>
      <c r="BG1252" s="3">
        <v>10.01</v>
      </c>
      <c r="BH1252" s="3">
        <v>18.3</v>
      </c>
    </row>
    <row r="1253" spans="1:60" ht="9.6" customHeight="1">
      <c r="A1253" s="6">
        <v>14</v>
      </c>
      <c r="B1253" s="103" t="s">
        <v>762</v>
      </c>
      <c r="C1253" s="1" t="s">
        <v>58</v>
      </c>
      <c r="D1253" s="2">
        <v>14.7</v>
      </c>
      <c r="E1253" s="2"/>
      <c r="F1253" s="8">
        <v>17</v>
      </c>
      <c r="G1253" s="8"/>
      <c r="H1253" s="8">
        <v>17</v>
      </c>
      <c r="I1253" s="8">
        <f>H1253-D1253</f>
        <v>2.3000000000000007</v>
      </c>
      <c r="L1253" s="1" t="s">
        <v>173</v>
      </c>
      <c r="M1253" s="3">
        <v>16</v>
      </c>
      <c r="O1253" s="3">
        <v>16</v>
      </c>
      <c r="P1253" s="1" t="s">
        <v>524</v>
      </c>
      <c r="Q1253" s="3">
        <f>O1253-H1253</f>
        <v>-1</v>
      </c>
      <c r="R1253" s="3">
        <v>11.29</v>
      </c>
      <c r="T1253" s="3">
        <f>R1253-O1253</f>
        <v>-4.7100000000000009</v>
      </c>
      <c r="U1253" s="3">
        <v>15</v>
      </c>
      <c r="W1253" s="3">
        <f>U1253-R1253</f>
        <v>3.7100000000000009</v>
      </c>
      <c r="X1253" s="3">
        <v>23.3</v>
      </c>
      <c r="Z1253" s="3">
        <f>X1253-U1253</f>
        <v>8.3000000000000007</v>
      </c>
      <c r="AA1253" s="3">
        <v>30.4</v>
      </c>
      <c r="AC1253" s="3">
        <f>AA1253-X1253</f>
        <v>7.0999999999999979</v>
      </c>
      <c r="AD1253" s="24">
        <v>24.2</v>
      </c>
      <c r="AF1253" s="24">
        <f>AD1253-AA1253</f>
        <v>-6.1999999999999993</v>
      </c>
      <c r="AG1253" s="3">
        <v>21.8</v>
      </c>
      <c r="AI1253" s="3">
        <f>AG1253-AD1253</f>
        <v>-2.3999999999999986</v>
      </c>
      <c r="AJ1253" s="3">
        <v>16</v>
      </c>
      <c r="AL1253" s="3">
        <f>AJ1253-AG1253</f>
        <v>-5.8000000000000007</v>
      </c>
      <c r="AM1253" s="3">
        <v>16</v>
      </c>
      <c r="AO1253" s="3">
        <f>AM1253-AJ1253</f>
        <v>0</v>
      </c>
      <c r="AP1253" s="3">
        <v>15</v>
      </c>
      <c r="AS1253" s="3">
        <v>15</v>
      </c>
      <c r="AV1253" s="3">
        <v>9.5</v>
      </c>
      <c r="AY1253" s="3">
        <v>9.5</v>
      </c>
      <c r="AZ1253" s="3">
        <v>9.1</v>
      </c>
      <c r="BC1253" s="3">
        <v>9.1</v>
      </c>
      <c r="BD1253" s="3">
        <v>9.43</v>
      </c>
      <c r="BG1253" s="3">
        <v>9.43</v>
      </c>
      <c r="BH1253" s="3">
        <v>9.4</v>
      </c>
    </row>
    <row r="1254" spans="1:60">
      <c r="B1254" s="103" t="s">
        <v>762</v>
      </c>
      <c r="C1254" s="1" t="s">
        <v>607</v>
      </c>
      <c r="D1254" s="2"/>
      <c r="E1254" s="2"/>
      <c r="F1254" s="8"/>
      <c r="G1254" s="8"/>
      <c r="H1254" s="8"/>
      <c r="I1254" s="8"/>
      <c r="T1254" s="3"/>
      <c r="W1254" s="3"/>
      <c r="AC1254" s="3"/>
      <c r="AF1254" s="24"/>
      <c r="AI1254" s="3"/>
      <c r="AP1254" s="3">
        <v>9.1999999999999993</v>
      </c>
      <c r="AS1254" s="3">
        <v>9.1999999999999993</v>
      </c>
      <c r="AV1254" s="3">
        <v>9.1999999999999993</v>
      </c>
    </row>
    <row r="1255" spans="1:60">
      <c r="B1255" s="103" t="s">
        <v>762</v>
      </c>
      <c r="C1255" s="1" t="s">
        <v>858</v>
      </c>
      <c r="D1255" s="2"/>
      <c r="E1255" s="2"/>
      <c r="F1255" s="8"/>
      <c r="G1255" s="8"/>
      <c r="H1255" s="8"/>
      <c r="I1255" s="8"/>
      <c r="Q1255" s="3"/>
      <c r="T1255" s="3"/>
      <c r="AC1255" s="3"/>
      <c r="AF1255" s="24"/>
      <c r="AY1255" s="3">
        <v>9.1999999999999993</v>
      </c>
      <c r="AZ1255" s="3">
        <v>9</v>
      </c>
      <c r="BC1255" s="3">
        <v>9</v>
      </c>
      <c r="BD1255" s="3">
        <v>4.25</v>
      </c>
      <c r="BG1255" s="3">
        <v>4.25</v>
      </c>
      <c r="BH1255" s="3">
        <v>4.5</v>
      </c>
    </row>
    <row r="1256" spans="1:60">
      <c r="B1256" s="103" t="s">
        <v>762</v>
      </c>
      <c r="C1256" s="1" t="s">
        <v>857</v>
      </c>
      <c r="D1256" s="2"/>
      <c r="E1256" s="2"/>
      <c r="F1256" s="8"/>
      <c r="G1256" s="8"/>
      <c r="H1256" s="8"/>
      <c r="I1256" s="8"/>
      <c r="T1256" s="3"/>
      <c r="W1256" s="3"/>
      <c r="AC1256" s="3"/>
      <c r="AF1256" s="24"/>
      <c r="AI1256" s="3"/>
      <c r="AY1256" s="3">
        <v>18</v>
      </c>
      <c r="AZ1256" s="3">
        <v>18</v>
      </c>
      <c r="BC1256" s="3">
        <v>18</v>
      </c>
      <c r="BD1256" s="3">
        <v>15.87</v>
      </c>
      <c r="BG1256" s="3">
        <v>15.87</v>
      </c>
      <c r="BH1256" s="3">
        <v>15.7</v>
      </c>
    </row>
    <row r="1257" spans="1:60" ht="9.6" customHeight="1">
      <c r="B1257" s="103" t="s">
        <v>762</v>
      </c>
      <c r="C1257" s="1" t="s">
        <v>606</v>
      </c>
      <c r="D1257" s="2"/>
      <c r="E1257" s="2"/>
      <c r="F1257" s="8"/>
      <c r="G1257" s="8"/>
      <c r="H1257" s="8"/>
      <c r="I1257" s="8"/>
      <c r="T1257" s="3"/>
      <c r="W1257" s="3"/>
      <c r="AC1257" s="3"/>
      <c r="AF1257" s="24"/>
      <c r="AI1257" s="3"/>
      <c r="AP1257" s="3">
        <v>9.1999999999999993</v>
      </c>
      <c r="AS1257" s="3">
        <v>9.1999999999999993</v>
      </c>
      <c r="AV1257" s="3">
        <v>9.1999999999999993</v>
      </c>
    </row>
    <row r="1258" spans="1:60">
      <c r="B1258" s="103" t="s">
        <v>762</v>
      </c>
      <c r="C1258" s="1" t="s">
        <v>859</v>
      </c>
      <c r="D1258" s="2"/>
      <c r="E1258" s="2"/>
      <c r="F1258" s="8"/>
      <c r="G1258" s="8"/>
      <c r="H1258" s="8"/>
      <c r="I1258" s="8"/>
      <c r="Q1258" s="3"/>
      <c r="T1258" s="3"/>
      <c r="AC1258" s="3"/>
      <c r="AF1258" s="24"/>
      <c r="AY1258" s="3">
        <v>9.1999999999999993</v>
      </c>
      <c r="AZ1258" s="3">
        <v>9</v>
      </c>
      <c r="BC1258" s="3">
        <v>9</v>
      </c>
      <c r="BD1258" s="3">
        <v>4.25</v>
      </c>
      <c r="BG1258" s="3">
        <v>4.25</v>
      </c>
      <c r="BH1258" s="3">
        <v>4.5</v>
      </c>
    </row>
    <row r="1259" spans="1:60">
      <c r="B1259" s="103" t="s">
        <v>762</v>
      </c>
      <c r="C1259" s="1" t="s">
        <v>289</v>
      </c>
      <c r="D1259" s="2"/>
      <c r="E1259" s="2"/>
      <c r="F1259" s="8"/>
      <c r="G1259" s="8"/>
      <c r="H1259" s="8"/>
      <c r="I1259" s="8"/>
      <c r="M1259" s="3">
        <v>56.5</v>
      </c>
      <c r="O1259" s="3">
        <v>56.5</v>
      </c>
      <c r="P1259" s="1" t="s">
        <v>75</v>
      </c>
      <c r="R1259" s="3">
        <v>11.31</v>
      </c>
      <c r="T1259" s="3">
        <f>R1259-O1259</f>
        <v>-45.19</v>
      </c>
      <c r="U1259" s="3">
        <v>12</v>
      </c>
      <c r="W1259" s="3">
        <f>U1259-R1259</f>
        <v>0.6899999999999995</v>
      </c>
      <c r="X1259" s="3">
        <v>24.7</v>
      </c>
      <c r="Z1259" s="3">
        <f>X1259-U1259</f>
        <v>12.7</v>
      </c>
      <c r="AA1259" s="3">
        <v>25.8</v>
      </c>
      <c r="AC1259" s="3">
        <f>AA1259-X1259</f>
        <v>1.1000000000000014</v>
      </c>
      <c r="AD1259" s="24">
        <v>10.9</v>
      </c>
      <c r="AF1259" s="24">
        <f>AD1259-AA1259</f>
        <v>-14.9</v>
      </c>
      <c r="AG1259" s="3">
        <v>9</v>
      </c>
      <c r="AI1259" s="3">
        <f>AG1259-AD1259</f>
        <v>-1.9000000000000004</v>
      </c>
      <c r="AJ1259" s="3">
        <v>10</v>
      </c>
      <c r="AL1259" s="3">
        <f>AJ1259-AG1259</f>
        <v>1</v>
      </c>
      <c r="AM1259" s="3">
        <v>10</v>
      </c>
      <c r="AO1259" s="3">
        <f>AM1259-AJ1259</f>
        <v>0</v>
      </c>
      <c r="AP1259" s="3">
        <v>12</v>
      </c>
      <c r="AS1259" s="3">
        <v>12</v>
      </c>
      <c r="AV1259" s="3">
        <v>7.6</v>
      </c>
      <c r="AY1259" s="3">
        <v>7.6</v>
      </c>
      <c r="AZ1259" s="3">
        <v>11.5</v>
      </c>
      <c r="BC1259" s="3">
        <v>11.5</v>
      </c>
      <c r="BD1259" s="3">
        <v>8.8800000000000008</v>
      </c>
      <c r="BG1259" s="3">
        <v>8.8800000000000008</v>
      </c>
      <c r="BH1259" s="3">
        <v>10</v>
      </c>
    </row>
    <row r="1260" spans="1:60">
      <c r="B1260" s="103" t="s">
        <v>762</v>
      </c>
      <c r="C1260" s="1" t="s">
        <v>74</v>
      </c>
      <c r="D1260" s="2"/>
      <c r="E1260" s="2"/>
      <c r="F1260" s="8"/>
      <c r="G1260" s="8"/>
      <c r="H1260" s="8"/>
      <c r="I1260" s="8"/>
      <c r="T1260" s="3"/>
      <c r="W1260" s="3"/>
      <c r="AC1260" s="3"/>
      <c r="AF1260" s="24"/>
      <c r="AI1260" s="3"/>
      <c r="AJ1260" s="3">
        <v>3</v>
      </c>
      <c r="AM1260" s="3">
        <v>3</v>
      </c>
    </row>
    <row r="1261" spans="1:60">
      <c r="B1261" s="103" t="s">
        <v>762</v>
      </c>
      <c r="C1261" s="1" t="s">
        <v>290</v>
      </c>
      <c r="D1261" s="2"/>
      <c r="E1261" s="2"/>
      <c r="F1261" s="8"/>
      <c r="G1261" s="8"/>
      <c r="H1261" s="8"/>
      <c r="I1261" s="8"/>
      <c r="T1261" s="3"/>
      <c r="W1261" s="3"/>
      <c r="X1261" s="3">
        <v>24.7</v>
      </c>
      <c r="AA1261" s="3">
        <v>25.8</v>
      </c>
      <c r="AC1261" s="3">
        <f>AA1261-X1261</f>
        <v>1.1000000000000014</v>
      </c>
      <c r="AD1261" s="24">
        <v>10.9</v>
      </c>
      <c r="AF1261" s="24">
        <f>AD1261-AA1261</f>
        <v>-14.9</v>
      </c>
      <c r="AG1261" s="3">
        <v>9</v>
      </c>
      <c r="AI1261" s="3">
        <f>AG1261-AD1261</f>
        <v>-1.9000000000000004</v>
      </c>
      <c r="AJ1261" s="3">
        <v>10</v>
      </c>
      <c r="AL1261" s="3">
        <f>AJ1261-AG1261</f>
        <v>1</v>
      </c>
      <c r="AM1261" s="3">
        <v>10</v>
      </c>
      <c r="AO1261" s="3">
        <f>AM1261-AJ1261</f>
        <v>0</v>
      </c>
      <c r="AP1261" s="3">
        <v>12</v>
      </c>
      <c r="AS1261" s="3">
        <v>12</v>
      </c>
      <c r="AV1261" s="3">
        <v>10</v>
      </c>
      <c r="AY1261" s="3">
        <v>10</v>
      </c>
      <c r="AZ1261" s="3">
        <v>9.8000000000000007</v>
      </c>
      <c r="BC1261" s="3">
        <v>9.8000000000000007</v>
      </c>
      <c r="BD1261" s="3">
        <v>10.65</v>
      </c>
      <c r="BG1261" s="3">
        <v>10.65</v>
      </c>
      <c r="BH1261" s="3">
        <v>11.8</v>
      </c>
    </row>
    <row r="1262" spans="1:60">
      <c r="B1262" s="103" t="s">
        <v>762</v>
      </c>
      <c r="C1262" s="1" t="s">
        <v>860</v>
      </c>
      <c r="D1262" s="2"/>
      <c r="E1262" s="2"/>
      <c r="F1262" s="8"/>
      <c r="G1262" s="8"/>
      <c r="H1262" s="8"/>
      <c r="I1262" s="8"/>
      <c r="T1262" s="3"/>
      <c r="W1262" s="3"/>
      <c r="AC1262" s="3"/>
      <c r="AF1262" s="24"/>
      <c r="AI1262" s="3"/>
      <c r="AY1262" s="3">
        <v>178.3</v>
      </c>
      <c r="AZ1262" s="3">
        <v>178</v>
      </c>
      <c r="BC1262" s="3">
        <v>178</v>
      </c>
      <c r="BD1262" s="3">
        <v>176.2</v>
      </c>
      <c r="BG1262" s="3">
        <v>176.2</v>
      </c>
      <c r="BH1262" s="3">
        <v>175</v>
      </c>
    </row>
    <row r="1263" spans="1:60">
      <c r="B1263" s="103" t="s">
        <v>762</v>
      </c>
      <c r="C1263" s="1" t="s">
        <v>64</v>
      </c>
      <c r="D1263" s="2"/>
      <c r="E1263" s="2"/>
      <c r="F1263" s="8"/>
      <c r="G1263" s="8"/>
      <c r="H1263" s="8"/>
      <c r="I1263" s="8"/>
      <c r="M1263" s="3">
        <v>19</v>
      </c>
      <c r="O1263" s="3">
        <v>19</v>
      </c>
      <c r="P1263" s="1" t="s">
        <v>525</v>
      </c>
      <c r="R1263" s="3">
        <v>14.21</v>
      </c>
      <c r="T1263" s="3">
        <f>R1263-O1263</f>
        <v>-4.7899999999999991</v>
      </c>
      <c r="U1263" s="3">
        <v>23</v>
      </c>
      <c r="W1263" s="3">
        <f>U1263-R1263</f>
        <v>8.7899999999999991</v>
      </c>
      <c r="X1263" s="3">
        <v>27.3</v>
      </c>
      <c r="Z1263" s="3">
        <f>X1263-U1263</f>
        <v>4.3000000000000007</v>
      </c>
      <c r="AA1263" s="3">
        <v>33.9</v>
      </c>
      <c r="AC1263" s="3">
        <f>AA1263-X1263</f>
        <v>6.5999999999999979</v>
      </c>
      <c r="AD1263" s="24">
        <v>30.2</v>
      </c>
      <c r="AF1263" s="24">
        <f>AD1263-AA1263</f>
        <v>-3.6999999999999993</v>
      </c>
      <c r="AG1263" s="3">
        <v>27.2</v>
      </c>
      <c r="AI1263" s="3">
        <f>AG1263-AD1263</f>
        <v>-3</v>
      </c>
      <c r="AJ1263" s="3">
        <v>17</v>
      </c>
      <c r="AL1263" s="3">
        <f>AJ1263-AG1263</f>
        <v>-10.199999999999999</v>
      </c>
      <c r="AM1263" s="3">
        <v>17</v>
      </c>
      <c r="AO1263" s="3">
        <f>AM1263-AJ1263</f>
        <v>0</v>
      </c>
      <c r="AP1263" s="3">
        <v>23</v>
      </c>
      <c r="AS1263" s="3">
        <v>23</v>
      </c>
      <c r="AV1263" s="3">
        <v>11.3</v>
      </c>
      <c r="AY1263" s="3">
        <v>11.3</v>
      </c>
      <c r="AZ1263" s="3">
        <v>10.6</v>
      </c>
      <c r="BC1263" s="3">
        <v>10.6</v>
      </c>
      <c r="BD1263" s="3">
        <v>11.6</v>
      </c>
      <c r="BG1263" s="3">
        <v>11.6</v>
      </c>
      <c r="BH1263" s="3">
        <v>10.199999999999999</v>
      </c>
    </row>
    <row r="1264" spans="1:60">
      <c r="B1264" s="103" t="s">
        <v>762</v>
      </c>
      <c r="C1264" s="1" t="s">
        <v>286</v>
      </c>
      <c r="D1264" s="2"/>
      <c r="E1264" s="2"/>
      <c r="F1264" s="8"/>
      <c r="G1264" s="8"/>
      <c r="H1264" s="8"/>
      <c r="I1264" s="8"/>
      <c r="M1264" s="3">
        <v>19</v>
      </c>
      <c r="O1264" s="3">
        <v>19</v>
      </c>
      <c r="P1264" s="1" t="s">
        <v>525</v>
      </c>
      <c r="R1264" s="3">
        <v>14.2</v>
      </c>
      <c r="T1264" s="3">
        <f>R1264-O1264</f>
        <v>-4.8000000000000007</v>
      </c>
      <c r="U1264" s="3">
        <v>15</v>
      </c>
      <c r="W1264" s="3">
        <f>U1264-R1264</f>
        <v>0.80000000000000071</v>
      </c>
      <c r="X1264" s="3">
        <v>25.1</v>
      </c>
      <c r="Z1264" s="3">
        <f>X1264-U1264</f>
        <v>10.100000000000001</v>
      </c>
      <c r="AA1264" s="3">
        <v>31.1</v>
      </c>
      <c r="AC1264" s="3">
        <f>AA1264-X1264</f>
        <v>6</v>
      </c>
      <c r="AD1264" s="24">
        <v>29.1</v>
      </c>
      <c r="AF1264" s="24">
        <f>AD1264-AA1264</f>
        <v>-2</v>
      </c>
      <c r="AG1264" s="3">
        <v>26</v>
      </c>
      <c r="AI1264" s="3">
        <f>AG1264-AD1264</f>
        <v>-3.1000000000000014</v>
      </c>
      <c r="AJ1264" s="3">
        <v>16.5</v>
      </c>
      <c r="AL1264" s="3">
        <f>AJ1264-AG1264</f>
        <v>-9.5</v>
      </c>
      <c r="AM1264" s="3">
        <v>16.5</v>
      </c>
      <c r="AO1264" s="3">
        <f>AM1264-AJ1264</f>
        <v>0</v>
      </c>
      <c r="AP1264" s="3">
        <v>15.5</v>
      </c>
      <c r="AS1264" s="3">
        <v>15.5</v>
      </c>
      <c r="AV1264" s="3">
        <v>13</v>
      </c>
      <c r="AY1264" s="3">
        <v>13</v>
      </c>
      <c r="AZ1264" s="3">
        <v>10.9</v>
      </c>
      <c r="BC1264" s="3">
        <v>10.9</v>
      </c>
      <c r="BD1264" s="3">
        <v>11.37</v>
      </c>
      <c r="BG1264" s="3">
        <v>11.37</v>
      </c>
      <c r="BH1264" s="3">
        <v>10.3</v>
      </c>
    </row>
    <row r="1265" spans="1:61">
      <c r="B1265" s="103" t="s">
        <v>762</v>
      </c>
      <c r="C1265" s="1" t="s">
        <v>288</v>
      </c>
      <c r="D1265" s="2"/>
      <c r="E1265" s="2"/>
      <c r="F1265" s="8"/>
      <c r="G1265" s="8"/>
      <c r="H1265" s="8"/>
      <c r="I1265" s="8"/>
      <c r="M1265" s="3">
        <v>19</v>
      </c>
      <c r="O1265" s="3">
        <v>19</v>
      </c>
      <c r="P1265" s="1" t="s">
        <v>525</v>
      </c>
      <c r="R1265" s="3">
        <v>17.11</v>
      </c>
      <c r="T1265" s="3">
        <f>R1265-O1265</f>
        <v>-1.8900000000000006</v>
      </c>
      <c r="U1265" s="3">
        <v>16.5</v>
      </c>
      <c r="W1265" s="3">
        <f>U1265-R1265</f>
        <v>-0.60999999999999943</v>
      </c>
      <c r="X1265" s="3">
        <v>29.3</v>
      </c>
      <c r="Z1265" s="3">
        <f>X1265-U1265</f>
        <v>12.8</v>
      </c>
      <c r="AA1265" s="3">
        <v>35</v>
      </c>
      <c r="AC1265" s="3">
        <f>AA1265-X1265</f>
        <v>5.6999999999999993</v>
      </c>
      <c r="AD1265" s="24">
        <v>29.1</v>
      </c>
      <c r="AF1265" s="24">
        <f>AD1265-AA1265</f>
        <v>-5.8999999999999986</v>
      </c>
      <c r="AG1265" s="3">
        <v>26.2</v>
      </c>
      <c r="AI1265" s="3">
        <f>AG1265-AD1265</f>
        <v>-2.9000000000000021</v>
      </c>
      <c r="AJ1265" s="3">
        <v>18</v>
      </c>
      <c r="AL1265" s="3">
        <f>AJ1265-AG1265</f>
        <v>-8.1999999999999993</v>
      </c>
      <c r="AM1265" s="3">
        <v>18</v>
      </c>
      <c r="AO1265" s="3">
        <f>AM1265-AJ1265</f>
        <v>0</v>
      </c>
      <c r="AP1265" s="3">
        <v>16.5</v>
      </c>
      <c r="AS1265" s="3">
        <v>16.5</v>
      </c>
      <c r="AV1265" s="3">
        <v>11</v>
      </c>
      <c r="AY1265" s="3">
        <v>11</v>
      </c>
      <c r="AZ1265" s="3">
        <v>9.5</v>
      </c>
      <c r="BC1265" s="3">
        <v>9.5</v>
      </c>
      <c r="BD1265" s="3">
        <v>9.8800000000000008</v>
      </c>
      <c r="BG1265" s="3">
        <v>9.8800000000000008</v>
      </c>
      <c r="BH1265" s="3">
        <v>8.6999999999999993</v>
      </c>
    </row>
    <row r="1266" spans="1:61">
      <c r="A1266" s="6">
        <v>11</v>
      </c>
      <c r="B1266" s="103" t="s">
        <v>762</v>
      </c>
      <c r="C1266" s="1" t="s">
        <v>57</v>
      </c>
      <c r="D1266" s="2" t="s">
        <v>511</v>
      </c>
      <c r="E1266" s="2"/>
      <c r="F1266" s="8">
        <v>15</v>
      </c>
      <c r="G1266" s="8"/>
      <c r="H1266" s="8">
        <v>15</v>
      </c>
      <c r="I1266" s="8"/>
      <c r="M1266" s="3">
        <v>26</v>
      </c>
      <c r="O1266" s="3">
        <v>26</v>
      </c>
      <c r="P1266" s="1" t="s">
        <v>522</v>
      </c>
      <c r="Q1266" s="3">
        <f>O1266-H1266</f>
        <v>11</v>
      </c>
      <c r="R1266" s="3">
        <v>13.36</v>
      </c>
      <c r="T1266" s="3">
        <f>R1266-O1266</f>
        <v>-12.64</v>
      </c>
      <c r="U1266" s="3">
        <v>14</v>
      </c>
      <c r="W1266" s="3">
        <f>U1266-R1266</f>
        <v>0.64000000000000057</v>
      </c>
      <c r="X1266" s="3">
        <v>15.9</v>
      </c>
      <c r="Z1266" s="3">
        <f>X1266-U1266</f>
        <v>1.9000000000000004</v>
      </c>
      <c r="AA1266" s="3">
        <v>18.399999999999999</v>
      </c>
      <c r="AC1266" s="3">
        <f>AA1266-X1266</f>
        <v>2.4999999999999982</v>
      </c>
    </row>
    <row r="1267" spans="1:61">
      <c r="B1267" s="103" t="s">
        <v>762</v>
      </c>
      <c r="C1267" s="1" t="s">
        <v>287</v>
      </c>
      <c r="D1267" s="2"/>
      <c r="E1267" s="2"/>
      <c r="F1267" s="8"/>
      <c r="G1267" s="8"/>
      <c r="H1267" s="8"/>
      <c r="I1267" s="8"/>
      <c r="M1267" s="3">
        <v>19</v>
      </c>
      <c r="O1267" s="3">
        <v>19</v>
      </c>
      <c r="P1267" s="1" t="s">
        <v>525</v>
      </c>
      <c r="R1267" s="3">
        <v>15.3</v>
      </c>
      <c r="T1267" s="3">
        <f>R1267-O1267</f>
        <v>-3.6999999999999993</v>
      </c>
      <c r="U1267" s="3">
        <v>16.5</v>
      </c>
      <c r="W1267" s="3">
        <f>U1267-R1267</f>
        <v>1.1999999999999993</v>
      </c>
      <c r="X1267" s="3">
        <v>19.100000000000001</v>
      </c>
      <c r="Z1267" s="3">
        <f>X1267-U1267</f>
        <v>2.6000000000000014</v>
      </c>
      <c r="AA1267" s="3">
        <v>25.5</v>
      </c>
      <c r="AC1267" s="3">
        <f>AA1267-X1267</f>
        <v>6.3999999999999986</v>
      </c>
      <c r="AD1267" s="24">
        <v>24.2</v>
      </c>
      <c r="AF1267" s="24">
        <f>AD1267-AA1267</f>
        <v>-1.3000000000000007</v>
      </c>
      <c r="AG1267" s="3">
        <v>21.8</v>
      </c>
      <c r="AI1267" s="3">
        <f>AG1267-AD1267</f>
        <v>-2.3999999999999986</v>
      </c>
      <c r="AP1267" s="3">
        <v>16.5</v>
      </c>
      <c r="AS1267" s="3">
        <v>16.5</v>
      </c>
      <c r="AV1267" s="3">
        <v>13</v>
      </c>
      <c r="AY1267" s="3">
        <v>13</v>
      </c>
      <c r="AZ1267" s="3">
        <v>10.199999999999999</v>
      </c>
      <c r="BC1267" s="3">
        <v>10.199999999999999</v>
      </c>
      <c r="BD1267" s="3">
        <v>12.31</v>
      </c>
      <c r="BG1267" s="3">
        <v>12.31</v>
      </c>
      <c r="BH1267" s="3">
        <v>12.3</v>
      </c>
    </row>
    <row r="1268" spans="1:61">
      <c r="A1268" s="6">
        <v>1</v>
      </c>
      <c r="B1268" s="103" t="s">
        <v>367</v>
      </c>
      <c r="C1268" s="1" t="s">
        <v>52</v>
      </c>
      <c r="D1268" s="2"/>
      <c r="E1268" s="2"/>
      <c r="F1268" s="8">
        <v>0</v>
      </c>
      <c r="G1268" s="8"/>
      <c r="H1268" s="8">
        <v>0</v>
      </c>
      <c r="I1268" s="8"/>
    </row>
    <row r="1269" spans="1:61">
      <c r="A1269" s="6">
        <v>3</v>
      </c>
      <c r="B1269" s="103" t="s">
        <v>367</v>
      </c>
      <c r="C1269" s="1" t="s">
        <v>54</v>
      </c>
      <c r="D1269" s="2"/>
      <c r="E1269" s="2"/>
      <c r="F1269" s="8">
        <v>0</v>
      </c>
      <c r="G1269" s="8"/>
      <c r="H1269" s="8">
        <v>0</v>
      </c>
      <c r="I1269" s="8"/>
    </row>
    <row r="1270" spans="1:61">
      <c r="A1270" s="6">
        <v>4</v>
      </c>
      <c r="B1270" s="103" t="s">
        <v>367</v>
      </c>
      <c r="C1270" s="1" t="s">
        <v>55</v>
      </c>
      <c r="D1270" s="2"/>
      <c r="E1270" s="2"/>
      <c r="F1270" s="8">
        <v>0</v>
      </c>
      <c r="G1270" s="8"/>
      <c r="H1270" s="8">
        <v>0</v>
      </c>
      <c r="I1270" s="8"/>
    </row>
    <row r="1271" spans="1:61">
      <c r="A1271" s="6">
        <v>5</v>
      </c>
      <c r="B1271" s="103" t="s">
        <v>367</v>
      </c>
      <c r="C1271" s="1" t="s">
        <v>56</v>
      </c>
      <c r="D1271" s="2"/>
      <c r="E1271" s="2"/>
      <c r="F1271" s="8">
        <v>0</v>
      </c>
      <c r="G1271" s="8"/>
      <c r="H1271" s="8">
        <v>0</v>
      </c>
      <c r="I1271" s="8"/>
    </row>
    <row r="1272" spans="1:61">
      <c r="A1272" s="6">
        <v>2</v>
      </c>
      <c r="B1272" s="103" t="s">
        <v>367</v>
      </c>
      <c r="C1272" s="1" t="s">
        <v>53</v>
      </c>
      <c r="D1272" s="2"/>
      <c r="E1272" s="2"/>
      <c r="F1272" s="8">
        <v>9.5</v>
      </c>
      <c r="G1272" s="8"/>
      <c r="H1272" s="8">
        <v>9.5</v>
      </c>
      <c r="I1272" s="8"/>
      <c r="J1272" s="1" t="s">
        <v>268</v>
      </c>
      <c r="M1272" s="3">
        <v>9.75</v>
      </c>
      <c r="O1272" s="3">
        <v>9.75</v>
      </c>
      <c r="P1272" s="1" t="s">
        <v>276</v>
      </c>
      <c r="Q1272" s="3">
        <f>O1272-H1272</f>
        <v>0.25</v>
      </c>
      <c r="R1272" s="3">
        <v>9.75</v>
      </c>
      <c r="S1272" s="1" t="s">
        <v>397</v>
      </c>
      <c r="T1272" s="3">
        <f>R1272-O1272</f>
        <v>0</v>
      </c>
      <c r="U1272" s="3">
        <v>9.75</v>
      </c>
      <c r="V1272" s="1" t="s">
        <v>397</v>
      </c>
      <c r="W1272" s="3">
        <f>U1272-R1272</f>
        <v>0</v>
      </c>
      <c r="X1272" s="3">
        <v>7.5</v>
      </c>
      <c r="Y1272" s="1" t="s">
        <v>638</v>
      </c>
      <c r="Z1272" s="3">
        <f>X1272-U1272</f>
        <v>-2.25</v>
      </c>
    </row>
    <row r="1273" spans="1:61">
      <c r="A1273" s="6">
        <v>12</v>
      </c>
      <c r="B1273" s="103" t="s">
        <v>367</v>
      </c>
      <c r="C1273" s="1" t="s">
        <v>594</v>
      </c>
      <c r="D1273" s="2"/>
      <c r="E1273" s="2"/>
      <c r="F1273" s="8">
        <v>3.75</v>
      </c>
      <c r="G1273" s="8"/>
      <c r="H1273" s="8">
        <v>3.75</v>
      </c>
      <c r="I1273" s="8"/>
      <c r="J1273" s="1" t="s">
        <v>269</v>
      </c>
      <c r="M1273" s="3">
        <v>2.75</v>
      </c>
      <c r="O1273" s="3">
        <v>2.75</v>
      </c>
      <c r="P1273" s="1" t="s">
        <v>345</v>
      </c>
      <c r="Q1273" s="3">
        <f>O1273-H1273</f>
        <v>-1</v>
      </c>
      <c r="R1273" s="3">
        <v>7.5</v>
      </c>
      <c r="S1273" s="1" t="s">
        <v>398</v>
      </c>
      <c r="T1273" s="3">
        <f>R1273-O1273</f>
        <v>4.75</v>
      </c>
      <c r="U1273" s="3">
        <v>7.5</v>
      </c>
      <c r="V1273" s="1" t="s">
        <v>398</v>
      </c>
      <c r="W1273" s="3">
        <f>U1273-R1273</f>
        <v>0</v>
      </c>
      <c r="X1273" s="3">
        <v>4.45</v>
      </c>
      <c r="Y1273" s="1" t="s">
        <v>639</v>
      </c>
      <c r="Z1273" s="3">
        <f>X1273-U1273</f>
        <v>-3.05</v>
      </c>
      <c r="AA1273" s="3">
        <v>7.5</v>
      </c>
      <c r="AB1273" s="1" t="s">
        <v>638</v>
      </c>
      <c r="AC1273" s="3">
        <f>AA1273-X1273</f>
        <v>3.05</v>
      </c>
      <c r="AD1273" s="24">
        <v>10</v>
      </c>
      <c r="AG1273" s="3">
        <v>6.5</v>
      </c>
      <c r="AH1273" s="1" t="s">
        <v>802</v>
      </c>
      <c r="AI1273" s="3">
        <f>AG1273-AD1273</f>
        <v>-3.5</v>
      </c>
      <c r="AJ1273" s="3">
        <v>7</v>
      </c>
      <c r="AL1273" s="3">
        <f>AJ1273-AG1273</f>
        <v>0.5</v>
      </c>
      <c r="AM1273" s="3">
        <v>6</v>
      </c>
      <c r="AO1273" s="3">
        <f>AM1273-AJ1273</f>
        <v>-1</v>
      </c>
      <c r="AP1273" s="3">
        <v>10</v>
      </c>
      <c r="AS1273" s="3">
        <v>6</v>
      </c>
      <c r="AV1273" s="3">
        <v>6</v>
      </c>
      <c r="AZ1273" s="3">
        <v>5.45</v>
      </c>
      <c r="BA1273" s="1" t="s">
        <v>852</v>
      </c>
      <c r="BD1273" s="3">
        <v>5.45</v>
      </c>
      <c r="BE1273" s="1" t="s">
        <v>852</v>
      </c>
      <c r="BH1273" s="3">
        <v>7.42</v>
      </c>
      <c r="BI1273" s="1" t="s">
        <v>852</v>
      </c>
    </row>
    <row r="1274" spans="1:61">
      <c r="A1274" s="6">
        <v>14</v>
      </c>
      <c r="B1274" s="103" t="s">
        <v>367</v>
      </c>
      <c r="C1274" s="1" t="s">
        <v>58</v>
      </c>
      <c r="D1274" s="2"/>
      <c r="E1274" s="2"/>
      <c r="F1274" s="8">
        <v>8.5</v>
      </c>
      <c r="G1274" s="8"/>
      <c r="H1274" s="8">
        <v>8.5</v>
      </c>
      <c r="I1274" s="8"/>
      <c r="J1274" s="1" t="s">
        <v>270</v>
      </c>
      <c r="M1274" s="3">
        <v>3.8</v>
      </c>
      <c r="O1274" s="3">
        <v>3.8</v>
      </c>
      <c r="P1274" s="1" t="s">
        <v>346</v>
      </c>
      <c r="Q1274" s="3">
        <f>O1274-H1274</f>
        <v>-4.7</v>
      </c>
      <c r="R1274" s="3">
        <v>3.8</v>
      </c>
      <c r="S1274" s="1" t="s">
        <v>399</v>
      </c>
      <c r="T1274" s="3">
        <f>R1274-O1274</f>
        <v>0</v>
      </c>
      <c r="U1274" s="3">
        <v>5.75</v>
      </c>
      <c r="V1274" s="1" t="s">
        <v>340</v>
      </c>
      <c r="W1274" s="3">
        <f>U1274-R1274</f>
        <v>1.9500000000000002</v>
      </c>
      <c r="X1274" s="3">
        <v>6.45</v>
      </c>
      <c r="Y1274" s="1" t="s">
        <v>640</v>
      </c>
      <c r="Z1274" s="3">
        <f>X1274-U1274</f>
        <v>0.70000000000000018</v>
      </c>
      <c r="AA1274" s="3">
        <v>11</v>
      </c>
      <c r="AC1274" s="3">
        <f>AA1274-X1274</f>
        <v>4.55</v>
      </c>
      <c r="AD1274" s="24">
        <v>12</v>
      </c>
      <c r="AG1274" s="3">
        <v>7.5</v>
      </c>
      <c r="AH1274" s="1" t="s">
        <v>638</v>
      </c>
      <c r="AI1274" s="3">
        <f>AG1274-AD1274</f>
        <v>-4.5</v>
      </c>
      <c r="AJ1274" s="3">
        <v>8</v>
      </c>
      <c r="AL1274" s="3">
        <f>AJ1274-AG1274</f>
        <v>0.5</v>
      </c>
      <c r="AM1274" s="3">
        <v>6.5</v>
      </c>
      <c r="AO1274" s="3">
        <f>AM1274-AJ1274</f>
        <v>-1.5</v>
      </c>
      <c r="AP1274" s="3">
        <v>8</v>
      </c>
      <c r="AS1274" s="3">
        <v>8</v>
      </c>
      <c r="AV1274" s="3">
        <v>8</v>
      </c>
      <c r="AZ1274" s="3">
        <v>7.5</v>
      </c>
      <c r="BA1274" s="1" t="s">
        <v>852</v>
      </c>
      <c r="BD1274" s="3">
        <v>7.5</v>
      </c>
      <c r="BE1274" s="1" t="s">
        <v>852</v>
      </c>
      <c r="BH1274" s="3">
        <v>10</v>
      </c>
      <c r="BI1274" s="1" t="s">
        <v>852</v>
      </c>
    </row>
    <row r="1275" spans="1:61">
      <c r="B1275" s="103" t="s">
        <v>367</v>
      </c>
      <c r="C1275" s="1" t="s">
        <v>857</v>
      </c>
      <c r="D1275" s="2"/>
      <c r="E1275" s="2"/>
      <c r="F1275" s="8"/>
      <c r="G1275" s="8"/>
      <c r="H1275" s="8"/>
      <c r="I1275" s="8"/>
      <c r="AZ1275" s="3">
        <v>10.6</v>
      </c>
      <c r="BA1275" s="1" t="s">
        <v>852</v>
      </c>
      <c r="BD1275" s="3">
        <v>10.6</v>
      </c>
      <c r="BE1275" s="1" t="s">
        <v>852</v>
      </c>
      <c r="BH1275" s="3">
        <v>8.5</v>
      </c>
      <c r="BI1275" s="1" t="s">
        <v>852</v>
      </c>
    </row>
    <row r="1276" spans="1:61">
      <c r="B1276" s="103" t="s">
        <v>367</v>
      </c>
      <c r="C1276" s="1" t="s">
        <v>289</v>
      </c>
      <c r="D1276" s="2"/>
      <c r="E1276" s="2"/>
      <c r="F1276" s="8"/>
      <c r="G1276" s="8"/>
      <c r="H1276" s="8"/>
      <c r="I1276" s="8"/>
      <c r="AS1276" s="3">
        <v>20</v>
      </c>
      <c r="AV1276" s="3">
        <v>20</v>
      </c>
      <c r="AZ1276" s="3">
        <v>20</v>
      </c>
      <c r="BA1276" s="1" t="s">
        <v>852</v>
      </c>
      <c r="BD1276" s="3">
        <v>20</v>
      </c>
      <c r="BE1276" s="1" t="s">
        <v>852</v>
      </c>
      <c r="BH1276" s="3">
        <v>20</v>
      </c>
      <c r="BI1276" s="1" t="s">
        <v>852</v>
      </c>
    </row>
    <row r="1277" spans="1:61">
      <c r="B1277" s="103" t="s">
        <v>367</v>
      </c>
      <c r="C1277" s="1" t="s">
        <v>64</v>
      </c>
      <c r="D1277" s="2"/>
      <c r="E1277" s="2"/>
      <c r="F1277" s="8"/>
      <c r="G1277" s="8"/>
      <c r="H1277" s="8"/>
      <c r="I1277" s="8"/>
      <c r="Q1277" s="3"/>
      <c r="T1277" s="3"/>
      <c r="W1277" s="3"/>
      <c r="X1277" s="3">
        <v>9</v>
      </c>
      <c r="AP1277" s="3">
        <v>13</v>
      </c>
      <c r="AS1277" s="3">
        <v>12</v>
      </c>
      <c r="AV1277" s="3">
        <v>12</v>
      </c>
      <c r="BH1277" s="3">
        <v>9.3000000000000007</v>
      </c>
      <c r="BI1277" s="1" t="s">
        <v>852</v>
      </c>
    </row>
    <row r="1278" spans="1:61">
      <c r="B1278" s="103" t="s">
        <v>367</v>
      </c>
      <c r="C1278" s="1" t="s">
        <v>286</v>
      </c>
      <c r="D1278" s="2"/>
      <c r="E1278" s="2"/>
      <c r="F1278" s="8"/>
      <c r="G1278" s="8"/>
      <c r="H1278" s="8"/>
      <c r="I1278" s="8"/>
      <c r="Q1278" s="3"/>
      <c r="T1278" s="3"/>
      <c r="W1278" s="3"/>
      <c r="AA1278" s="3">
        <v>14</v>
      </c>
      <c r="AD1278" s="24">
        <v>20</v>
      </c>
      <c r="AG1278" s="3">
        <v>10.5</v>
      </c>
      <c r="AH1278" s="1" t="s">
        <v>803</v>
      </c>
      <c r="AI1278" s="3">
        <f>AG1278-AD1278</f>
        <v>-9.5</v>
      </c>
      <c r="AJ1278" s="3">
        <v>11</v>
      </c>
      <c r="AL1278" s="3">
        <f>AJ1278-AG1278</f>
        <v>0.5</v>
      </c>
      <c r="AP1278" s="3">
        <v>13</v>
      </c>
      <c r="AS1278" s="3">
        <v>12</v>
      </c>
      <c r="AV1278" s="3">
        <v>12</v>
      </c>
      <c r="AZ1278" s="3">
        <v>11</v>
      </c>
      <c r="BA1278" s="1" t="s">
        <v>852</v>
      </c>
      <c r="BD1278" s="3">
        <v>11</v>
      </c>
      <c r="BE1278" s="1" t="s">
        <v>852</v>
      </c>
    </row>
    <row r="1279" spans="1:61">
      <c r="B1279" s="103" t="s">
        <v>367</v>
      </c>
      <c r="C1279" s="1" t="s">
        <v>288</v>
      </c>
      <c r="D1279" s="2"/>
      <c r="E1279" s="2"/>
      <c r="F1279" s="8"/>
      <c r="G1279" s="8"/>
      <c r="H1279" s="8"/>
      <c r="I1279" s="8"/>
      <c r="Q1279" s="3"/>
      <c r="T1279" s="3"/>
      <c r="W1279" s="3"/>
      <c r="X1279" s="3">
        <v>14</v>
      </c>
      <c r="AA1279" s="3">
        <v>12</v>
      </c>
      <c r="AC1279" s="3">
        <f>AA1279-X1279</f>
        <v>-2</v>
      </c>
      <c r="AD1279" s="24">
        <v>23</v>
      </c>
      <c r="AG1279" s="3">
        <v>9.5</v>
      </c>
      <c r="AH1279" s="1" t="s">
        <v>463</v>
      </c>
      <c r="AI1279" s="3">
        <f>AG1279-AD1279</f>
        <v>-13.5</v>
      </c>
      <c r="AJ1279" s="3">
        <v>15</v>
      </c>
      <c r="AL1279" s="3">
        <f>AJ1279-AG1279</f>
        <v>5.5</v>
      </c>
      <c r="AM1279" s="3">
        <v>8</v>
      </c>
      <c r="AO1279" s="3">
        <f>AM1279-AJ1279</f>
        <v>-7</v>
      </c>
      <c r="AP1279" s="3">
        <v>8</v>
      </c>
      <c r="AS1279" s="3">
        <v>10</v>
      </c>
      <c r="AV1279" s="3">
        <v>10</v>
      </c>
      <c r="AZ1279" s="3">
        <v>9</v>
      </c>
      <c r="BA1279" s="1" t="s">
        <v>852</v>
      </c>
      <c r="BD1279" s="3">
        <v>9</v>
      </c>
      <c r="BE1279" s="1" t="s">
        <v>852</v>
      </c>
      <c r="BH1279" s="3">
        <v>9.1999999999999993</v>
      </c>
      <c r="BI1279" s="1" t="s">
        <v>852</v>
      </c>
    </row>
    <row r="1280" spans="1:61">
      <c r="A1280" s="6">
        <v>11</v>
      </c>
      <c r="B1280" s="103" t="s">
        <v>367</v>
      </c>
      <c r="C1280" s="1" t="s">
        <v>57</v>
      </c>
      <c r="D1280" s="2"/>
      <c r="E1280" s="2"/>
      <c r="F1280" s="8">
        <v>0</v>
      </c>
      <c r="G1280" s="8"/>
      <c r="H1280" s="8">
        <v>0</v>
      </c>
      <c r="I1280" s="8"/>
    </row>
    <row r="1281" spans="1:60">
      <c r="A1281" s="6">
        <v>1</v>
      </c>
      <c r="B1281" s="103" t="s">
        <v>732</v>
      </c>
      <c r="C1281" s="1" t="s">
        <v>52</v>
      </c>
      <c r="D1281" s="2">
        <v>2</v>
      </c>
      <c r="E1281" s="2">
        <v>3</v>
      </c>
      <c r="F1281" s="8">
        <v>6.5</v>
      </c>
      <c r="G1281" s="8">
        <v>6.5</v>
      </c>
      <c r="H1281" s="8">
        <v>6.5</v>
      </c>
      <c r="I1281" s="8">
        <f>H1281-E1281</f>
        <v>3.5</v>
      </c>
      <c r="L1281" s="1" t="s">
        <v>21</v>
      </c>
      <c r="M1281" s="3">
        <v>6.3</v>
      </c>
      <c r="O1281" s="3">
        <v>6.3</v>
      </c>
      <c r="Q1281" s="3">
        <f>O1281-H1281</f>
        <v>-0.20000000000000018</v>
      </c>
      <c r="R1281" s="3">
        <v>7.15</v>
      </c>
      <c r="T1281" s="2">
        <f>R1281-O1281</f>
        <v>0.85000000000000053</v>
      </c>
      <c r="U1281" s="3">
        <v>6.7</v>
      </c>
      <c r="W1281" s="3">
        <f>U1281-R1281</f>
        <v>-0.45000000000000018</v>
      </c>
      <c r="X1281" s="3">
        <v>6.7</v>
      </c>
      <c r="Z1281" s="3">
        <f>X1281-U1281</f>
        <v>0</v>
      </c>
      <c r="AA1281" s="3">
        <v>7.5</v>
      </c>
      <c r="AC1281" s="3">
        <f>AA1281-X1281</f>
        <v>0.79999999999999982</v>
      </c>
    </row>
    <row r="1282" spans="1:60">
      <c r="A1282" s="6">
        <v>3</v>
      </c>
      <c r="B1282" s="103" t="s">
        <v>732</v>
      </c>
      <c r="C1282" s="1" t="s">
        <v>54</v>
      </c>
      <c r="D1282" s="2" t="s">
        <v>685</v>
      </c>
      <c r="E1282" s="2"/>
      <c r="F1282" s="8" t="s">
        <v>685</v>
      </c>
      <c r="G1282" s="8"/>
      <c r="H1282" s="8" t="s">
        <v>685</v>
      </c>
      <c r="I1282" s="8"/>
      <c r="M1282" s="2" t="s">
        <v>685</v>
      </c>
      <c r="N1282" s="2"/>
      <c r="O1282" s="2" t="s">
        <v>685</v>
      </c>
      <c r="R1282" s="2" t="s">
        <v>685</v>
      </c>
    </row>
    <row r="1283" spans="1:60">
      <c r="A1283" s="6">
        <v>4</v>
      </c>
      <c r="B1283" s="103" t="s">
        <v>732</v>
      </c>
      <c r="C1283" s="1" t="s">
        <v>55</v>
      </c>
      <c r="D1283" s="2" t="s">
        <v>685</v>
      </c>
      <c r="E1283" s="2"/>
      <c r="F1283" s="8" t="s">
        <v>685</v>
      </c>
      <c r="G1283" s="8"/>
      <c r="H1283" s="8" t="s">
        <v>685</v>
      </c>
      <c r="I1283" s="8"/>
      <c r="M1283" s="2" t="s">
        <v>685</v>
      </c>
      <c r="N1283" s="2"/>
      <c r="O1283" s="2" t="s">
        <v>685</v>
      </c>
      <c r="R1283" s="2" t="s">
        <v>685</v>
      </c>
    </row>
    <row r="1284" spans="1:60">
      <c r="A1284" s="6">
        <v>5</v>
      </c>
      <c r="B1284" s="103" t="s">
        <v>732</v>
      </c>
      <c r="C1284" s="1" t="s">
        <v>56</v>
      </c>
      <c r="D1284" s="2" t="s">
        <v>685</v>
      </c>
      <c r="E1284" s="2"/>
      <c r="F1284" s="8" t="s">
        <v>685</v>
      </c>
      <c r="G1284" s="8"/>
      <c r="H1284" s="8" t="s">
        <v>685</v>
      </c>
      <c r="I1284" s="8"/>
      <c r="M1284" s="2" t="s">
        <v>685</v>
      </c>
      <c r="N1284" s="2"/>
      <c r="O1284" s="2" t="s">
        <v>685</v>
      </c>
      <c r="R1284" s="2" t="s">
        <v>685</v>
      </c>
    </row>
    <row r="1285" spans="1:60">
      <c r="A1285" s="6">
        <v>2</v>
      </c>
      <c r="B1285" s="103" t="s">
        <v>732</v>
      </c>
      <c r="C1285" s="1" t="s">
        <v>53</v>
      </c>
      <c r="D1285" s="2" t="s">
        <v>654</v>
      </c>
      <c r="E1285" s="2"/>
      <c r="F1285" s="8">
        <v>5.18</v>
      </c>
      <c r="G1285" s="8"/>
      <c r="H1285" s="8">
        <v>5.18</v>
      </c>
      <c r="I1285" s="10" t="e">
        <f>H1285-D1285</f>
        <v>#VALUE!</v>
      </c>
      <c r="M1285" s="3">
        <v>5.1100000000000003</v>
      </c>
      <c r="O1285" s="3">
        <v>5.1100000000000003</v>
      </c>
      <c r="Q1285" s="3">
        <f>O1285-H1285</f>
        <v>-6.9999999999999396E-2</v>
      </c>
      <c r="R1285" s="3">
        <v>5.6</v>
      </c>
      <c r="T1285" s="3">
        <f>R1285-O1285</f>
        <v>0.48999999999999932</v>
      </c>
      <c r="U1285" s="3">
        <v>5.6</v>
      </c>
      <c r="W1285" s="3">
        <f>U1285-R1285</f>
        <v>0</v>
      </c>
      <c r="X1285" s="3">
        <v>5.6</v>
      </c>
      <c r="Z1285" s="3">
        <f>X1285-U1285</f>
        <v>0</v>
      </c>
      <c r="AA1285" s="3">
        <v>11</v>
      </c>
      <c r="AC1285" s="3">
        <f>AA1285-X1285</f>
        <v>5.4</v>
      </c>
    </row>
    <row r="1286" spans="1:60">
      <c r="B1286" s="103" t="s">
        <v>732</v>
      </c>
      <c r="C1286" s="1" t="s">
        <v>158</v>
      </c>
      <c r="D1286" s="2"/>
      <c r="E1286" s="2"/>
      <c r="F1286" s="8"/>
      <c r="G1286" s="8"/>
      <c r="H1286" s="8"/>
      <c r="I1286" s="8"/>
      <c r="Q1286" s="3"/>
      <c r="T1286" s="3"/>
      <c r="W1286" s="3"/>
      <c r="AC1286" s="3"/>
      <c r="AJ1286" s="3">
        <v>2.5</v>
      </c>
      <c r="AM1286" s="3">
        <v>2.5</v>
      </c>
      <c r="AP1286" s="3">
        <v>1.45</v>
      </c>
      <c r="AS1286" s="3">
        <v>1.65</v>
      </c>
      <c r="AV1286" s="3">
        <v>1.85</v>
      </c>
      <c r="AY1286" s="3">
        <v>1.85</v>
      </c>
      <c r="AZ1286" s="3">
        <v>1.8</v>
      </c>
      <c r="BC1286" s="3">
        <v>1.8</v>
      </c>
      <c r="BD1286" s="3">
        <v>2.2000000000000002</v>
      </c>
      <c r="BG1286" s="3">
        <v>4.5</v>
      </c>
      <c r="BH1286" s="3">
        <v>5.5</v>
      </c>
    </row>
    <row r="1287" spans="1:60">
      <c r="B1287" s="103" t="s">
        <v>732</v>
      </c>
      <c r="C1287" s="1" t="s">
        <v>597</v>
      </c>
      <c r="D1287" s="2"/>
      <c r="E1287" s="2"/>
      <c r="F1287" s="8"/>
      <c r="G1287" s="8"/>
      <c r="H1287" s="8"/>
      <c r="Q1287" s="3"/>
      <c r="T1287" s="3"/>
      <c r="AC1287" s="3"/>
      <c r="AJ1287" s="3">
        <v>3.6</v>
      </c>
      <c r="AM1287" s="3">
        <v>3.6</v>
      </c>
      <c r="AP1287" s="3">
        <v>3.6</v>
      </c>
      <c r="AS1287" s="3">
        <v>6.4</v>
      </c>
    </row>
    <row r="1288" spans="1:60">
      <c r="B1288" s="103" t="s">
        <v>732</v>
      </c>
      <c r="C1288" s="1" t="s">
        <v>595</v>
      </c>
      <c r="D1288" s="2"/>
      <c r="E1288" s="2"/>
      <c r="F1288" s="8"/>
      <c r="G1288" s="8"/>
      <c r="H1288" s="8"/>
      <c r="Q1288" s="3"/>
      <c r="T1288" s="3"/>
      <c r="U1288" s="3">
        <v>5.5</v>
      </c>
      <c r="X1288" s="3">
        <v>5.5</v>
      </c>
      <c r="Z1288" s="3">
        <f>X1288-U1288</f>
        <v>0</v>
      </c>
      <c r="AA1288" s="3">
        <v>5.95</v>
      </c>
      <c r="AC1288" s="3">
        <f>AA1288-X1288</f>
        <v>0.45000000000000018</v>
      </c>
      <c r="AD1288" s="24">
        <v>4.8</v>
      </c>
      <c r="AG1288" s="3">
        <v>4.8</v>
      </c>
      <c r="AI1288" s="3">
        <f>AG1288-AD1288</f>
        <v>0</v>
      </c>
      <c r="AJ1288" s="3">
        <v>2.6</v>
      </c>
      <c r="AM1288" s="3">
        <v>2.6</v>
      </c>
      <c r="AO1288" s="3">
        <f>AM1288-AJ1288</f>
        <v>0</v>
      </c>
      <c r="AP1288" s="3">
        <v>2.6</v>
      </c>
      <c r="AS1288" s="3">
        <v>9</v>
      </c>
      <c r="AY1288" s="3">
        <v>3.67</v>
      </c>
      <c r="AZ1288" s="3">
        <v>2.86</v>
      </c>
      <c r="BC1288" s="3">
        <v>2.86</v>
      </c>
      <c r="BD1288" s="3">
        <v>3.25</v>
      </c>
    </row>
    <row r="1289" spans="1:60">
      <c r="B1289" s="103" t="s">
        <v>732</v>
      </c>
      <c r="C1289" s="1" t="s">
        <v>700</v>
      </c>
      <c r="D1289" s="2"/>
      <c r="E1289" s="2"/>
      <c r="F1289" s="8"/>
      <c r="G1289" s="8"/>
      <c r="H1289" s="8"/>
      <c r="Q1289" s="3"/>
      <c r="T1289" s="3"/>
      <c r="U1289" s="3">
        <v>2.5</v>
      </c>
      <c r="X1289" s="3">
        <v>2.5</v>
      </c>
      <c r="Z1289" s="3">
        <f>X1289-U1289</f>
        <v>0</v>
      </c>
      <c r="AA1289" s="3">
        <v>3</v>
      </c>
      <c r="AC1289" s="3">
        <f>AA1289-X1289</f>
        <v>0.5</v>
      </c>
      <c r="AD1289" s="24">
        <v>2.6</v>
      </c>
      <c r="AG1289" s="3">
        <v>2.6</v>
      </c>
      <c r="AJ1289" s="3">
        <v>2.5</v>
      </c>
      <c r="AP1289" s="3">
        <v>4.5</v>
      </c>
    </row>
    <row r="1290" spans="1:60">
      <c r="A1290" s="6">
        <v>12</v>
      </c>
      <c r="B1290" s="103" t="s">
        <v>732</v>
      </c>
      <c r="C1290" s="1" t="s">
        <v>594</v>
      </c>
      <c r="D1290" s="2">
        <v>2.5</v>
      </c>
      <c r="E1290" s="2"/>
      <c r="F1290" s="8">
        <v>2.2000000000000002</v>
      </c>
      <c r="G1290" s="8"/>
      <c r="H1290" s="8">
        <v>2.2000000000000002</v>
      </c>
      <c r="I1290" s="9">
        <f>H1290-D1290</f>
        <v>-0.29999999999999982</v>
      </c>
      <c r="M1290" s="3">
        <v>1.98</v>
      </c>
      <c r="O1290" s="3">
        <v>1.98</v>
      </c>
      <c r="Q1290" s="3">
        <f>O1290-H1290</f>
        <v>-0.2200000000000002</v>
      </c>
      <c r="R1290" s="3">
        <v>3.01</v>
      </c>
      <c r="T1290" s="3">
        <f>R1290-O1290</f>
        <v>1.0299999999999998</v>
      </c>
      <c r="U1290" s="3">
        <v>2.8</v>
      </c>
      <c r="W1290" s="3">
        <f>U1290-R1290</f>
        <v>-0.20999999999999996</v>
      </c>
      <c r="X1290" s="3">
        <v>2.8</v>
      </c>
      <c r="Z1290" s="3">
        <f>X1290-U1290</f>
        <v>0</v>
      </c>
      <c r="AA1290" s="3">
        <v>4.9000000000000004</v>
      </c>
      <c r="AC1290" s="3">
        <f>AA1290-X1290</f>
        <v>2.1000000000000005</v>
      </c>
      <c r="AD1290" s="24">
        <v>2.2999999999999998</v>
      </c>
      <c r="AG1290" s="3">
        <v>2.94</v>
      </c>
      <c r="AI1290" s="3">
        <f>AG1290-AD1290</f>
        <v>0.64000000000000012</v>
      </c>
      <c r="AJ1290" s="3">
        <v>2.4500000000000002</v>
      </c>
      <c r="AM1290" s="3">
        <v>2.7</v>
      </c>
      <c r="AO1290" s="3">
        <f>AM1290-AJ1290</f>
        <v>0.25</v>
      </c>
      <c r="AP1290" s="3">
        <v>2</v>
      </c>
      <c r="AS1290" s="3">
        <v>4.75</v>
      </c>
      <c r="AV1290" s="3">
        <v>3.8</v>
      </c>
      <c r="AY1290" s="3">
        <v>3.8</v>
      </c>
      <c r="AZ1290" s="3">
        <v>3.08</v>
      </c>
      <c r="BC1290" s="3">
        <v>3.08</v>
      </c>
      <c r="BD1290" s="3">
        <v>5.14</v>
      </c>
      <c r="BG1290" s="3">
        <v>5.14</v>
      </c>
      <c r="BH1290" s="3">
        <v>4.75</v>
      </c>
    </row>
    <row r="1291" spans="1:60">
      <c r="A1291" s="6">
        <v>14</v>
      </c>
      <c r="B1291" s="103" t="s">
        <v>732</v>
      </c>
      <c r="C1291" s="1" t="s">
        <v>58</v>
      </c>
      <c r="D1291" s="2">
        <v>7.5</v>
      </c>
      <c r="E1291" s="2"/>
      <c r="F1291" s="8">
        <v>5.8</v>
      </c>
      <c r="G1291" s="8"/>
      <c r="H1291" s="8">
        <v>5.8</v>
      </c>
      <c r="I1291" s="9">
        <f>H1291-D1291</f>
        <v>-1.7000000000000002</v>
      </c>
      <c r="M1291" s="3">
        <v>5.8</v>
      </c>
      <c r="O1291" s="3">
        <v>5.8</v>
      </c>
      <c r="Q1291" s="3">
        <f>O1291-H1291</f>
        <v>0</v>
      </c>
      <c r="R1291" s="3">
        <v>6.91</v>
      </c>
      <c r="T1291" s="3">
        <f>R1291-O1291</f>
        <v>1.1100000000000003</v>
      </c>
      <c r="U1291" s="3">
        <v>5.9</v>
      </c>
      <c r="W1291" s="3">
        <f>U1291-R1291</f>
        <v>-1.0099999999999998</v>
      </c>
      <c r="X1291" s="3">
        <v>5.9</v>
      </c>
      <c r="Z1291" s="3">
        <f>X1291-U1291</f>
        <v>0</v>
      </c>
      <c r="AA1291" s="3">
        <v>11</v>
      </c>
      <c r="AC1291" s="3">
        <f>AA1291-X1291</f>
        <v>5.0999999999999996</v>
      </c>
      <c r="AD1291" s="24">
        <v>5.8</v>
      </c>
      <c r="AG1291" s="3">
        <v>6.5</v>
      </c>
      <c r="AI1291" s="3">
        <f>AG1291-AD1291</f>
        <v>0.70000000000000018</v>
      </c>
      <c r="AJ1291" s="3">
        <v>3.45</v>
      </c>
      <c r="AM1291" s="3">
        <v>5</v>
      </c>
      <c r="AO1291" s="3">
        <f>AM1291-AJ1291</f>
        <v>1.5499999999999998</v>
      </c>
      <c r="AP1291" s="3">
        <v>3.75</v>
      </c>
      <c r="AS1291" s="3">
        <v>8.5</v>
      </c>
      <c r="AV1291" s="3">
        <v>6.25</v>
      </c>
      <c r="AY1291" s="3">
        <v>6.25</v>
      </c>
      <c r="AZ1291" s="3">
        <v>6.05</v>
      </c>
      <c r="BC1291" s="3">
        <v>6.05</v>
      </c>
      <c r="BD1291" s="3">
        <v>6.25</v>
      </c>
      <c r="BG1291" s="3">
        <v>12.5</v>
      </c>
      <c r="BH1291" s="3">
        <v>5.15</v>
      </c>
    </row>
    <row r="1292" spans="1:60">
      <c r="B1292" s="103" t="s">
        <v>732</v>
      </c>
      <c r="C1292" s="1" t="s">
        <v>607</v>
      </c>
      <c r="D1292" s="2"/>
      <c r="E1292" s="2"/>
      <c r="F1292" s="8"/>
      <c r="G1292" s="8"/>
      <c r="H1292" s="8"/>
      <c r="Q1292" s="3"/>
      <c r="T1292" s="3"/>
      <c r="W1292" s="3"/>
      <c r="AC1292" s="3"/>
      <c r="AI1292" s="3"/>
      <c r="AO1292" s="3"/>
      <c r="BH1292" s="3">
        <v>17.5</v>
      </c>
    </row>
    <row r="1293" spans="1:60">
      <c r="B1293" s="103" t="s">
        <v>732</v>
      </c>
      <c r="C1293" s="1" t="s">
        <v>857</v>
      </c>
      <c r="D1293" s="2"/>
      <c r="E1293" s="2"/>
      <c r="F1293" s="8"/>
      <c r="G1293" s="8"/>
      <c r="H1293" s="8"/>
      <c r="I1293" s="8"/>
      <c r="Q1293" s="3"/>
      <c r="T1293" s="3"/>
      <c r="W1293" s="3"/>
      <c r="AC1293" s="3"/>
      <c r="AZ1293" s="3">
        <v>8.52</v>
      </c>
      <c r="BC1293" s="3">
        <v>8.52</v>
      </c>
      <c r="BD1293" s="3">
        <v>8</v>
      </c>
      <c r="BG1293" s="3">
        <v>8</v>
      </c>
      <c r="BH1293" s="3">
        <v>15</v>
      </c>
    </row>
    <row r="1294" spans="1:60" ht="9.6" customHeight="1">
      <c r="B1294" s="103" t="s">
        <v>732</v>
      </c>
      <c r="C1294" s="1" t="s">
        <v>386</v>
      </c>
      <c r="D1294" s="2"/>
      <c r="E1294" s="2"/>
      <c r="F1294" s="8"/>
      <c r="G1294" s="8"/>
      <c r="H1294" s="8"/>
      <c r="Q1294" s="3"/>
      <c r="T1294" s="3"/>
      <c r="W1294" s="3"/>
      <c r="AC1294" s="3"/>
      <c r="AI1294" s="3"/>
      <c r="AO1294" s="3"/>
      <c r="BG1294" s="3">
        <v>12.75</v>
      </c>
    </row>
    <row r="1295" spans="1:60">
      <c r="B1295" s="103" t="s">
        <v>732</v>
      </c>
      <c r="C1295" s="1" t="s">
        <v>289</v>
      </c>
      <c r="D1295" s="2"/>
      <c r="E1295" s="2"/>
      <c r="F1295" s="8"/>
      <c r="G1295" s="8"/>
      <c r="H1295" s="8"/>
      <c r="I1295" s="8"/>
      <c r="Q1295" s="3"/>
      <c r="T1295" s="3"/>
      <c r="W1295" s="3"/>
      <c r="AC1295" s="3"/>
      <c r="AJ1295" s="3">
        <v>4.2300000000000004</v>
      </c>
      <c r="AM1295" s="3">
        <v>5</v>
      </c>
      <c r="AO1295" s="3">
        <f>AM1295-AJ1295</f>
        <v>0.76999999999999957</v>
      </c>
      <c r="AP1295" s="3">
        <v>4.5</v>
      </c>
      <c r="AS1295" s="3">
        <v>5.5</v>
      </c>
      <c r="AV1295" s="3">
        <v>4.8499999999999996</v>
      </c>
      <c r="AY1295" s="3">
        <v>4.8499999999999996</v>
      </c>
      <c r="AZ1295" s="3">
        <v>4.5</v>
      </c>
      <c r="BC1295" s="3">
        <v>4.5</v>
      </c>
      <c r="BD1295" s="3">
        <v>4.9000000000000004</v>
      </c>
      <c r="BG1295" s="3">
        <v>17.5</v>
      </c>
      <c r="BH1295" s="3">
        <v>8.5</v>
      </c>
    </row>
    <row r="1296" spans="1:60">
      <c r="B1296" s="103" t="s">
        <v>732</v>
      </c>
      <c r="C1296" s="1" t="s">
        <v>74</v>
      </c>
      <c r="D1296" s="2"/>
      <c r="E1296" s="2"/>
      <c r="F1296" s="8"/>
      <c r="G1296" s="8"/>
      <c r="H1296" s="8"/>
      <c r="I1296" s="8"/>
      <c r="Q1296" s="3"/>
      <c r="T1296" s="3"/>
      <c r="W1296" s="3"/>
      <c r="AC1296" s="3"/>
      <c r="AO1296" s="3"/>
      <c r="AP1296" s="3">
        <v>1.45</v>
      </c>
    </row>
    <row r="1297" spans="1:60">
      <c r="B1297" s="103" t="s">
        <v>732</v>
      </c>
      <c r="C1297" s="1" t="s">
        <v>290</v>
      </c>
      <c r="D1297" s="2"/>
      <c r="E1297" s="2"/>
      <c r="F1297" s="8"/>
      <c r="G1297" s="8"/>
      <c r="H1297" s="8"/>
      <c r="I1297" s="8"/>
      <c r="Q1297" s="3"/>
      <c r="T1297" s="3"/>
      <c r="W1297" s="3"/>
      <c r="AC1297" s="3"/>
      <c r="AO1297" s="3"/>
      <c r="AV1297" s="3">
        <v>6</v>
      </c>
      <c r="AY1297" s="3">
        <v>6</v>
      </c>
      <c r="AZ1297" s="3">
        <v>5.85</v>
      </c>
      <c r="BC1297" s="3">
        <v>5.85</v>
      </c>
      <c r="BD1297" s="3">
        <v>6.15</v>
      </c>
      <c r="BG1297" s="3">
        <v>16.5</v>
      </c>
      <c r="BH1297" s="3">
        <v>17</v>
      </c>
    </row>
    <row r="1298" spans="1:60">
      <c r="B1298" s="103" t="s">
        <v>732</v>
      </c>
      <c r="C1298" s="1" t="s">
        <v>64</v>
      </c>
      <c r="D1298" s="2"/>
      <c r="E1298" s="2"/>
      <c r="F1298" s="8"/>
      <c r="G1298" s="8"/>
      <c r="H1298" s="8"/>
      <c r="Q1298" s="3"/>
      <c r="T1298" s="3"/>
      <c r="U1298" s="3">
        <v>6.7</v>
      </c>
      <c r="X1298" s="3">
        <v>6.7</v>
      </c>
      <c r="Z1298" s="3">
        <f>X1298-U1298</f>
        <v>0</v>
      </c>
      <c r="AA1298" s="3">
        <v>13</v>
      </c>
      <c r="AC1298" s="3">
        <f>AA1298-X1298</f>
        <v>6.3</v>
      </c>
      <c r="AD1298" s="24">
        <v>7</v>
      </c>
      <c r="AG1298" s="3">
        <v>8.5</v>
      </c>
      <c r="AI1298" s="3">
        <f>AG1298-AD1298</f>
        <v>1.5</v>
      </c>
      <c r="AJ1298" s="3">
        <v>3.85</v>
      </c>
      <c r="AM1298" s="3">
        <v>5.2</v>
      </c>
      <c r="AO1298" s="3">
        <f>AM1298-AJ1298</f>
        <v>1.35</v>
      </c>
      <c r="AP1298" s="3">
        <v>5</v>
      </c>
      <c r="AS1298" s="3">
        <v>8.5500000000000007</v>
      </c>
      <c r="AV1298" s="3">
        <v>6.1</v>
      </c>
      <c r="AY1298" s="3">
        <v>6.1</v>
      </c>
      <c r="AZ1298" s="3">
        <v>7.25</v>
      </c>
      <c r="BC1298" s="3">
        <v>7.25</v>
      </c>
      <c r="BD1298" s="3">
        <v>7</v>
      </c>
      <c r="BG1298" s="3">
        <v>13.8</v>
      </c>
      <c r="BH1298" s="3">
        <v>7.42</v>
      </c>
    </row>
    <row r="1299" spans="1:60">
      <c r="B1299" s="103" t="s">
        <v>732</v>
      </c>
      <c r="C1299" s="1" t="s">
        <v>286</v>
      </c>
      <c r="D1299" s="2"/>
      <c r="E1299" s="2"/>
      <c r="F1299" s="8"/>
      <c r="G1299" s="8"/>
      <c r="H1299" s="8"/>
      <c r="Q1299" s="3"/>
      <c r="T1299" s="3"/>
      <c r="U1299" s="3">
        <v>7.5</v>
      </c>
      <c r="X1299" s="3">
        <v>7.5</v>
      </c>
      <c r="Z1299" s="3">
        <f>X1299-U1299</f>
        <v>0</v>
      </c>
      <c r="AA1299" s="3">
        <v>11</v>
      </c>
      <c r="AC1299" s="3">
        <f>AA1299-X1299</f>
        <v>3.5</v>
      </c>
      <c r="AD1299" s="24">
        <v>7.8</v>
      </c>
      <c r="AG1299" s="3">
        <v>7.5</v>
      </c>
      <c r="AI1299" s="3">
        <f>AG1299-AD1299</f>
        <v>-0.29999999999999982</v>
      </c>
      <c r="AJ1299" s="3">
        <v>3.36</v>
      </c>
      <c r="AM1299" s="3">
        <v>6</v>
      </c>
      <c r="AO1299" s="3">
        <f>AM1299-AJ1299</f>
        <v>2.64</v>
      </c>
      <c r="AP1299" s="3">
        <v>3.85</v>
      </c>
      <c r="AS1299" s="3">
        <v>8.5500000000000007</v>
      </c>
      <c r="AV1299" s="3">
        <v>6</v>
      </c>
      <c r="AY1299" s="3">
        <v>7.43</v>
      </c>
      <c r="AZ1299" s="3">
        <v>7.25</v>
      </c>
      <c r="BC1299" s="3">
        <v>7.25</v>
      </c>
      <c r="BD1299" s="3">
        <v>7.55</v>
      </c>
      <c r="BG1299" s="3">
        <v>13</v>
      </c>
      <c r="BH1299" s="3">
        <v>6.85</v>
      </c>
    </row>
    <row r="1300" spans="1:60">
      <c r="B1300" s="103" t="s">
        <v>732</v>
      </c>
      <c r="C1300" s="1" t="s">
        <v>288</v>
      </c>
      <c r="D1300" s="2"/>
      <c r="E1300" s="2"/>
      <c r="F1300" s="8"/>
      <c r="G1300" s="8"/>
      <c r="H1300" s="8"/>
      <c r="Q1300" s="3"/>
      <c r="T1300" s="3"/>
      <c r="U1300" s="3">
        <v>7.3</v>
      </c>
      <c r="X1300" s="3">
        <v>7.3</v>
      </c>
      <c r="Z1300" s="3">
        <f>X1300-U1300</f>
        <v>0</v>
      </c>
      <c r="AA1300" s="3">
        <v>13</v>
      </c>
      <c r="AC1300" s="3">
        <f>AA1300-X1300</f>
        <v>5.7</v>
      </c>
      <c r="AD1300" s="24">
        <v>7.6</v>
      </c>
      <c r="AG1300" s="3">
        <v>6.8</v>
      </c>
      <c r="AI1300" s="3">
        <f>AG1300-AD1300</f>
        <v>-0.79999999999999982</v>
      </c>
      <c r="AJ1300" s="3">
        <v>3.46</v>
      </c>
      <c r="AM1300" s="3">
        <v>5.5</v>
      </c>
      <c r="AO1300" s="3">
        <f>AM1300-AJ1300</f>
        <v>2.04</v>
      </c>
      <c r="AP1300" s="3">
        <v>4.2</v>
      </c>
      <c r="AS1300" s="3">
        <v>8.65</v>
      </c>
      <c r="AV1300" s="3">
        <v>6.53</v>
      </c>
      <c r="AY1300" s="3">
        <v>6.53</v>
      </c>
      <c r="AZ1300" s="3">
        <v>7.34</v>
      </c>
      <c r="BC1300" s="3">
        <v>7.34</v>
      </c>
      <c r="BD1300" s="3">
        <v>8.1999999999999993</v>
      </c>
      <c r="BG1300" s="3">
        <v>14.35</v>
      </c>
      <c r="BH1300" s="3">
        <v>6.8</v>
      </c>
    </row>
    <row r="1301" spans="1:60">
      <c r="A1301" s="6">
        <v>11</v>
      </c>
      <c r="B1301" s="103" t="s">
        <v>732</v>
      </c>
      <c r="C1301" s="1" t="s">
        <v>57</v>
      </c>
      <c r="D1301" s="2">
        <v>7.5</v>
      </c>
      <c r="E1301" s="2"/>
      <c r="F1301" s="8">
        <v>8.3000000000000007</v>
      </c>
      <c r="G1301" s="8"/>
      <c r="H1301" s="8">
        <v>8.3000000000000007</v>
      </c>
      <c r="I1301" s="8">
        <f>H1301-D1301</f>
        <v>0.80000000000000071</v>
      </c>
      <c r="M1301" s="3">
        <v>7.4</v>
      </c>
      <c r="O1301" s="3">
        <v>7.4</v>
      </c>
      <c r="Q1301" s="3">
        <f>O1301-H1301</f>
        <v>-0.90000000000000036</v>
      </c>
      <c r="R1301" s="3">
        <v>7.7</v>
      </c>
      <c r="T1301" s="3">
        <f>R1301-O1301</f>
        <v>0.29999999999999982</v>
      </c>
      <c r="U1301" s="3">
        <v>6.7</v>
      </c>
      <c r="W1301" s="3">
        <f>U1301-R1301</f>
        <v>-1</v>
      </c>
      <c r="X1301" s="3">
        <v>6.7</v>
      </c>
      <c r="Z1301" s="3">
        <f>X1301-U1301</f>
        <v>0</v>
      </c>
      <c r="AA1301" s="3">
        <v>8.5</v>
      </c>
      <c r="AC1301" s="3">
        <f>AA1301-X1301</f>
        <v>1.7999999999999998</v>
      </c>
    </row>
    <row r="1302" spans="1:60">
      <c r="B1302" s="103" t="s">
        <v>732</v>
      </c>
      <c r="C1302" s="1" t="s">
        <v>287</v>
      </c>
      <c r="D1302" s="2"/>
      <c r="E1302" s="2"/>
      <c r="F1302" s="8"/>
      <c r="G1302" s="8"/>
      <c r="H1302" s="8"/>
      <c r="I1302" s="8"/>
      <c r="Q1302" s="3"/>
      <c r="T1302" s="3"/>
      <c r="W1302" s="3"/>
      <c r="AC1302" s="3"/>
      <c r="AM1302" s="3">
        <v>5.3</v>
      </c>
    </row>
    <row r="1303" spans="1:60">
      <c r="A1303" s="6">
        <v>1</v>
      </c>
      <c r="B1303" s="103" t="s">
        <v>733</v>
      </c>
      <c r="C1303" s="1" t="s">
        <v>52</v>
      </c>
      <c r="D1303" s="2"/>
      <c r="E1303" s="2"/>
      <c r="F1303" s="8">
        <v>0</v>
      </c>
      <c r="G1303" s="8"/>
      <c r="H1303" s="8">
        <v>0</v>
      </c>
      <c r="I1303" s="8"/>
      <c r="AQ1303" s="1" t="s">
        <v>285</v>
      </c>
    </row>
    <row r="1304" spans="1:60">
      <c r="A1304" s="6">
        <v>3</v>
      </c>
      <c r="B1304" s="103" t="s">
        <v>733</v>
      </c>
      <c r="C1304" s="1" t="s">
        <v>54</v>
      </c>
      <c r="D1304" s="2"/>
      <c r="E1304" s="2"/>
      <c r="F1304" s="8">
        <v>0</v>
      </c>
      <c r="G1304" s="8"/>
      <c r="H1304" s="8">
        <v>0</v>
      </c>
      <c r="I1304" s="8"/>
      <c r="AQ1304" s="1" t="s">
        <v>285</v>
      </c>
    </row>
    <row r="1305" spans="1:60">
      <c r="A1305" s="6">
        <v>4</v>
      </c>
      <c r="B1305" s="103" t="s">
        <v>733</v>
      </c>
      <c r="C1305" s="1" t="s">
        <v>55</v>
      </c>
      <c r="D1305" s="2"/>
      <c r="E1305" s="2"/>
      <c r="F1305" s="8">
        <v>0</v>
      </c>
      <c r="G1305" s="8"/>
      <c r="H1305" s="8">
        <v>0</v>
      </c>
      <c r="I1305" s="8"/>
      <c r="AQ1305" s="1" t="s">
        <v>285</v>
      </c>
    </row>
    <row r="1306" spans="1:60">
      <c r="A1306" s="6">
        <v>5</v>
      </c>
      <c r="B1306" s="103" t="s">
        <v>733</v>
      </c>
      <c r="C1306" s="1" t="s">
        <v>56</v>
      </c>
      <c r="D1306" s="2"/>
      <c r="E1306" s="2"/>
      <c r="F1306" s="8">
        <v>0</v>
      </c>
      <c r="G1306" s="8"/>
      <c r="H1306" s="8">
        <v>0</v>
      </c>
      <c r="I1306" s="8"/>
      <c r="AQ1306" s="1" t="s">
        <v>285</v>
      </c>
    </row>
    <row r="1307" spans="1:60">
      <c r="A1307" s="6">
        <v>2</v>
      </c>
      <c r="B1307" s="103" t="s">
        <v>733</v>
      </c>
      <c r="C1307" s="1" t="s">
        <v>53</v>
      </c>
      <c r="D1307" s="2">
        <v>34</v>
      </c>
      <c r="E1307" s="2"/>
      <c r="F1307" s="8">
        <v>95</v>
      </c>
      <c r="G1307" s="8"/>
      <c r="H1307" s="8">
        <v>95</v>
      </c>
      <c r="I1307" s="10">
        <f>H1307-D1307</f>
        <v>61</v>
      </c>
      <c r="L1307" s="1" t="s">
        <v>353</v>
      </c>
      <c r="AQ1307" s="1" t="s">
        <v>285</v>
      </c>
    </row>
    <row r="1308" spans="1:60">
      <c r="B1308" s="103" t="s">
        <v>733</v>
      </c>
      <c r="C1308" s="1" t="s">
        <v>595</v>
      </c>
      <c r="D1308" s="2"/>
      <c r="E1308" s="2"/>
      <c r="F1308" s="8"/>
      <c r="G1308" s="8"/>
      <c r="H1308" s="8"/>
      <c r="I1308" s="8"/>
      <c r="T1308" s="3"/>
      <c r="AQ1308" s="1" t="s">
        <v>285</v>
      </c>
    </row>
    <row r="1309" spans="1:60">
      <c r="B1309" s="103" t="s">
        <v>733</v>
      </c>
      <c r="C1309" s="1" t="s">
        <v>596</v>
      </c>
      <c r="D1309" s="2"/>
      <c r="E1309" s="2"/>
      <c r="F1309" s="8"/>
      <c r="G1309" s="8"/>
      <c r="H1309" s="8"/>
      <c r="I1309" s="8"/>
      <c r="T1309" s="3"/>
      <c r="AA1309" s="3">
        <v>7.41</v>
      </c>
      <c r="AQ1309" s="1" t="s">
        <v>285</v>
      </c>
      <c r="AS1309" s="3">
        <v>6</v>
      </c>
      <c r="AV1309" s="3">
        <v>6</v>
      </c>
    </row>
    <row r="1310" spans="1:60">
      <c r="A1310" s="6">
        <v>12</v>
      </c>
      <c r="B1310" s="103" t="s">
        <v>733</v>
      </c>
      <c r="C1310" s="1" t="s">
        <v>594</v>
      </c>
      <c r="D1310" s="2">
        <v>10</v>
      </c>
      <c r="E1310" s="2"/>
      <c r="F1310" s="8">
        <v>30</v>
      </c>
      <c r="G1310" s="8"/>
      <c r="H1310" s="8">
        <v>30</v>
      </c>
      <c r="I1310" s="8">
        <f>H1310-D1310</f>
        <v>20</v>
      </c>
      <c r="L1310" s="1" t="s">
        <v>402</v>
      </c>
      <c r="M1310" s="3">
        <v>14</v>
      </c>
      <c r="O1310" s="3">
        <v>14</v>
      </c>
      <c r="Q1310" s="3">
        <f>O1310-H1310</f>
        <v>-16</v>
      </c>
      <c r="R1310" s="3">
        <v>15</v>
      </c>
      <c r="T1310" s="3">
        <f>R1310-O1310</f>
        <v>1</v>
      </c>
      <c r="U1310" s="3">
        <v>25</v>
      </c>
      <c r="W1310" s="3">
        <f>U1310-R1310</f>
        <v>10</v>
      </c>
      <c r="X1310" s="3">
        <v>10</v>
      </c>
      <c r="Z1310" s="3">
        <f>X1310-U1310</f>
        <v>-15</v>
      </c>
      <c r="AA1310" s="3">
        <v>7.4</v>
      </c>
      <c r="AC1310" s="3">
        <f>AA1310-X1310</f>
        <v>-2.5999999999999996</v>
      </c>
      <c r="AD1310" s="24">
        <v>6</v>
      </c>
      <c r="AG1310" s="3">
        <v>5.95</v>
      </c>
      <c r="AI1310" s="3">
        <f>AG1310-AD1310</f>
        <v>-4.9999999999999822E-2</v>
      </c>
      <c r="AJ1310" s="3">
        <v>6</v>
      </c>
      <c r="AL1310" s="3">
        <f>AJ1310-AG1310</f>
        <v>4.9999999999999822E-2</v>
      </c>
      <c r="AM1310" s="3">
        <v>4</v>
      </c>
      <c r="AO1310" s="3">
        <f>AM1310-AJ1310</f>
        <v>-2</v>
      </c>
      <c r="AQ1310" s="1" t="s">
        <v>285</v>
      </c>
      <c r="AS1310" s="3">
        <v>6</v>
      </c>
      <c r="AV1310" s="3">
        <v>6.5</v>
      </c>
      <c r="AZ1310" s="3">
        <v>9.74</v>
      </c>
      <c r="BD1310" s="3">
        <v>6.7</v>
      </c>
      <c r="BH1310" s="3">
        <v>9.56</v>
      </c>
    </row>
    <row r="1311" spans="1:60">
      <c r="A1311" s="6">
        <v>14</v>
      </c>
      <c r="B1311" s="103" t="s">
        <v>733</v>
      </c>
      <c r="C1311" s="1" t="s">
        <v>58</v>
      </c>
      <c r="D1311" s="2">
        <v>12</v>
      </c>
      <c r="E1311" s="2"/>
      <c r="F1311" s="8">
        <v>38</v>
      </c>
      <c r="G1311" s="8"/>
      <c r="H1311" s="8">
        <v>38</v>
      </c>
      <c r="I1311" s="8">
        <f>H1311-D1311</f>
        <v>26</v>
      </c>
      <c r="L1311" s="1" t="s">
        <v>347</v>
      </c>
      <c r="M1311" s="3">
        <v>15</v>
      </c>
      <c r="O1311" s="3">
        <v>15</v>
      </c>
      <c r="R1311" s="3">
        <v>15.7</v>
      </c>
      <c r="T1311" s="3">
        <f>R1311-O1311</f>
        <v>0.69999999999999929</v>
      </c>
      <c r="U1311" s="3">
        <v>40</v>
      </c>
      <c r="W1311" s="3">
        <f>U1311-R1311</f>
        <v>24.3</v>
      </c>
      <c r="X1311" s="3">
        <v>21.3</v>
      </c>
      <c r="Z1311" s="3">
        <f>X1311-U1311</f>
        <v>-18.7</v>
      </c>
      <c r="AA1311" s="3">
        <v>16.93</v>
      </c>
      <c r="AC1311" s="3">
        <f>AA1311-X1311</f>
        <v>-4.370000000000001</v>
      </c>
      <c r="AD1311" s="24">
        <v>13</v>
      </c>
      <c r="AG1311" s="3">
        <v>12.23</v>
      </c>
      <c r="AI1311" s="3">
        <f>AG1311-AD1311</f>
        <v>-0.76999999999999957</v>
      </c>
      <c r="AJ1311" s="3">
        <v>13</v>
      </c>
      <c r="AL1311" s="3">
        <f>AJ1311-AG1311</f>
        <v>0.76999999999999957</v>
      </c>
      <c r="AM1311" s="3">
        <v>6</v>
      </c>
      <c r="AO1311" s="3">
        <f>AM1311-AJ1311</f>
        <v>-7</v>
      </c>
      <c r="AQ1311" s="1" t="s">
        <v>285</v>
      </c>
      <c r="AS1311" s="3">
        <v>6.7</v>
      </c>
      <c r="AV1311" s="3">
        <v>7</v>
      </c>
      <c r="AZ1311" s="3">
        <v>9.06</v>
      </c>
      <c r="BD1311" s="3">
        <v>7.1</v>
      </c>
      <c r="BH1311" s="3">
        <v>9.76</v>
      </c>
    </row>
    <row r="1312" spans="1:60">
      <c r="B1312" s="103" t="s">
        <v>733</v>
      </c>
      <c r="C1312" s="1" t="s">
        <v>289</v>
      </c>
      <c r="D1312" s="2"/>
      <c r="E1312" s="2"/>
      <c r="F1312" s="8"/>
      <c r="G1312" s="8"/>
      <c r="H1312" s="8"/>
      <c r="I1312" s="8"/>
      <c r="T1312" s="3"/>
      <c r="U1312" s="3">
        <v>160</v>
      </c>
      <c r="X1312" s="3">
        <v>119.05</v>
      </c>
      <c r="Z1312" s="3">
        <f>X1312-U1312</f>
        <v>-40.950000000000003</v>
      </c>
      <c r="AA1312" s="3">
        <v>120.21</v>
      </c>
      <c r="AC1312" s="3">
        <f>AA1312-X1312</f>
        <v>1.1599999999999966</v>
      </c>
      <c r="AD1312" s="24">
        <v>117</v>
      </c>
      <c r="AG1312" s="3">
        <v>120</v>
      </c>
      <c r="AI1312" s="3">
        <f>AG1312-AD1312</f>
        <v>3</v>
      </c>
      <c r="AJ1312" s="3">
        <v>36</v>
      </c>
      <c r="AL1312" s="3">
        <f>AJ1312-AG1312</f>
        <v>-84</v>
      </c>
      <c r="AM1312" s="3">
        <v>9.23</v>
      </c>
      <c r="AO1312" s="3">
        <f>AM1312-AJ1312</f>
        <v>-26.77</v>
      </c>
      <c r="AQ1312" s="1" t="s">
        <v>285</v>
      </c>
      <c r="AS1312" s="3">
        <v>7.35</v>
      </c>
      <c r="AV1312" s="3">
        <v>8</v>
      </c>
      <c r="AZ1312" s="3">
        <v>9.9700000000000006</v>
      </c>
      <c r="BD1312" s="3">
        <v>10</v>
      </c>
      <c r="BH1312" s="3">
        <v>4.9000000000000004</v>
      </c>
    </row>
    <row r="1313" spans="1:61">
      <c r="B1313" s="103" t="s">
        <v>733</v>
      </c>
      <c r="C1313" s="1" t="s">
        <v>290</v>
      </c>
      <c r="D1313" s="2"/>
      <c r="E1313" s="2"/>
      <c r="F1313" s="8"/>
      <c r="G1313" s="8"/>
      <c r="H1313" s="8"/>
      <c r="I1313" s="8"/>
      <c r="T1313" s="3"/>
      <c r="AG1313" s="3">
        <v>36</v>
      </c>
      <c r="AJ1313" s="3">
        <v>36</v>
      </c>
      <c r="AL1313" s="3">
        <f>AJ1313-AG1313</f>
        <v>0</v>
      </c>
      <c r="AM1313" s="3">
        <v>12.71</v>
      </c>
      <c r="AO1313" s="3">
        <f>AM1313-AJ1313</f>
        <v>-23.29</v>
      </c>
      <c r="AQ1313" s="1" t="s">
        <v>285</v>
      </c>
      <c r="AS1313" s="3">
        <v>7.35</v>
      </c>
      <c r="AV1313" s="3">
        <v>8</v>
      </c>
      <c r="AZ1313" s="3">
        <v>9.9700000000000006</v>
      </c>
      <c r="BD1313" s="3">
        <v>10</v>
      </c>
      <c r="BH1313" s="3">
        <v>6.67</v>
      </c>
    </row>
    <row r="1314" spans="1:61">
      <c r="B1314" s="103" t="s">
        <v>733</v>
      </c>
      <c r="C1314" s="1" t="s">
        <v>64</v>
      </c>
      <c r="D1314" s="2"/>
      <c r="E1314" s="2"/>
      <c r="F1314" s="8"/>
      <c r="G1314" s="8"/>
      <c r="H1314" s="8"/>
      <c r="I1314" s="8"/>
      <c r="T1314" s="3"/>
      <c r="U1314" s="3">
        <v>50</v>
      </c>
      <c r="X1314" s="3">
        <v>14.2</v>
      </c>
      <c r="Z1314" s="3">
        <f>X1314-U1314</f>
        <v>-35.799999999999997</v>
      </c>
      <c r="AA1314" s="3">
        <v>25.56</v>
      </c>
      <c r="AC1314" s="3">
        <f>AA1314-X1314</f>
        <v>11.36</v>
      </c>
      <c r="AD1314" s="24">
        <v>15</v>
      </c>
      <c r="AG1314" s="3">
        <v>10.050000000000001</v>
      </c>
      <c r="AI1314" s="3">
        <f>AG1314-AD1314</f>
        <v>-4.9499999999999993</v>
      </c>
      <c r="AJ1314" s="3">
        <v>10.050000000000001</v>
      </c>
      <c r="AL1314" s="3">
        <f>AJ1314-AG1314</f>
        <v>0</v>
      </c>
      <c r="AM1314" s="3">
        <v>7</v>
      </c>
      <c r="AO1314" s="3">
        <f>AM1314-AJ1314</f>
        <v>-3.0500000000000007</v>
      </c>
      <c r="AQ1314" s="1" t="s">
        <v>285</v>
      </c>
      <c r="AS1314" s="3">
        <v>8</v>
      </c>
      <c r="AV1314" s="3">
        <v>8</v>
      </c>
      <c r="AZ1314" s="3">
        <v>9.51</v>
      </c>
      <c r="BD1314" s="3">
        <v>9</v>
      </c>
      <c r="BH1314" s="3">
        <v>14.7</v>
      </c>
    </row>
    <row r="1315" spans="1:61">
      <c r="B1315" s="103" t="s">
        <v>733</v>
      </c>
      <c r="C1315" s="1" t="s">
        <v>855</v>
      </c>
      <c r="D1315" s="2"/>
      <c r="E1315" s="2"/>
      <c r="F1315" s="8"/>
      <c r="G1315" s="8"/>
      <c r="H1315" s="8"/>
      <c r="I1315" s="8"/>
      <c r="T1315" s="3"/>
      <c r="AC1315" s="3"/>
      <c r="AI1315" s="3"/>
      <c r="AL1315" s="3"/>
      <c r="AO1315" s="3"/>
      <c r="AZ1315" s="3">
        <v>9.6999999999999993</v>
      </c>
      <c r="BD1315" s="3">
        <v>9</v>
      </c>
    </row>
    <row r="1316" spans="1:61">
      <c r="B1316" s="103" t="s">
        <v>733</v>
      </c>
      <c r="C1316" s="1" t="s">
        <v>286</v>
      </c>
      <c r="D1316" s="2"/>
      <c r="E1316" s="2"/>
      <c r="F1316" s="8"/>
      <c r="G1316" s="8"/>
      <c r="H1316" s="8"/>
      <c r="I1316" s="8"/>
      <c r="T1316" s="3"/>
      <c r="U1316" s="3">
        <v>50</v>
      </c>
      <c r="AD1316" s="24">
        <v>15</v>
      </c>
      <c r="AQ1316" s="1" t="s">
        <v>285</v>
      </c>
    </row>
    <row r="1317" spans="1:61">
      <c r="B1317" s="103" t="s">
        <v>733</v>
      </c>
      <c r="C1317" s="1" t="s">
        <v>288</v>
      </c>
      <c r="D1317" s="2"/>
      <c r="E1317" s="2"/>
      <c r="F1317" s="8"/>
      <c r="G1317" s="8"/>
      <c r="H1317" s="8"/>
      <c r="I1317" s="8"/>
      <c r="T1317" s="3"/>
      <c r="U1317" s="3">
        <v>50</v>
      </c>
      <c r="X1317" s="3">
        <v>28.4</v>
      </c>
      <c r="Z1317" s="3">
        <f>X1317-U1317</f>
        <v>-21.6</v>
      </c>
      <c r="AA1317" s="3">
        <v>20.23</v>
      </c>
      <c r="AC1317" s="3">
        <f>AA1317-X1317</f>
        <v>-8.1699999999999982</v>
      </c>
      <c r="AD1317" s="24">
        <v>14</v>
      </c>
      <c r="AJ1317" s="3">
        <v>9.0500000000000007</v>
      </c>
      <c r="AL1317" s="3"/>
      <c r="AM1317" s="3">
        <v>6.22</v>
      </c>
      <c r="AO1317" s="3">
        <f>AM1317-AJ1317</f>
        <v>-2.830000000000001</v>
      </c>
      <c r="AQ1317" s="1" t="s">
        <v>285</v>
      </c>
      <c r="AS1317" s="3">
        <v>8</v>
      </c>
      <c r="AV1317" s="3">
        <v>8</v>
      </c>
      <c r="AZ1317" s="3">
        <v>9.91</v>
      </c>
      <c r="BD1317" s="3">
        <v>9</v>
      </c>
      <c r="BH1317" s="3">
        <v>9.56</v>
      </c>
    </row>
    <row r="1318" spans="1:61">
      <c r="A1318" s="6">
        <v>11</v>
      </c>
      <c r="B1318" s="103" t="s">
        <v>733</v>
      </c>
      <c r="C1318" s="1" t="s">
        <v>57</v>
      </c>
      <c r="D1318" s="2">
        <v>24</v>
      </c>
      <c r="E1318" s="2"/>
      <c r="F1318" s="8">
        <v>54</v>
      </c>
      <c r="G1318" s="8"/>
      <c r="H1318" s="8">
        <v>54</v>
      </c>
      <c r="I1318" s="8">
        <f>H1318-D1318</f>
        <v>30</v>
      </c>
      <c r="L1318" s="1" t="s">
        <v>293</v>
      </c>
      <c r="AQ1318" s="1" t="s">
        <v>285</v>
      </c>
    </row>
    <row r="1319" spans="1:61">
      <c r="B1319" s="103" t="s">
        <v>733</v>
      </c>
      <c r="C1319" s="1" t="s">
        <v>287</v>
      </c>
      <c r="D1319" s="2"/>
      <c r="E1319" s="2"/>
      <c r="F1319" s="8"/>
      <c r="G1319" s="8"/>
      <c r="H1319" s="8"/>
      <c r="I1319" s="8"/>
      <c r="T1319" s="3"/>
      <c r="U1319" s="3">
        <v>50</v>
      </c>
      <c r="X1319" s="3">
        <v>21.9</v>
      </c>
      <c r="Z1319" s="3">
        <f>X1319-U1319</f>
        <v>-28.1</v>
      </c>
      <c r="AQ1319" s="1" t="s">
        <v>285</v>
      </c>
      <c r="AS1319" s="3">
        <v>8</v>
      </c>
      <c r="AZ1319" s="3">
        <v>9.93</v>
      </c>
      <c r="BD1319" s="3">
        <v>9</v>
      </c>
      <c r="BH1319" s="3">
        <v>13.47</v>
      </c>
    </row>
    <row r="1320" spans="1:61">
      <c r="A1320" s="6">
        <v>1</v>
      </c>
      <c r="B1320" s="1" t="s">
        <v>734</v>
      </c>
      <c r="C1320" s="1" t="s">
        <v>52</v>
      </c>
      <c r="D1320" s="2"/>
      <c r="E1320" s="2"/>
      <c r="F1320" s="8">
        <v>0</v>
      </c>
      <c r="G1320" s="8"/>
      <c r="H1320" s="8">
        <v>0</v>
      </c>
      <c r="I1320" s="8"/>
      <c r="J1320" s="5"/>
      <c r="P1320" s="1" t="s">
        <v>400</v>
      </c>
      <c r="Y1320" s="1" t="s">
        <v>285</v>
      </c>
      <c r="AW1320" s="1" t="s">
        <v>285</v>
      </c>
    </row>
    <row r="1321" spans="1:61">
      <c r="A1321" s="6">
        <v>3</v>
      </c>
      <c r="B1321" s="1" t="s">
        <v>734</v>
      </c>
      <c r="C1321" s="1" t="s">
        <v>54</v>
      </c>
      <c r="D1321" s="2"/>
      <c r="E1321" s="2"/>
      <c r="F1321" s="8">
        <v>0</v>
      </c>
      <c r="G1321" s="8"/>
      <c r="H1321" s="8">
        <v>0</v>
      </c>
      <c r="I1321" s="8"/>
      <c r="J1321" s="5"/>
      <c r="P1321" s="1" t="s">
        <v>400</v>
      </c>
      <c r="Y1321" s="1" t="s">
        <v>285</v>
      </c>
      <c r="AW1321" s="1" t="s">
        <v>285</v>
      </c>
    </row>
    <row r="1322" spans="1:61">
      <c r="A1322" s="6">
        <v>4</v>
      </c>
      <c r="B1322" s="1" t="s">
        <v>734</v>
      </c>
      <c r="C1322" s="1" t="s">
        <v>55</v>
      </c>
      <c r="D1322" s="2"/>
      <c r="E1322" s="2"/>
      <c r="F1322" s="8">
        <v>0</v>
      </c>
      <c r="G1322" s="8"/>
      <c r="H1322" s="8">
        <v>0</v>
      </c>
      <c r="I1322" s="8"/>
      <c r="J1322" s="5"/>
      <c r="P1322" s="1" t="s">
        <v>400</v>
      </c>
      <c r="Y1322" s="1" t="s">
        <v>285</v>
      </c>
      <c r="AW1322" s="1" t="s">
        <v>285</v>
      </c>
    </row>
    <row r="1323" spans="1:61">
      <c r="A1323" s="6">
        <v>5</v>
      </c>
      <c r="B1323" s="1" t="s">
        <v>734</v>
      </c>
      <c r="C1323" s="1" t="s">
        <v>56</v>
      </c>
      <c r="D1323" s="2"/>
      <c r="E1323" s="2"/>
      <c r="F1323" s="8">
        <v>11.03</v>
      </c>
      <c r="G1323" s="8"/>
      <c r="H1323" s="8">
        <v>11.03</v>
      </c>
      <c r="I1323" s="8"/>
      <c r="J1323" s="5"/>
      <c r="M1323" s="3">
        <v>12.86</v>
      </c>
      <c r="O1323" s="3">
        <v>12.86</v>
      </c>
      <c r="Q1323" s="3">
        <f>O1323-H1323</f>
        <v>1.83</v>
      </c>
      <c r="Y1323" s="1" t="s">
        <v>285</v>
      </c>
      <c r="AW1323" s="1" t="s">
        <v>285</v>
      </c>
    </row>
    <row r="1324" spans="1:61">
      <c r="A1324" s="6">
        <v>2</v>
      </c>
      <c r="B1324" s="1" t="s">
        <v>734</v>
      </c>
      <c r="C1324" s="1" t="s">
        <v>53</v>
      </c>
      <c r="D1324" s="2"/>
      <c r="E1324" s="2"/>
      <c r="F1324" s="8">
        <v>9.1</v>
      </c>
      <c r="G1324" s="8"/>
      <c r="H1324" s="8">
        <v>9.1</v>
      </c>
      <c r="I1324" s="8"/>
      <c r="M1324" s="3">
        <v>9.5500000000000007</v>
      </c>
      <c r="O1324" s="3">
        <v>9.5500000000000007</v>
      </c>
      <c r="Q1324" s="3">
        <f>O1324-H1324</f>
        <v>0.45000000000000107</v>
      </c>
      <c r="Y1324" s="1" t="s">
        <v>285</v>
      </c>
      <c r="AW1324" s="1" t="s">
        <v>285</v>
      </c>
    </row>
    <row r="1325" spans="1:61">
      <c r="B1325" s="1" t="s">
        <v>734</v>
      </c>
      <c r="C1325" s="1" t="s">
        <v>596</v>
      </c>
      <c r="D1325" s="2"/>
      <c r="E1325" s="2"/>
      <c r="F1325" s="8"/>
      <c r="G1325" s="8"/>
      <c r="H1325" s="8"/>
      <c r="I1325" s="8"/>
      <c r="Q1325" s="3"/>
      <c r="R1325" s="3">
        <v>5.88</v>
      </c>
      <c r="U1325" s="3">
        <v>5.88</v>
      </c>
      <c r="W1325" s="3">
        <f>U1325-R1325</f>
        <v>0</v>
      </c>
      <c r="Y1325" s="1" t="s">
        <v>285</v>
      </c>
      <c r="AW1325" s="1" t="s">
        <v>285</v>
      </c>
    </row>
    <row r="1326" spans="1:61">
      <c r="A1326" s="6">
        <v>12</v>
      </c>
      <c r="B1326" s="1" t="s">
        <v>734</v>
      </c>
      <c r="C1326" s="1" t="s">
        <v>594</v>
      </c>
      <c r="D1326" s="2"/>
      <c r="E1326" s="2"/>
      <c r="F1326" s="8">
        <v>4.01</v>
      </c>
      <c r="G1326" s="8"/>
      <c r="H1326" s="8">
        <v>4.01</v>
      </c>
      <c r="I1326" s="8"/>
      <c r="M1326" s="3">
        <v>5.14</v>
      </c>
      <c r="O1326" s="3">
        <v>5.14</v>
      </c>
      <c r="Q1326" s="3">
        <f>O1326-H1326</f>
        <v>1.1299999999999999</v>
      </c>
      <c r="R1326" s="3">
        <v>3.3</v>
      </c>
      <c r="T1326" s="3">
        <f>R1326-O1326</f>
        <v>-1.8399999999999999</v>
      </c>
      <c r="U1326" s="3">
        <v>3.3</v>
      </c>
      <c r="W1326" s="3">
        <f>U1326-R1326</f>
        <v>0</v>
      </c>
      <c r="Y1326" s="1" t="s">
        <v>285</v>
      </c>
      <c r="AA1326" s="3">
        <v>7.35</v>
      </c>
      <c r="AD1326" s="24">
        <v>6.62</v>
      </c>
      <c r="AG1326" s="3">
        <v>11.03</v>
      </c>
      <c r="AI1326" s="3">
        <f>AG1326-AD1326</f>
        <v>4.4099999999999993</v>
      </c>
      <c r="AJ1326" s="3">
        <v>11.03</v>
      </c>
      <c r="AL1326" s="3">
        <f>AJ1326-AG1326</f>
        <v>0</v>
      </c>
      <c r="AM1326" s="3">
        <v>9.02</v>
      </c>
      <c r="AO1326" s="3">
        <f>AM1326-AJ1326</f>
        <v>-2.0099999999999998</v>
      </c>
      <c r="AP1326" s="3">
        <v>4.41</v>
      </c>
      <c r="AS1326" s="3">
        <v>6.25</v>
      </c>
      <c r="AW1326" s="1" t="s">
        <v>285</v>
      </c>
      <c r="AY1326" s="3">
        <v>6.25</v>
      </c>
      <c r="AZ1326" s="3">
        <v>6.62</v>
      </c>
      <c r="BA1326" s="1" t="s">
        <v>852</v>
      </c>
      <c r="BC1326" s="3">
        <v>6.62</v>
      </c>
      <c r="BD1326" s="3">
        <v>6.25</v>
      </c>
      <c r="BE1326" s="1" t="s">
        <v>852</v>
      </c>
      <c r="BG1326" s="3">
        <v>6.25</v>
      </c>
      <c r="BH1326" s="3">
        <v>5</v>
      </c>
      <c r="BI1326" s="1" t="s">
        <v>852</v>
      </c>
    </row>
    <row r="1327" spans="1:61">
      <c r="A1327" s="6">
        <v>14</v>
      </c>
      <c r="B1327" s="1" t="s">
        <v>734</v>
      </c>
      <c r="C1327" s="1" t="s">
        <v>58</v>
      </c>
      <c r="D1327" s="2"/>
      <c r="E1327" s="2"/>
      <c r="F1327" s="8">
        <v>6.25</v>
      </c>
      <c r="G1327" s="8"/>
      <c r="H1327" s="8">
        <v>6.25</v>
      </c>
      <c r="I1327" s="8"/>
      <c r="M1327" s="3">
        <v>6.66</v>
      </c>
      <c r="O1327" s="3">
        <v>6.66</v>
      </c>
      <c r="Q1327" s="3">
        <f>O1327-H1327</f>
        <v>0.41000000000000014</v>
      </c>
      <c r="R1327" s="3">
        <v>9.5500000000000007</v>
      </c>
      <c r="T1327" s="3">
        <f>R1327-O1327</f>
        <v>2.8900000000000006</v>
      </c>
      <c r="U1327" s="3">
        <v>5.88</v>
      </c>
      <c r="W1327" s="3">
        <f>U1327-R1327</f>
        <v>-3.6700000000000008</v>
      </c>
      <c r="Y1327" s="1" t="s">
        <v>285</v>
      </c>
      <c r="AA1327" s="3">
        <v>14.7</v>
      </c>
      <c r="AD1327" s="24">
        <v>9.56</v>
      </c>
      <c r="AG1327" s="3">
        <v>9.56</v>
      </c>
      <c r="AI1327" s="3">
        <f>AG1327-AD1327</f>
        <v>0</v>
      </c>
      <c r="AJ1327" s="3">
        <v>9.56</v>
      </c>
      <c r="AL1327" s="3">
        <f>AJ1327-AG1327</f>
        <v>0</v>
      </c>
      <c r="AM1327" s="3">
        <v>7.35</v>
      </c>
      <c r="AO1327" s="3">
        <f>AM1327-AJ1327</f>
        <v>-2.2100000000000009</v>
      </c>
      <c r="AP1327" s="3">
        <v>7.35</v>
      </c>
      <c r="AS1327" s="3">
        <v>9.19</v>
      </c>
      <c r="AW1327" s="1" t="s">
        <v>285</v>
      </c>
      <c r="AY1327" s="3">
        <v>9.19</v>
      </c>
      <c r="AZ1327" s="3">
        <v>6.62</v>
      </c>
      <c r="BA1327" s="1" t="s">
        <v>852</v>
      </c>
      <c r="BC1327" s="3">
        <v>6.62</v>
      </c>
      <c r="BD1327" s="3">
        <v>8.4499999999999993</v>
      </c>
      <c r="BE1327" s="1" t="s">
        <v>852</v>
      </c>
      <c r="BG1327" s="3">
        <v>8.4499999999999993</v>
      </c>
      <c r="BH1327" s="3">
        <v>5.5</v>
      </c>
      <c r="BI1327" s="1" t="s">
        <v>852</v>
      </c>
    </row>
    <row r="1328" spans="1:61">
      <c r="B1328" s="1" t="s">
        <v>734</v>
      </c>
      <c r="C1328" s="1" t="s">
        <v>606</v>
      </c>
      <c r="D1328" s="2"/>
      <c r="E1328" s="2"/>
      <c r="F1328" s="8"/>
      <c r="G1328" s="8"/>
      <c r="H1328" s="8"/>
      <c r="I1328" s="8"/>
      <c r="Q1328" s="3"/>
      <c r="AI1328" s="3"/>
      <c r="AJ1328" s="3">
        <v>9.5500000000000007</v>
      </c>
      <c r="AW1328" s="1" t="s">
        <v>285</v>
      </c>
    </row>
    <row r="1329" spans="1:61">
      <c r="B1329" s="1" t="s">
        <v>734</v>
      </c>
      <c r="C1329" s="1" t="s">
        <v>289</v>
      </c>
      <c r="D1329" s="2"/>
      <c r="E1329" s="2"/>
      <c r="F1329" s="8"/>
      <c r="G1329" s="8"/>
      <c r="H1329" s="8"/>
      <c r="I1329" s="8"/>
      <c r="Q1329" s="3"/>
      <c r="U1329" s="3">
        <v>10.15</v>
      </c>
      <c r="Y1329" s="1" t="s">
        <v>285</v>
      </c>
      <c r="AD1329" s="24">
        <v>7.7</v>
      </c>
      <c r="AG1329" s="3">
        <v>7.7</v>
      </c>
      <c r="AI1329" s="3">
        <f>AG1329-AD1329</f>
        <v>0</v>
      </c>
      <c r="AJ1329" s="3">
        <v>18.38</v>
      </c>
      <c r="AL1329" s="3">
        <f>AJ1329-AG1329</f>
        <v>10.68</v>
      </c>
      <c r="AM1329" s="3">
        <v>6.55</v>
      </c>
      <c r="AO1329" s="3">
        <f>AM1329-AJ1329</f>
        <v>-11.829999999999998</v>
      </c>
      <c r="AP1329" s="3">
        <v>6.55</v>
      </c>
      <c r="AS1329" s="3">
        <v>5.5</v>
      </c>
      <c r="AW1329" s="1" t="s">
        <v>285</v>
      </c>
      <c r="AY1329" s="3">
        <v>5.5</v>
      </c>
      <c r="AZ1329" s="3">
        <v>10.18</v>
      </c>
      <c r="BA1329" s="1" t="s">
        <v>852</v>
      </c>
      <c r="BC1329" s="3">
        <v>10.18</v>
      </c>
      <c r="BD1329" s="3">
        <v>9.19</v>
      </c>
      <c r="BE1329" s="1" t="s">
        <v>852</v>
      </c>
      <c r="BG1329" s="3">
        <v>9.19</v>
      </c>
      <c r="BH1329" s="3">
        <v>7</v>
      </c>
      <c r="BI1329" s="1" t="s">
        <v>852</v>
      </c>
    </row>
    <row r="1330" spans="1:61">
      <c r="B1330" s="1" t="s">
        <v>734</v>
      </c>
      <c r="C1330" s="1" t="s">
        <v>290</v>
      </c>
      <c r="D1330" s="2"/>
      <c r="E1330" s="2"/>
      <c r="F1330" s="8"/>
      <c r="G1330" s="8"/>
      <c r="H1330" s="8"/>
      <c r="I1330" s="8"/>
      <c r="Q1330" s="3"/>
      <c r="AI1330" s="3"/>
      <c r="AL1330" s="3"/>
      <c r="AM1330" s="3">
        <v>15.12</v>
      </c>
      <c r="AP1330" s="3">
        <v>15.12</v>
      </c>
      <c r="AW1330" s="1" t="s">
        <v>285</v>
      </c>
    </row>
    <row r="1331" spans="1:61">
      <c r="B1331" s="1" t="s">
        <v>734</v>
      </c>
      <c r="C1331" s="1" t="s">
        <v>64</v>
      </c>
      <c r="D1331" s="2"/>
      <c r="E1331" s="2"/>
      <c r="F1331" s="8"/>
      <c r="G1331" s="8"/>
      <c r="H1331" s="8"/>
      <c r="I1331" s="8"/>
      <c r="Q1331" s="3"/>
      <c r="U1331" s="3">
        <v>6.62</v>
      </c>
      <c r="Y1331" s="1" t="s">
        <v>285</v>
      </c>
      <c r="AA1331" s="3">
        <v>14.7</v>
      </c>
      <c r="AD1331" s="24">
        <v>11.08</v>
      </c>
      <c r="AG1331" s="3">
        <v>11.08</v>
      </c>
      <c r="AI1331" s="3">
        <f>AG1331-AD1331</f>
        <v>0</v>
      </c>
      <c r="AJ1331" s="3">
        <v>9.1999999999999993</v>
      </c>
      <c r="AL1331" s="3">
        <f>AJ1331-AG1331</f>
        <v>-1.8800000000000008</v>
      </c>
      <c r="AM1331" s="3">
        <v>9.1999999999999993</v>
      </c>
      <c r="AO1331" s="3">
        <f>AM1331-AJ1331</f>
        <v>0</v>
      </c>
      <c r="AP1331" s="3">
        <v>9.1999999999999993</v>
      </c>
      <c r="AS1331" s="3">
        <v>9.19</v>
      </c>
      <c r="AW1331" s="1" t="s">
        <v>285</v>
      </c>
      <c r="AY1331" s="3">
        <v>9.19</v>
      </c>
      <c r="AZ1331" s="3">
        <v>10.77</v>
      </c>
      <c r="BA1331" s="1" t="s">
        <v>852</v>
      </c>
      <c r="BC1331" s="3">
        <v>10.77</v>
      </c>
      <c r="BD1331" s="3">
        <v>8.85</v>
      </c>
      <c r="BE1331" s="1" t="s">
        <v>852</v>
      </c>
      <c r="BG1331" s="3">
        <v>8.85</v>
      </c>
      <c r="BH1331" s="3">
        <v>8.85</v>
      </c>
      <c r="BI1331" s="1" t="s">
        <v>852</v>
      </c>
    </row>
    <row r="1332" spans="1:61">
      <c r="B1332" s="1" t="s">
        <v>734</v>
      </c>
      <c r="C1332" s="1" t="s">
        <v>855</v>
      </c>
      <c r="D1332" s="2"/>
      <c r="E1332" s="2"/>
      <c r="F1332" s="8"/>
      <c r="G1332" s="8"/>
      <c r="H1332" s="8"/>
      <c r="I1332" s="8"/>
      <c r="Q1332" s="3"/>
      <c r="AI1332" s="3"/>
      <c r="AL1332" s="3"/>
      <c r="AO1332" s="3"/>
      <c r="BH1332" s="3">
        <v>10</v>
      </c>
      <c r="BI1332" s="1" t="s">
        <v>852</v>
      </c>
    </row>
    <row r="1333" spans="1:61">
      <c r="B1333" s="1" t="s">
        <v>734</v>
      </c>
      <c r="C1333" s="1" t="s">
        <v>286</v>
      </c>
      <c r="D1333" s="2"/>
      <c r="E1333" s="2"/>
      <c r="F1333" s="8"/>
      <c r="G1333" s="8"/>
      <c r="H1333" s="8"/>
      <c r="I1333" s="8"/>
      <c r="Q1333" s="3"/>
      <c r="AA1333" s="3">
        <v>14.7</v>
      </c>
      <c r="AD1333" s="24">
        <v>14.7</v>
      </c>
      <c r="AG1333" s="3">
        <v>14.07</v>
      </c>
      <c r="AI1333" s="3">
        <f>AG1333-AD1333</f>
        <v>-0.62999999999999901</v>
      </c>
      <c r="AJ1333" s="3">
        <v>9.1999999999999993</v>
      </c>
      <c r="AL1333" s="3">
        <f>AJ1333-AG1333</f>
        <v>-4.870000000000001</v>
      </c>
      <c r="AP1333" s="3">
        <v>11.08</v>
      </c>
      <c r="AS1333" s="3">
        <v>9.19</v>
      </c>
      <c r="AW1333" s="1" t="s">
        <v>285</v>
      </c>
      <c r="AY1333" s="3">
        <v>9.19</v>
      </c>
      <c r="AZ1333" s="3">
        <v>11.47</v>
      </c>
      <c r="BA1333" s="1" t="s">
        <v>852</v>
      </c>
      <c r="BC1333" s="3">
        <v>11.47</v>
      </c>
      <c r="BD1333" s="3">
        <v>11.06</v>
      </c>
      <c r="BE1333" s="1" t="s">
        <v>852</v>
      </c>
      <c r="BG1333" s="3">
        <v>11.06</v>
      </c>
    </row>
    <row r="1334" spans="1:61">
      <c r="B1334" s="1" t="s">
        <v>734</v>
      </c>
      <c r="C1334" s="1" t="s">
        <v>288</v>
      </c>
      <c r="D1334" s="2"/>
      <c r="E1334" s="2"/>
      <c r="F1334" s="8"/>
      <c r="G1334" s="8"/>
      <c r="H1334" s="8"/>
      <c r="I1334" s="8"/>
      <c r="Q1334" s="3"/>
      <c r="AA1334" s="3">
        <v>14.7</v>
      </c>
      <c r="AD1334" s="24">
        <v>14.7</v>
      </c>
      <c r="AG1334" s="3">
        <v>14.7</v>
      </c>
      <c r="AI1334" s="3">
        <f>AG1334-AD1334</f>
        <v>0</v>
      </c>
      <c r="AJ1334" s="3">
        <v>9.1999999999999993</v>
      </c>
      <c r="AL1334" s="3">
        <f>AJ1334-AG1334</f>
        <v>-5.5</v>
      </c>
      <c r="AM1334" s="3">
        <v>9.1999999999999993</v>
      </c>
      <c r="AO1334" s="3">
        <f>AM1334-AJ1334</f>
        <v>0</v>
      </c>
      <c r="AP1334" s="3">
        <v>9.1999999999999993</v>
      </c>
      <c r="AS1334" s="3">
        <v>9.19</v>
      </c>
      <c r="AW1334" s="1" t="s">
        <v>285</v>
      </c>
      <c r="AY1334" s="3">
        <v>9.19</v>
      </c>
      <c r="AZ1334" s="3">
        <v>10.18</v>
      </c>
      <c r="BA1334" s="1" t="s">
        <v>852</v>
      </c>
      <c r="BC1334" s="3">
        <v>10.18</v>
      </c>
      <c r="BD1334" s="3">
        <v>11.06</v>
      </c>
      <c r="BE1334" s="1" t="s">
        <v>852</v>
      </c>
      <c r="BG1334" s="3">
        <v>11.06</v>
      </c>
      <c r="BH1334" s="3">
        <v>9</v>
      </c>
      <c r="BI1334" s="1" t="s">
        <v>852</v>
      </c>
    </row>
    <row r="1335" spans="1:61">
      <c r="A1335" s="6">
        <v>11</v>
      </c>
      <c r="B1335" s="1" t="s">
        <v>734</v>
      </c>
      <c r="C1335" s="1" t="s">
        <v>57</v>
      </c>
      <c r="D1335" s="2"/>
      <c r="E1335" s="2"/>
      <c r="F1335" s="8">
        <v>11.03</v>
      </c>
      <c r="G1335" s="8"/>
      <c r="H1335" s="8">
        <v>11.03</v>
      </c>
      <c r="I1335" s="8"/>
      <c r="M1335" s="3">
        <v>12.86</v>
      </c>
      <c r="O1335" s="3">
        <v>12.86</v>
      </c>
      <c r="Q1335" s="3">
        <f>O1335-H1335</f>
        <v>1.83</v>
      </c>
      <c r="Y1335" s="1" t="s">
        <v>285</v>
      </c>
      <c r="AW1335" s="1" t="s">
        <v>285</v>
      </c>
    </row>
    <row r="1336" spans="1:61">
      <c r="B1336" s="1" t="s">
        <v>734</v>
      </c>
      <c r="C1336" s="1" t="s">
        <v>287</v>
      </c>
      <c r="D1336" s="2"/>
      <c r="E1336" s="2"/>
      <c r="F1336" s="8"/>
      <c r="G1336" s="8"/>
      <c r="H1336" s="8"/>
      <c r="I1336" s="8"/>
      <c r="Q1336" s="3"/>
      <c r="AI1336" s="3"/>
      <c r="AJ1336" s="3">
        <v>11.08</v>
      </c>
      <c r="AM1336" s="3">
        <v>11.08</v>
      </c>
      <c r="AO1336" s="3">
        <f>AM1336-AJ1336</f>
        <v>0</v>
      </c>
      <c r="AW1336" s="1" t="s">
        <v>285</v>
      </c>
    </row>
    <row r="1337" spans="1:61">
      <c r="A1337" s="6">
        <v>1</v>
      </c>
      <c r="B1337" s="103" t="s">
        <v>464</v>
      </c>
      <c r="C1337" s="1" t="s">
        <v>52</v>
      </c>
      <c r="D1337" s="2">
        <v>5</v>
      </c>
      <c r="E1337" s="2"/>
      <c r="F1337" s="8">
        <v>5</v>
      </c>
      <c r="G1337" s="8"/>
      <c r="H1337" s="8">
        <v>5</v>
      </c>
      <c r="I1337" s="8">
        <f>H1337-D1337</f>
        <v>0</v>
      </c>
      <c r="M1337" s="3">
        <v>10</v>
      </c>
      <c r="O1337" s="3">
        <v>10</v>
      </c>
      <c r="Q1337" s="3">
        <f>O1337-H1337</f>
        <v>5</v>
      </c>
      <c r="R1337" s="2">
        <v>10</v>
      </c>
      <c r="T1337" s="2">
        <f>R1337-O1337</f>
        <v>0</v>
      </c>
      <c r="AH1337" s="1" t="s">
        <v>285</v>
      </c>
    </row>
    <row r="1338" spans="1:61">
      <c r="A1338" s="6">
        <v>3</v>
      </c>
      <c r="B1338" s="103" t="s">
        <v>464</v>
      </c>
      <c r="C1338" s="1" t="s">
        <v>54</v>
      </c>
      <c r="D1338" s="2" t="s">
        <v>685</v>
      </c>
      <c r="E1338" s="2"/>
      <c r="F1338" s="8" t="s">
        <v>685</v>
      </c>
      <c r="G1338" s="8"/>
      <c r="H1338" s="8" t="s">
        <v>685</v>
      </c>
      <c r="I1338" s="8"/>
      <c r="M1338" s="2" t="s">
        <v>685</v>
      </c>
      <c r="O1338" s="2" t="s">
        <v>685</v>
      </c>
      <c r="R1338" s="2" t="s">
        <v>685</v>
      </c>
      <c r="T1338" s="7"/>
      <c r="AH1338" s="1" t="s">
        <v>285</v>
      </c>
    </row>
    <row r="1339" spans="1:61">
      <c r="A1339" s="6">
        <v>4</v>
      </c>
      <c r="B1339" s="103" t="s">
        <v>464</v>
      </c>
      <c r="C1339" s="1" t="s">
        <v>55</v>
      </c>
      <c r="D1339" s="2" t="s">
        <v>685</v>
      </c>
      <c r="E1339" s="2"/>
      <c r="F1339" s="8" t="s">
        <v>685</v>
      </c>
      <c r="G1339" s="8"/>
      <c r="H1339" s="8" t="s">
        <v>685</v>
      </c>
      <c r="I1339" s="8"/>
      <c r="M1339" s="2" t="s">
        <v>685</v>
      </c>
      <c r="O1339" s="2" t="s">
        <v>685</v>
      </c>
      <c r="R1339" s="2" t="s">
        <v>685</v>
      </c>
      <c r="T1339" s="7"/>
      <c r="AH1339" s="1" t="s">
        <v>285</v>
      </c>
    </row>
    <row r="1340" spans="1:61">
      <c r="A1340" s="6">
        <v>5</v>
      </c>
      <c r="B1340" s="103" t="s">
        <v>464</v>
      </c>
      <c r="C1340" s="1" t="s">
        <v>56</v>
      </c>
      <c r="D1340" s="2" t="s">
        <v>685</v>
      </c>
      <c r="E1340" s="2"/>
      <c r="F1340" s="8" t="s">
        <v>685</v>
      </c>
      <c r="G1340" s="8"/>
      <c r="H1340" s="8" t="s">
        <v>685</v>
      </c>
      <c r="I1340" s="8"/>
      <c r="M1340" s="2" t="s">
        <v>685</v>
      </c>
      <c r="O1340" s="2" t="s">
        <v>685</v>
      </c>
      <c r="R1340" s="2" t="s">
        <v>685</v>
      </c>
      <c r="T1340" s="7"/>
      <c r="AH1340" s="1" t="s">
        <v>285</v>
      </c>
    </row>
    <row r="1341" spans="1:61">
      <c r="A1341" s="6">
        <v>2</v>
      </c>
      <c r="B1341" s="103" t="s">
        <v>464</v>
      </c>
      <c r="C1341" s="1" t="s">
        <v>53</v>
      </c>
      <c r="D1341" s="2">
        <v>3.75</v>
      </c>
      <c r="E1341" s="2"/>
      <c r="F1341" s="8">
        <v>3.75</v>
      </c>
      <c r="G1341" s="8"/>
      <c r="H1341" s="8">
        <v>3.75</v>
      </c>
      <c r="I1341" s="8">
        <f>H1341-D1341</f>
        <v>0</v>
      </c>
      <c r="M1341" s="3">
        <v>15</v>
      </c>
      <c r="O1341" s="3">
        <v>15</v>
      </c>
      <c r="Q1341" s="3">
        <f>O1341-H1341</f>
        <v>11.25</v>
      </c>
      <c r="R1341" s="2">
        <v>10</v>
      </c>
      <c r="T1341" s="3">
        <f>R1341-O1341</f>
        <v>-5</v>
      </c>
      <c r="AH1341" s="1" t="s">
        <v>285</v>
      </c>
    </row>
    <row r="1342" spans="1:61">
      <c r="B1342" s="103" t="s">
        <v>464</v>
      </c>
      <c r="C1342" s="1" t="s">
        <v>595</v>
      </c>
      <c r="D1342" s="2"/>
      <c r="E1342" s="2"/>
      <c r="F1342" s="8"/>
      <c r="G1342" s="8"/>
      <c r="H1342" s="8"/>
      <c r="M1342" s="2"/>
      <c r="O1342" s="2"/>
      <c r="R1342" s="2"/>
      <c r="T1342" s="3"/>
      <c r="W1342" s="3"/>
      <c r="AC1342" s="3"/>
      <c r="AJ1342" s="3">
        <v>4</v>
      </c>
      <c r="AL1342" s="3"/>
      <c r="AZ1342" s="3">
        <v>8</v>
      </c>
      <c r="BD1342" s="3">
        <v>8</v>
      </c>
      <c r="BH1342" s="3">
        <v>8</v>
      </c>
    </row>
    <row r="1343" spans="1:61">
      <c r="B1343" s="103" t="s">
        <v>464</v>
      </c>
      <c r="C1343" s="1" t="s">
        <v>700</v>
      </c>
      <c r="D1343" s="2"/>
      <c r="E1343" s="2"/>
      <c r="F1343" s="8"/>
      <c r="G1343" s="8"/>
      <c r="H1343" s="8"/>
      <c r="M1343" s="2"/>
      <c r="O1343" s="2"/>
      <c r="R1343" s="2"/>
      <c r="T1343" s="3"/>
      <c r="W1343" s="3"/>
      <c r="AC1343" s="3"/>
      <c r="AJ1343" s="3">
        <v>4</v>
      </c>
    </row>
    <row r="1344" spans="1:61">
      <c r="A1344" s="6">
        <v>12</v>
      </c>
      <c r="B1344" s="103" t="s">
        <v>464</v>
      </c>
      <c r="C1344" s="1" t="s">
        <v>594</v>
      </c>
      <c r="D1344" s="2">
        <v>3</v>
      </c>
      <c r="E1344" s="2"/>
      <c r="F1344" s="8">
        <v>3</v>
      </c>
      <c r="G1344" s="8"/>
      <c r="H1344" s="8">
        <v>3</v>
      </c>
      <c r="I1344" s="9">
        <f>H1344-D1344</f>
        <v>0</v>
      </c>
      <c r="M1344" s="2">
        <v>15</v>
      </c>
      <c r="O1344" s="2">
        <v>15</v>
      </c>
      <c r="Q1344" s="3">
        <f>O1344-H1344</f>
        <v>12</v>
      </c>
      <c r="R1344" s="2">
        <v>10</v>
      </c>
      <c r="T1344" s="3">
        <f>R1344-O1344</f>
        <v>-5</v>
      </c>
      <c r="U1344" s="3">
        <v>10</v>
      </c>
      <c r="W1344" s="3">
        <f>U1344-R1344</f>
        <v>0</v>
      </c>
      <c r="X1344" s="3">
        <v>10</v>
      </c>
      <c r="AA1344" s="3">
        <v>10</v>
      </c>
      <c r="AC1344" s="3">
        <f>AA1344-X1344</f>
        <v>0</v>
      </c>
      <c r="AD1344" s="24">
        <v>10</v>
      </c>
      <c r="AH1344" s="1" t="s">
        <v>285</v>
      </c>
      <c r="AJ1344" s="3">
        <v>3</v>
      </c>
      <c r="AL1344" s="3"/>
      <c r="AM1344" s="3">
        <v>6</v>
      </c>
      <c r="AO1344" s="3">
        <f>AM1344-AJ1344</f>
        <v>3</v>
      </c>
      <c r="AP1344" s="3">
        <v>6</v>
      </c>
      <c r="AS1344" s="3">
        <v>6</v>
      </c>
      <c r="AV1344" s="3">
        <v>6</v>
      </c>
      <c r="AZ1344" s="3">
        <v>6</v>
      </c>
      <c r="BD1344" s="3">
        <v>6</v>
      </c>
      <c r="BH1344" s="3">
        <v>6</v>
      </c>
    </row>
    <row r="1345" spans="1:61">
      <c r="A1345" s="6">
        <v>14</v>
      </c>
      <c r="B1345" s="103" t="s">
        <v>464</v>
      </c>
      <c r="C1345" s="1" t="s">
        <v>58</v>
      </c>
      <c r="D1345" s="2">
        <v>4.2</v>
      </c>
      <c r="E1345" s="2"/>
      <c r="F1345" s="8">
        <v>4.2</v>
      </c>
      <c r="G1345" s="8"/>
      <c r="H1345" s="8">
        <v>4.2</v>
      </c>
      <c r="I1345" s="9">
        <f>H1345-D1345</f>
        <v>0</v>
      </c>
      <c r="M1345" s="2" t="s">
        <v>685</v>
      </c>
      <c r="O1345" s="2" t="s">
        <v>685</v>
      </c>
      <c r="R1345" s="2">
        <v>10</v>
      </c>
      <c r="T1345" s="3"/>
      <c r="U1345" s="3">
        <v>10</v>
      </c>
      <c r="W1345" s="3">
        <f>U1345-R1345</f>
        <v>0</v>
      </c>
      <c r="X1345" s="3">
        <v>10</v>
      </c>
      <c r="AA1345" s="3">
        <v>10</v>
      </c>
      <c r="AC1345" s="3">
        <f>AA1345-X1345</f>
        <v>0</v>
      </c>
      <c r="AD1345" s="24">
        <v>10</v>
      </c>
      <c r="AH1345" s="1" t="s">
        <v>285</v>
      </c>
      <c r="AM1345" s="3">
        <v>5</v>
      </c>
      <c r="AP1345" s="3">
        <v>5</v>
      </c>
      <c r="AS1345" s="3">
        <v>8</v>
      </c>
      <c r="AV1345" s="3">
        <v>8</v>
      </c>
    </row>
    <row r="1346" spans="1:61">
      <c r="A1346" s="6">
        <v>11</v>
      </c>
      <c r="B1346" s="103" t="s">
        <v>464</v>
      </c>
      <c r="C1346" s="1" t="s">
        <v>57</v>
      </c>
      <c r="D1346" s="2"/>
      <c r="E1346" s="2"/>
      <c r="F1346" s="8" t="s">
        <v>685</v>
      </c>
      <c r="G1346" s="8"/>
      <c r="H1346" s="8" t="s">
        <v>685</v>
      </c>
      <c r="I1346" s="8"/>
      <c r="M1346" s="2" t="s">
        <v>685</v>
      </c>
      <c r="O1346" s="2" t="s">
        <v>685</v>
      </c>
      <c r="R1346" s="2" t="s">
        <v>685</v>
      </c>
      <c r="T1346" s="7"/>
      <c r="AH1346" s="1" t="s">
        <v>285</v>
      </c>
    </row>
    <row r="1347" spans="1:61">
      <c r="A1347" s="6">
        <v>1</v>
      </c>
      <c r="B1347" s="103" t="s">
        <v>735</v>
      </c>
      <c r="C1347" s="1" t="s">
        <v>52</v>
      </c>
      <c r="D1347" s="2"/>
      <c r="E1347" s="2"/>
      <c r="F1347" s="8">
        <v>0</v>
      </c>
      <c r="G1347" s="8"/>
      <c r="H1347" s="8">
        <v>0</v>
      </c>
      <c r="I1347" s="8"/>
    </row>
    <row r="1348" spans="1:61">
      <c r="A1348" s="6">
        <v>3</v>
      </c>
      <c r="B1348" s="103" t="s">
        <v>735</v>
      </c>
      <c r="C1348" s="1" t="s">
        <v>54</v>
      </c>
      <c r="D1348" s="2"/>
      <c r="E1348" s="2"/>
      <c r="F1348" s="8">
        <v>0</v>
      </c>
      <c r="G1348" s="8"/>
      <c r="H1348" s="8">
        <v>0</v>
      </c>
      <c r="I1348" s="8"/>
    </row>
    <row r="1349" spans="1:61">
      <c r="A1349" s="6">
        <v>4</v>
      </c>
      <c r="B1349" s="103" t="s">
        <v>735</v>
      </c>
      <c r="C1349" s="1" t="s">
        <v>55</v>
      </c>
      <c r="D1349" s="2"/>
      <c r="E1349" s="2"/>
      <c r="F1349" s="8">
        <v>0</v>
      </c>
      <c r="G1349" s="8"/>
      <c r="H1349" s="8">
        <v>0</v>
      </c>
      <c r="I1349" s="8"/>
    </row>
    <row r="1350" spans="1:61">
      <c r="A1350" s="6">
        <v>5</v>
      </c>
      <c r="B1350" s="103" t="s">
        <v>735</v>
      </c>
      <c r="C1350" s="1" t="s">
        <v>56</v>
      </c>
      <c r="D1350" s="2"/>
      <c r="E1350" s="2"/>
      <c r="F1350" s="8">
        <v>0</v>
      </c>
      <c r="G1350" s="8"/>
      <c r="H1350" s="8">
        <v>0</v>
      </c>
      <c r="I1350" s="8"/>
    </row>
    <row r="1351" spans="1:61">
      <c r="A1351" s="6">
        <v>2</v>
      </c>
      <c r="B1351" s="103" t="s">
        <v>735</v>
      </c>
      <c r="C1351" s="1" t="s">
        <v>53</v>
      </c>
      <c r="D1351" s="2">
        <v>20</v>
      </c>
      <c r="E1351" s="2"/>
      <c r="F1351" s="8">
        <v>4.04</v>
      </c>
      <c r="G1351" s="8"/>
      <c r="H1351" s="8">
        <v>4.04</v>
      </c>
      <c r="I1351" s="10">
        <f>H1351-D1351</f>
        <v>-15.96</v>
      </c>
      <c r="K1351" s="3"/>
      <c r="M1351" s="3">
        <v>25</v>
      </c>
      <c r="O1351" s="3">
        <v>25</v>
      </c>
      <c r="Q1351" s="3">
        <f>O1351-H1351</f>
        <v>20.96</v>
      </c>
      <c r="R1351" s="3">
        <v>4.04</v>
      </c>
      <c r="T1351" s="3">
        <f>R1351-O1351</f>
        <v>-20.96</v>
      </c>
      <c r="U1351" s="3">
        <v>4.04</v>
      </c>
      <c r="W1351" s="3">
        <f>U1351-R1351</f>
        <v>0</v>
      </c>
      <c r="AA1351" s="3">
        <v>4.04</v>
      </c>
      <c r="AD1351" s="24">
        <v>4.04</v>
      </c>
      <c r="AG1351" s="3">
        <v>4.04</v>
      </c>
    </row>
    <row r="1352" spans="1:61">
      <c r="A1352" s="6">
        <v>12</v>
      </c>
      <c r="B1352" s="103" t="s">
        <v>735</v>
      </c>
      <c r="C1352" s="1" t="s">
        <v>594</v>
      </c>
      <c r="D1352" s="2">
        <v>6</v>
      </c>
      <c r="E1352" s="2"/>
      <c r="F1352" s="8">
        <v>2.4500000000000002</v>
      </c>
      <c r="G1352" s="8"/>
      <c r="H1352" s="8">
        <v>2.4500000000000002</v>
      </c>
      <c r="I1352" s="8">
        <f>H1352-D1352</f>
        <v>-3.55</v>
      </c>
      <c r="K1352" s="3"/>
      <c r="M1352" s="3">
        <v>7</v>
      </c>
      <c r="O1352" s="3">
        <v>7</v>
      </c>
      <c r="Q1352" s="3">
        <f>O1352-H1352</f>
        <v>4.55</v>
      </c>
      <c r="R1352" s="3">
        <v>2.4500000000000002</v>
      </c>
      <c r="T1352" s="3">
        <f>R1352-O1352</f>
        <v>-4.55</v>
      </c>
      <c r="U1352" s="3">
        <v>3.8</v>
      </c>
      <c r="W1352" s="3">
        <f>U1352-R1352</f>
        <v>1.3499999999999996</v>
      </c>
      <c r="X1352" s="3">
        <v>4</v>
      </c>
      <c r="AA1352" s="3">
        <v>3.8</v>
      </c>
      <c r="AC1352" s="3">
        <f>AA1352-X1352</f>
        <v>-0.20000000000000018</v>
      </c>
      <c r="AD1352" s="24">
        <v>3.8</v>
      </c>
      <c r="AG1352" s="3">
        <v>3.8</v>
      </c>
      <c r="AI1352" s="3">
        <f>AG1352-AD1352</f>
        <v>0</v>
      </c>
      <c r="AJ1352" s="3">
        <v>3.8</v>
      </c>
      <c r="AL1352" s="3">
        <f>AJ1352-AG1352</f>
        <v>0</v>
      </c>
      <c r="AM1352" s="3">
        <v>4</v>
      </c>
      <c r="AO1352" s="3">
        <f>AM1352-AJ1352</f>
        <v>0.20000000000000018</v>
      </c>
      <c r="AP1352" s="3">
        <v>5</v>
      </c>
      <c r="AS1352" s="3">
        <v>5</v>
      </c>
      <c r="AV1352" s="3">
        <v>5</v>
      </c>
      <c r="AZ1352" s="3">
        <v>6.5</v>
      </c>
      <c r="BA1352" s="1" t="s">
        <v>852</v>
      </c>
      <c r="BD1352" s="3">
        <v>8.3000000000000007</v>
      </c>
      <c r="BE1352" s="1" t="s">
        <v>852</v>
      </c>
      <c r="BG1352" s="3">
        <v>8.3000000000000007</v>
      </c>
      <c r="BH1352" s="3">
        <v>8.8000000000000007</v>
      </c>
      <c r="BI1352" s="1" t="s">
        <v>852</v>
      </c>
    </row>
    <row r="1353" spans="1:61">
      <c r="A1353" s="6">
        <v>14</v>
      </c>
      <c r="B1353" s="103" t="s">
        <v>735</v>
      </c>
      <c r="C1353" s="1" t="s">
        <v>58</v>
      </c>
      <c r="D1353" s="2">
        <v>42.4</v>
      </c>
      <c r="E1353" s="2"/>
      <c r="F1353" s="8">
        <v>8.83</v>
      </c>
      <c r="G1353" s="8"/>
      <c r="H1353" s="8">
        <v>8.83</v>
      </c>
      <c r="I1353" s="8">
        <f>H1353-D1353</f>
        <v>-33.57</v>
      </c>
      <c r="K1353" s="3"/>
      <c r="R1353" s="3">
        <v>8.3800000000000008</v>
      </c>
      <c r="T1353" s="3"/>
      <c r="U1353" s="3">
        <v>18.399999999999999</v>
      </c>
      <c r="W1353" s="3">
        <f>U1353-R1353</f>
        <v>10.019999999999998</v>
      </c>
      <c r="X1353" s="3">
        <v>22</v>
      </c>
      <c r="AA1353" s="3">
        <v>18.399999999999999</v>
      </c>
      <c r="AC1353" s="3">
        <f>AA1353-X1353</f>
        <v>-3.6000000000000014</v>
      </c>
      <c r="AD1353" s="24">
        <v>18.399999999999999</v>
      </c>
      <c r="AG1353" s="3">
        <v>18.399999999999999</v>
      </c>
      <c r="AI1353" s="3">
        <f>AG1353-AD1353</f>
        <v>0</v>
      </c>
      <c r="AJ1353" s="3">
        <v>18.399999999999999</v>
      </c>
      <c r="AL1353" s="3">
        <f>AJ1353-AG1353</f>
        <v>0</v>
      </c>
      <c r="AM1353" s="3">
        <v>18</v>
      </c>
      <c r="AO1353" s="3">
        <f>AM1353-AJ1353</f>
        <v>-0.39999999999999858</v>
      </c>
      <c r="AP1353" s="3">
        <v>18</v>
      </c>
      <c r="AS1353" s="3">
        <v>20</v>
      </c>
      <c r="AV1353" s="3">
        <v>20</v>
      </c>
      <c r="AZ1353" s="3">
        <v>12.6</v>
      </c>
      <c r="BA1353" s="1" t="s">
        <v>852</v>
      </c>
      <c r="BD1353" s="3">
        <v>16.38</v>
      </c>
      <c r="BE1353" s="1" t="s">
        <v>852</v>
      </c>
    </row>
    <row r="1354" spans="1:61">
      <c r="B1354" s="103" t="s">
        <v>735</v>
      </c>
      <c r="C1354" s="1" t="s">
        <v>856</v>
      </c>
      <c r="D1354" s="2"/>
      <c r="E1354" s="2"/>
      <c r="F1354" s="8"/>
      <c r="G1354" s="8"/>
      <c r="H1354" s="8"/>
      <c r="I1354" s="8"/>
      <c r="K1354" s="3"/>
      <c r="T1354" s="3"/>
      <c r="W1354" s="3"/>
      <c r="AC1354" s="3"/>
      <c r="AI1354" s="3"/>
      <c r="AL1354" s="3"/>
      <c r="AO1354" s="3"/>
      <c r="BG1354" s="3">
        <v>16.38</v>
      </c>
      <c r="BH1354" s="3">
        <v>16.5</v>
      </c>
      <c r="BI1354" s="1" t="s">
        <v>852</v>
      </c>
    </row>
    <row r="1355" spans="1:61">
      <c r="B1355" s="103" t="s">
        <v>735</v>
      </c>
      <c r="C1355" s="1" t="s">
        <v>857</v>
      </c>
      <c r="D1355" s="2"/>
      <c r="E1355" s="2"/>
      <c r="F1355" s="8"/>
      <c r="G1355" s="8"/>
      <c r="H1355" s="8"/>
      <c r="I1355" s="8"/>
      <c r="K1355" s="3"/>
      <c r="Q1355" s="3"/>
      <c r="T1355" s="3"/>
      <c r="W1355" s="3"/>
      <c r="AC1355" s="3"/>
      <c r="AI1355" s="3"/>
      <c r="AL1355" s="3"/>
      <c r="AO1355" s="3"/>
      <c r="BH1355" s="3">
        <v>91.3</v>
      </c>
      <c r="BI1355" s="1" t="s">
        <v>852</v>
      </c>
    </row>
    <row r="1356" spans="1:61">
      <c r="B1356" s="103" t="s">
        <v>735</v>
      </c>
      <c r="C1356" s="1" t="s">
        <v>289</v>
      </c>
      <c r="D1356" s="2"/>
      <c r="E1356" s="2"/>
      <c r="F1356" s="8"/>
      <c r="G1356" s="8"/>
      <c r="H1356" s="8"/>
      <c r="I1356" s="8"/>
      <c r="K1356" s="3"/>
      <c r="T1356" s="3"/>
      <c r="U1356" s="3">
        <v>39</v>
      </c>
      <c r="AA1356" s="3">
        <v>39</v>
      </c>
      <c r="AD1356" s="24">
        <v>39</v>
      </c>
      <c r="AG1356" s="3">
        <v>39</v>
      </c>
      <c r="AI1356" s="3">
        <f>AG1356-AD1356</f>
        <v>0</v>
      </c>
      <c r="AJ1356" s="3">
        <v>39</v>
      </c>
      <c r="AL1356" s="3">
        <f>AJ1356-AG1356</f>
        <v>0</v>
      </c>
      <c r="AM1356" s="3">
        <v>39</v>
      </c>
      <c r="AO1356" s="3">
        <f>AM1356-AJ1356</f>
        <v>0</v>
      </c>
      <c r="AP1356" s="3">
        <v>39</v>
      </c>
      <c r="AS1356" s="3">
        <v>40</v>
      </c>
      <c r="AV1356" s="3">
        <v>40</v>
      </c>
      <c r="AZ1356" s="3">
        <v>22.3</v>
      </c>
      <c r="BA1356" s="1" t="s">
        <v>852</v>
      </c>
      <c r="BD1356" s="3">
        <v>23.4</v>
      </c>
      <c r="BE1356" s="1" t="s">
        <v>852</v>
      </c>
      <c r="BG1356" s="3">
        <v>29.72</v>
      </c>
      <c r="BH1356" s="3">
        <v>24</v>
      </c>
      <c r="BI1356" s="1" t="s">
        <v>852</v>
      </c>
    </row>
    <row r="1357" spans="1:61">
      <c r="B1357" s="103" t="s">
        <v>735</v>
      </c>
      <c r="C1357" s="1" t="s">
        <v>290</v>
      </c>
      <c r="D1357" s="2"/>
      <c r="E1357" s="2"/>
      <c r="F1357" s="8"/>
      <c r="G1357" s="8"/>
      <c r="H1357" s="8"/>
      <c r="I1357" s="8"/>
      <c r="K1357" s="3"/>
      <c r="T1357" s="3"/>
      <c r="AI1357" s="3"/>
      <c r="AJ1357" s="3">
        <v>40</v>
      </c>
      <c r="AM1357" s="3">
        <v>40</v>
      </c>
      <c r="AO1357" s="3">
        <f>AM1357-AJ1357</f>
        <v>0</v>
      </c>
      <c r="AP1357" s="3">
        <v>40</v>
      </c>
      <c r="AS1357" s="3">
        <v>44</v>
      </c>
      <c r="AV1357" s="3">
        <v>44</v>
      </c>
      <c r="AZ1357" s="3">
        <v>30</v>
      </c>
      <c r="BA1357" s="1" t="s">
        <v>852</v>
      </c>
      <c r="BD1357" s="3">
        <v>32.5</v>
      </c>
      <c r="BE1357" s="1" t="s">
        <v>852</v>
      </c>
      <c r="BG1357" s="3">
        <v>29.72</v>
      </c>
      <c r="BH1357" s="3">
        <v>32.9</v>
      </c>
      <c r="BI1357" s="1" t="s">
        <v>852</v>
      </c>
    </row>
    <row r="1358" spans="1:61">
      <c r="B1358" s="103" t="s">
        <v>735</v>
      </c>
      <c r="C1358" s="1" t="s">
        <v>64</v>
      </c>
      <c r="D1358" s="2"/>
      <c r="E1358" s="2"/>
      <c r="F1358" s="8"/>
      <c r="G1358" s="8"/>
      <c r="H1358" s="8"/>
      <c r="I1358" s="8"/>
      <c r="K1358" s="3"/>
      <c r="R1358" s="3">
        <v>8.23</v>
      </c>
      <c r="T1358" s="3"/>
      <c r="U1358" s="3">
        <v>27.5</v>
      </c>
      <c r="W1358" s="3">
        <f>U1358-R1358</f>
        <v>19.27</v>
      </c>
      <c r="X1358" s="3">
        <v>33</v>
      </c>
      <c r="AA1358" s="3">
        <v>27.5</v>
      </c>
      <c r="AC1358" s="3">
        <f>AA1358-X1358</f>
        <v>-5.5</v>
      </c>
      <c r="AD1358" s="24">
        <v>27.5</v>
      </c>
      <c r="AG1358" s="3">
        <v>27.5</v>
      </c>
      <c r="AI1358" s="3">
        <f>AG1358-AD1358</f>
        <v>0</v>
      </c>
      <c r="AJ1358" s="3">
        <v>27.5</v>
      </c>
      <c r="AL1358" s="3">
        <f>AJ1358-AG1358</f>
        <v>0</v>
      </c>
      <c r="AM1358" s="3">
        <v>28</v>
      </c>
      <c r="AO1358" s="3">
        <f>AM1358-AJ1358</f>
        <v>0.5</v>
      </c>
      <c r="AP1358" s="3">
        <v>28</v>
      </c>
      <c r="AS1358" s="3">
        <v>30</v>
      </c>
      <c r="AV1358" s="3">
        <v>30</v>
      </c>
      <c r="AZ1358" s="3">
        <v>20.2</v>
      </c>
      <c r="BA1358" s="1" t="s">
        <v>852</v>
      </c>
      <c r="BD1358" s="3">
        <v>26.26</v>
      </c>
      <c r="BE1358" s="1" t="s">
        <v>852</v>
      </c>
      <c r="BG1358" s="3">
        <v>26.26</v>
      </c>
      <c r="BH1358" s="3">
        <v>26.5</v>
      </c>
      <c r="BI1358" s="1" t="s">
        <v>852</v>
      </c>
    </row>
    <row r="1359" spans="1:61">
      <c r="B1359" s="103" t="s">
        <v>735</v>
      </c>
      <c r="C1359" s="1" t="s">
        <v>286</v>
      </c>
      <c r="D1359" s="2"/>
      <c r="E1359" s="2"/>
      <c r="F1359" s="8"/>
      <c r="G1359" s="8"/>
      <c r="H1359" s="8"/>
      <c r="I1359" s="8"/>
      <c r="K1359" s="3"/>
      <c r="R1359" s="3">
        <v>8.1999999999999993</v>
      </c>
      <c r="T1359" s="3"/>
      <c r="U1359" s="3">
        <v>13.6</v>
      </c>
      <c r="W1359" s="3">
        <f>U1359-R1359</f>
        <v>5.4</v>
      </c>
      <c r="X1359" s="3">
        <v>25</v>
      </c>
      <c r="AA1359" s="3">
        <v>13.6</v>
      </c>
      <c r="AC1359" s="3">
        <f>AA1359-X1359</f>
        <v>-11.4</v>
      </c>
      <c r="AD1359" s="24">
        <v>13.6</v>
      </c>
      <c r="AG1359" s="3">
        <v>13.6</v>
      </c>
      <c r="AI1359" s="3">
        <f>AG1359-AD1359</f>
        <v>0</v>
      </c>
      <c r="AJ1359" s="3">
        <v>13.16</v>
      </c>
      <c r="AL1359" s="3">
        <f>AJ1359-AG1359</f>
        <v>-0.4399999999999995</v>
      </c>
      <c r="AM1359" s="3">
        <v>13</v>
      </c>
      <c r="AO1359" s="3">
        <f>AM1359-AJ1359</f>
        <v>-0.16000000000000014</v>
      </c>
      <c r="AP1359" s="3">
        <v>13</v>
      </c>
      <c r="AS1359" s="3">
        <v>12</v>
      </c>
      <c r="AV1359" s="3">
        <v>20</v>
      </c>
      <c r="AZ1359" s="3">
        <v>21</v>
      </c>
      <c r="BA1359" s="1" t="s">
        <v>852</v>
      </c>
      <c r="BD1359" s="3">
        <v>28.42</v>
      </c>
      <c r="BE1359" s="1" t="s">
        <v>852</v>
      </c>
      <c r="BG1359" s="3">
        <v>28.42</v>
      </c>
      <c r="BH1359" s="3">
        <v>15.3</v>
      </c>
      <c r="BI1359" s="1" t="s">
        <v>852</v>
      </c>
    </row>
    <row r="1360" spans="1:61" ht="9.6" customHeight="1">
      <c r="B1360" s="103" t="s">
        <v>735</v>
      </c>
      <c r="C1360" s="1" t="s">
        <v>288</v>
      </c>
      <c r="D1360" s="2"/>
      <c r="E1360" s="2"/>
      <c r="F1360" s="8"/>
      <c r="G1360" s="8"/>
      <c r="H1360" s="8"/>
      <c r="I1360" s="8"/>
      <c r="K1360" s="3"/>
      <c r="T1360" s="3"/>
      <c r="U1360" s="3">
        <v>25.7</v>
      </c>
      <c r="X1360" s="3">
        <v>30</v>
      </c>
      <c r="AA1360" s="3">
        <v>25.7</v>
      </c>
      <c r="AC1360" s="3">
        <f>AA1360-X1360</f>
        <v>-4.3000000000000007</v>
      </c>
      <c r="AD1360" s="24">
        <v>25.7</v>
      </c>
      <c r="AG1360" s="3">
        <v>25.7</v>
      </c>
      <c r="AI1360" s="3">
        <f>AG1360-AD1360</f>
        <v>0</v>
      </c>
      <c r="AJ1360" s="3">
        <v>25.7</v>
      </c>
      <c r="AL1360" s="3">
        <f>AJ1360-AG1360</f>
        <v>0</v>
      </c>
      <c r="AM1360" s="3">
        <v>26</v>
      </c>
      <c r="AO1360" s="3">
        <f>AM1360-AJ1360</f>
        <v>0.30000000000000071</v>
      </c>
      <c r="AP1360" s="3">
        <v>26</v>
      </c>
      <c r="AS1360" s="3">
        <v>18</v>
      </c>
      <c r="AV1360" s="3">
        <v>20</v>
      </c>
      <c r="AZ1360" s="3">
        <v>22</v>
      </c>
      <c r="BA1360" s="1" t="s">
        <v>852</v>
      </c>
      <c r="BD1360" s="3">
        <v>29.72</v>
      </c>
      <c r="BE1360" s="1" t="s">
        <v>852</v>
      </c>
      <c r="BG1360" s="3">
        <v>29.72</v>
      </c>
      <c r="BH1360" s="3">
        <v>21.5</v>
      </c>
      <c r="BI1360" s="1" t="s">
        <v>852</v>
      </c>
    </row>
    <row r="1361" spans="1:61">
      <c r="A1361" s="6">
        <v>11</v>
      </c>
      <c r="B1361" s="103" t="s">
        <v>735</v>
      </c>
      <c r="C1361" s="1" t="s">
        <v>57</v>
      </c>
      <c r="D1361" s="2">
        <v>40</v>
      </c>
      <c r="E1361" s="2"/>
      <c r="F1361" s="8">
        <v>11.85</v>
      </c>
      <c r="G1361" s="8"/>
      <c r="H1361" s="8">
        <v>11.85</v>
      </c>
      <c r="I1361" s="8">
        <f>H1361-D1361</f>
        <v>-28.15</v>
      </c>
      <c r="K1361" s="3"/>
      <c r="M1361" s="3">
        <v>40</v>
      </c>
      <c r="O1361" s="3">
        <v>40</v>
      </c>
      <c r="Q1361" s="3">
        <f>O1361-H1361</f>
        <v>28.15</v>
      </c>
      <c r="R1361" s="3">
        <v>11.85</v>
      </c>
      <c r="T1361" s="3">
        <f>R1361-O1361</f>
        <v>-28.15</v>
      </c>
      <c r="U1361" s="3">
        <v>11.85</v>
      </c>
      <c r="W1361" s="3">
        <f>U1361-R1361</f>
        <v>0</v>
      </c>
      <c r="X1361" s="3">
        <v>10</v>
      </c>
      <c r="AA1361" s="3">
        <v>11.85</v>
      </c>
      <c r="AC1361" s="3">
        <f>AA1361-X1361</f>
        <v>1.8499999999999996</v>
      </c>
      <c r="AD1361" s="24">
        <v>11.85</v>
      </c>
      <c r="AG1361" s="3">
        <v>11.85</v>
      </c>
    </row>
    <row r="1362" spans="1:61">
      <c r="B1362" s="103" t="s">
        <v>735</v>
      </c>
      <c r="C1362" s="1" t="s">
        <v>287</v>
      </c>
      <c r="D1362" s="2"/>
      <c r="E1362" s="2"/>
      <c r="F1362" s="8"/>
      <c r="G1362" s="8"/>
      <c r="H1362" s="8"/>
      <c r="I1362" s="8"/>
      <c r="K1362" s="3"/>
      <c r="Q1362" s="3"/>
      <c r="T1362" s="3"/>
      <c r="W1362" s="3"/>
      <c r="AC1362" s="3"/>
      <c r="AV1362" s="3">
        <v>16</v>
      </c>
      <c r="BH1362" s="3">
        <v>24.2</v>
      </c>
      <c r="BI1362" s="1" t="s">
        <v>852</v>
      </c>
    </row>
    <row r="1363" spans="1:61">
      <c r="A1363" s="6">
        <v>1</v>
      </c>
      <c r="B1363" s="1" t="s">
        <v>679</v>
      </c>
      <c r="C1363" s="1" t="s">
        <v>52</v>
      </c>
      <c r="D1363" s="2"/>
      <c r="E1363" s="2"/>
      <c r="F1363" s="8">
        <v>9.6999999999999993</v>
      </c>
      <c r="G1363" s="8"/>
      <c r="H1363" s="8">
        <v>9.6999999999999993</v>
      </c>
      <c r="I1363" s="8"/>
      <c r="M1363" s="3">
        <v>7.7</v>
      </c>
      <c r="O1363" s="3">
        <v>7.7</v>
      </c>
      <c r="Q1363" s="3">
        <f>O1363-H1363</f>
        <v>-1.9999999999999991</v>
      </c>
    </row>
    <row r="1364" spans="1:61">
      <c r="A1364" s="6">
        <v>3</v>
      </c>
      <c r="B1364" s="1" t="s">
        <v>679</v>
      </c>
      <c r="C1364" s="1" t="s">
        <v>54</v>
      </c>
      <c r="D1364" s="2"/>
      <c r="E1364" s="2"/>
      <c r="F1364" s="8">
        <v>0</v>
      </c>
      <c r="G1364" s="8"/>
      <c r="H1364" s="8">
        <v>0</v>
      </c>
      <c r="I1364" s="8"/>
      <c r="M1364" s="2" t="s">
        <v>685</v>
      </c>
      <c r="N1364" s="2"/>
      <c r="O1364" s="2" t="s">
        <v>685</v>
      </c>
    </row>
    <row r="1365" spans="1:61">
      <c r="A1365" s="6">
        <v>4</v>
      </c>
      <c r="B1365" s="1" t="s">
        <v>679</v>
      </c>
      <c r="C1365" s="1" t="s">
        <v>55</v>
      </c>
      <c r="D1365" s="2"/>
      <c r="E1365" s="2"/>
      <c r="F1365" s="8">
        <v>0</v>
      </c>
      <c r="G1365" s="8"/>
      <c r="H1365" s="8">
        <v>0</v>
      </c>
      <c r="I1365" s="8"/>
      <c r="M1365" s="2" t="s">
        <v>685</v>
      </c>
      <c r="N1365" s="2"/>
      <c r="O1365" s="2" t="s">
        <v>685</v>
      </c>
    </row>
    <row r="1366" spans="1:61">
      <c r="A1366" s="6">
        <v>5</v>
      </c>
      <c r="B1366" s="1" t="s">
        <v>679</v>
      </c>
      <c r="C1366" s="1" t="s">
        <v>56</v>
      </c>
      <c r="D1366" s="2"/>
      <c r="E1366" s="2"/>
      <c r="F1366" s="8">
        <v>0</v>
      </c>
      <c r="G1366" s="8"/>
      <c r="H1366" s="8">
        <v>0</v>
      </c>
      <c r="I1366" s="8"/>
      <c r="M1366" s="2" t="s">
        <v>685</v>
      </c>
      <c r="N1366" s="2"/>
      <c r="O1366" s="2" t="s">
        <v>685</v>
      </c>
    </row>
    <row r="1367" spans="1:61">
      <c r="A1367" s="6">
        <v>2</v>
      </c>
      <c r="B1367" s="1" t="s">
        <v>679</v>
      </c>
      <c r="C1367" s="1" t="s">
        <v>53</v>
      </c>
      <c r="D1367" s="2"/>
      <c r="E1367" s="2"/>
      <c r="F1367" s="8">
        <v>13.4</v>
      </c>
      <c r="G1367" s="8"/>
      <c r="H1367" s="8">
        <v>13.4</v>
      </c>
      <c r="I1367" s="8"/>
      <c r="L1367" s="1" t="s">
        <v>530</v>
      </c>
      <c r="M1367" s="3">
        <v>10.199999999999999</v>
      </c>
      <c r="O1367" s="3">
        <v>10.199999999999999</v>
      </c>
      <c r="Q1367" s="3">
        <f>O1367-H1367</f>
        <v>-3.2000000000000011</v>
      </c>
    </row>
    <row r="1368" spans="1:61">
      <c r="A1368" s="6">
        <v>12</v>
      </c>
      <c r="B1368" s="1" t="s">
        <v>679</v>
      </c>
      <c r="C1368" s="1" t="s">
        <v>594</v>
      </c>
      <c r="D1368" s="2"/>
      <c r="E1368" s="2"/>
      <c r="F1368" s="8">
        <v>13.1</v>
      </c>
      <c r="G1368" s="8"/>
      <c r="H1368" s="8">
        <v>13.1</v>
      </c>
      <c r="I1368" s="8"/>
      <c r="L1368" s="1" t="s">
        <v>517</v>
      </c>
      <c r="M1368" s="3">
        <v>8</v>
      </c>
      <c r="O1368" s="3">
        <v>8</v>
      </c>
      <c r="Q1368" s="3">
        <f>O1368-H1368</f>
        <v>-5.0999999999999996</v>
      </c>
      <c r="R1368" s="3">
        <v>8</v>
      </c>
      <c r="T1368" s="3">
        <f>R1368-O1368</f>
        <v>0</v>
      </c>
      <c r="U1368" s="3">
        <v>8.5</v>
      </c>
      <c r="W1368" s="3">
        <f>U1368-R1368</f>
        <v>0.5</v>
      </c>
      <c r="AD1368" s="24">
        <v>10</v>
      </c>
      <c r="AG1368" s="3">
        <v>9</v>
      </c>
      <c r="AI1368" s="3">
        <f>AG1368-AD1368</f>
        <v>-1</v>
      </c>
      <c r="AJ1368" s="3">
        <v>10</v>
      </c>
      <c r="AL1368" s="3">
        <f>AJ1368-AG1368</f>
        <v>1</v>
      </c>
      <c r="AM1368" s="3">
        <v>6</v>
      </c>
      <c r="AO1368" s="3">
        <f>AM1368-AJ1368</f>
        <v>-4</v>
      </c>
      <c r="AP1368" s="3">
        <v>5</v>
      </c>
      <c r="AS1368" s="3">
        <v>6</v>
      </c>
      <c r="AV1368" s="3">
        <v>8</v>
      </c>
      <c r="AY1368" s="3">
        <v>8</v>
      </c>
      <c r="AZ1368" s="3">
        <v>7</v>
      </c>
      <c r="BC1368" s="3">
        <v>7</v>
      </c>
      <c r="BD1368" s="3">
        <v>7</v>
      </c>
      <c r="BG1368" s="3">
        <v>7</v>
      </c>
      <c r="BH1368" s="3">
        <v>9.6999999999999993</v>
      </c>
    </row>
    <row r="1369" spans="1:61">
      <c r="A1369" s="6">
        <v>14</v>
      </c>
      <c r="B1369" s="1" t="s">
        <v>679</v>
      </c>
      <c r="C1369" s="1" t="s">
        <v>58</v>
      </c>
      <c r="D1369" s="2"/>
      <c r="E1369" s="2"/>
      <c r="F1369" s="8">
        <v>18.8</v>
      </c>
      <c r="G1369" s="8"/>
      <c r="H1369" s="8">
        <v>18.8</v>
      </c>
      <c r="I1369" s="8"/>
      <c r="L1369" s="1" t="s">
        <v>352</v>
      </c>
      <c r="M1369" s="3">
        <v>13</v>
      </c>
      <c r="O1369" s="3">
        <v>13</v>
      </c>
      <c r="Q1369" s="3">
        <f>O1369-H1369</f>
        <v>-5.8000000000000007</v>
      </c>
      <c r="R1369" s="3">
        <v>15</v>
      </c>
      <c r="T1369" s="3">
        <f>R1369-O1369</f>
        <v>2</v>
      </c>
      <c r="U1369" s="3">
        <v>15.6</v>
      </c>
      <c r="W1369" s="3">
        <f>U1369-R1369</f>
        <v>0.59999999999999964</v>
      </c>
      <c r="X1369" s="3">
        <v>15.6</v>
      </c>
      <c r="Z1369" s="3">
        <f>X1369-U1369</f>
        <v>0</v>
      </c>
      <c r="AA1369" s="3">
        <v>15.2</v>
      </c>
      <c r="AC1369" s="3">
        <f>AA1369-X1369</f>
        <v>-0.40000000000000036</v>
      </c>
      <c r="AD1369" s="24">
        <v>15</v>
      </c>
      <c r="AG1369" s="3">
        <v>14</v>
      </c>
      <c r="AI1369" s="3">
        <f>AG1369-AD1369</f>
        <v>-1</v>
      </c>
      <c r="AJ1369" s="3">
        <v>16</v>
      </c>
      <c r="AL1369" s="3">
        <f>AJ1369-AG1369</f>
        <v>2</v>
      </c>
      <c r="AM1369" s="3">
        <v>8</v>
      </c>
      <c r="AO1369" s="3">
        <f>AM1369-AJ1369</f>
        <v>-8</v>
      </c>
      <c r="AP1369" s="3">
        <v>6</v>
      </c>
      <c r="AS1369" s="3">
        <v>7</v>
      </c>
      <c r="AV1369" s="3">
        <v>10</v>
      </c>
      <c r="AY1369" s="3">
        <v>10</v>
      </c>
      <c r="AZ1369" s="3">
        <v>11</v>
      </c>
      <c r="BC1369" s="3">
        <v>11</v>
      </c>
      <c r="BD1369" s="3">
        <v>10</v>
      </c>
      <c r="BG1369" s="3">
        <v>10</v>
      </c>
      <c r="BH1369" s="3">
        <v>14.6</v>
      </c>
    </row>
    <row r="1370" spans="1:61">
      <c r="B1370" s="1" t="s">
        <v>679</v>
      </c>
      <c r="C1370" s="1" t="s">
        <v>289</v>
      </c>
      <c r="D1370" s="2"/>
      <c r="E1370" s="2"/>
      <c r="F1370" s="8"/>
      <c r="G1370" s="8"/>
      <c r="H1370" s="8"/>
      <c r="I1370" s="8"/>
      <c r="Q1370" s="3"/>
      <c r="T1370" s="3"/>
      <c r="W1370" s="3"/>
      <c r="AC1370" s="3"/>
      <c r="AD1370" s="24">
        <v>15</v>
      </c>
      <c r="AG1370" s="3">
        <v>7</v>
      </c>
      <c r="AI1370" s="3">
        <f>AG1370-AD1370</f>
        <v>-8</v>
      </c>
      <c r="AJ1370" s="3">
        <v>9</v>
      </c>
      <c r="AL1370" s="3">
        <f>AJ1370-AG1370</f>
        <v>2</v>
      </c>
      <c r="AM1370" s="3">
        <v>9</v>
      </c>
      <c r="AO1370" s="3">
        <f>AM1370-AJ1370</f>
        <v>0</v>
      </c>
      <c r="AP1370" s="3">
        <v>8</v>
      </c>
      <c r="AS1370" s="3">
        <v>9</v>
      </c>
      <c r="AV1370" s="3">
        <v>11</v>
      </c>
      <c r="AY1370" s="3">
        <v>11</v>
      </c>
      <c r="AZ1370" s="3">
        <v>12.5</v>
      </c>
      <c r="BC1370" s="3">
        <v>12.5</v>
      </c>
      <c r="BD1370" s="3">
        <v>12</v>
      </c>
      <c r="BG1370" s="3">
        <v>12</v>
      </c>
      <c r="BH1370" s="3">
        <v>15.8</v>
      </c>
    </row>
    <row r="1371" spans="1:61">
      <c r="B1371" s="1" t="s">
        <v>679</v>
      </c>
      <c r="C1371" s="1" t="s">
        <v>290</v>
      </c>
      <c r="D1371" s="2"/>
      <c r="E1371" s="2"/>
      <c r="F1371" s="8"/>
      <c r="G1371" s="8"/>
      <c r="H1371" s="8"/>
      <c r="I1371" s="8"/>
      <c r="Q1371" s="3"/>
      <c r="T1371" s="3"/>
      <c r="W1371" s="3"/>
      <c r="AC1371" s="3"/>
      <c r="AD1371" s="24">
        <v>15</v>
      </c>
      <c r="AG1371" s="3">
        <v>7</v>
      </c>
      <c r="AI1371" s="3">
        <f>AG1371-AD1371</f>
        <v>-8</v>
      </c>
      <c r="AJ1371" s="3">
        <v>9</v>
      </c>
      <c r="AL1371" s="3">
        <f>AJ1371-AG1371</f>
        <v>2</v>
      </c>
      <c r="AM1371" s="3">
        <v>9</v>
      </c>
      <c r="AO1371" s="3">
        <f>AM1371-AJ1371</f>
        <v>0</v>
      </c>
      <c r="AP1371" s="3">
        <v>8</v>
      </c>
      <c r="AS1371" s="3">
        <v>9</v>
      </c>
      <c r="AV1371" s="3">
        <v>11</v>
      </c>
      <c r="AY1371" s="3">
        <v>11</v>
      </c>
      <c r="AZ1371" s="3">
        <v>12.5</v>
      </c>
      <c r="BC1371" s="3">
        <v>12.5</v>
      </c>
      <c r="BD1371" s="3">
        <v>12.5</v>
      </c>
      <c r="BG1371" s="3">
        <v>12.5</v>
      </c>
      <c r="BH1371" s="3">
        <v>15.8</v>
      </c>
    </row>
    <row r="1372" spans="1:61">
      <c r="B1372" s="1" t="s">
        <v>679</v>
      </c>
      <c r="C1372" s="1" t="s">
        <v>64</v>
      </c>
      <c r="D1372" s="2"/>
      <c r="E1372" s="2"/>
      <c r="F1372" s="8"/>
      <c r="G1372" s="8"/>
      <c r="H1372" s="8"/>
      <c r="I1372" s="8"/>
      <c r="Q1372" s="3"/>
      <c r="R1372" s="3">
        <v>20</v>
      </c>
      <c r="T1372" s="3"/>
      <c r="U1372" s="3">
        <v>16</v>
      </c>
      <c r="W1372" s="3">
        <f>U1372-R1372</f>
        <v>-4</v>
      </c>
      <c r="X1372" s="3">
        <v>16</v>
      </c>
      <c r="Z1372" s="3">
        <f>X1372-U1372</f>
        <v>0</v>
      </c>
      <c r="AA1372" s="3">
        <v>17</v>
      </c>
      <c r="AC1372" s="3">
        <f>AA1372-X1372</f>
        <v>1</v>
      </c>
      <c r="AD1372" s="24">
        <v>16</v>
      </c>
      <c r="AG1372" s="3">
        <v>15</v>
      </c>
      <c r="AI1372" s="3">
        <f>AG1372-AD1372</f>
        <v>-1</v>
      </c>
      <c r="AJ1372" s="3">
        <v>17</v>
      </c>
      <c r="AL1372" s="3">
        <f>AJ1372-AG1372</f>
        <v>2</v>
      </c>
      <c r="AM1372" s="3">
        <v>8</v>
      </c>
      <c r="AO1372" s="3">
        <f>AM1372-AJ1372</f>
        <v>-9</v>
      </c>
      <c r="AP1372" s="3">
        <v>8</v>
      </c>
      <c r="AS1372" s="3">
        <v>8</v>
      </c>
      <c r="AV1372" s="3">
        <v>10</v>
      </c>
      <c r="AY1372" s="3">
        <v>10</v>
      </c>
      <c r="AZ1372" s="3">
        <v>11</v>
      </c>
      <c r="BC1372" s="3">
        <v>11</v>
      </c>
      <c r="BD1372" s="3">
        <v>11</v>
      </c>
      <c r="BG1372" s="3">
        <v>11</v>
      </c>
      <c r="BH1372" s="3">
        <v>14.6</v>
      </c>
    </row>
    <row r="1373" spans="1:61">
      <c r="B1373" s="1" t="s">
        <v>679</v>
      </c>
      <c r="C1373" s="1" t="s">
        <v>855</v>
      </c>
      <c r="D1373" s="2"/>
      <c r="E1373" s="2"/>
      <c r="F1373" s="8"/>
      <c r="G1373" s="8"/>
      <c r="H1373" s="8"/>
      <c r="I1373" s="8"/>
      <c r="Q1373" s="3"/>
      <c r="T1373" s="3"/>
      <c r="W1373" s="3"/>
      <c r="AC1373" s="3"/>
      <c r="AI1373" s="3"/>
      <c r="AL1373" s="3"/>
      <c r="AO1373" s="3"/>
      <c r="AY1373" s="3">
        <v>10</v>
      </c>
      <c r="AZ1373" s="3">
        <v>11</v>
      </c>
      <c r="BC1373" s="3">
        <v>11</v>
      </c>
      <c r="BD1373" s="3">
        <v>11</v>
      </c>
      <c r="BG1373" s="3">
        <v>11</v>
      </c>
      <c r="BH1373" s="3">
        <v>14.6</v>
      </c>
    </row>
    <row r="1374" spans="1:61">
      <c r="B1374" s="1" t="s">
        <v>679</v>
      </c>
      <c r="C1374" s="1" t="s">
        <v>286</v>
      </c>
      <c r="D1374" s="2"/>
      <c r="E1374" s="2"/>
      <c r="F1374" s="8"/>
      <c r="G1374" s="8"/>
      <c r="H1374" s="8"/>
      <c r="I1374" s="8"/>
      <c r="Q1374" s="3"/>
      <c r="R1374" s="3">
        <v>18</v>
      </c>
      <c r="T1374" s="3"/>
      <c r="U1374" s="3">
        <v>16</v>
      </c>
      <c r="W1374" s="3">
        <f>U1374-R1374</f>
        <v>-2</v>
      </c>
      <c r="X1374" s="3">
        <v>16</v>
      </c>
      <c r="Z1374" s="3">
        <f>X1374-U1374</f>
        <v>0</v>
      </c>
      <c r="AA1374" s="3">
        <v>17</v>
      </c>
      <c r="AC1374" s="3">
        <f>AA1374-X1374</f>
        <v>1</v>
      </c>
      <c r="AD1374" s="24">
        <v>16</v>
      </c>
      <c r="AG1374" s="3">
        <v>14</v>
      </c>
      <c r="AI1374" s="3">
        <f>AG1374-AD1374</f>
        <v>-2</v>
      </c>
      <c r="AJ1374" s="3">
        <v>15</v>
      </c>
      <c r="AL1374" s="3">
        <f>AJ1374-AG1374</f>
        <v>1</v>
      </c>
      <c r="AM1374" s="3">
        <v>10</v>
      </c>
      <c r="AO1374" s="3">
        <f>AM1374-AJ1374</f>
        <v>-5</v>
      </c>
      <c r="AP1374" s="3">
        <v>7</v>
      </c>
      <c r="AS1374" s="3">
        <v>8</v>
      </c>
      <c r="AV1374" s="3">
        <v>10</v>
      </c>
      <c r="AY1374" s="3">
        <v>10</v>
      </c>
      <c r="AZ1374" s="3">
        <v>11</v>
      </c>
      <c r="BC1374" s="3">
        <v>11</v>
      </c>
      <c r="BD1374" s="3">
        <v>11</v>
      </c>
      <c r="BG1374" s="3">
        <v>11</v>
      </c>
      <c r="BH1374" s="3">
        <v>14.6</v>
      </c>
    </row>
    <row r="1375" spans="1:61">
      <c r="B1375" s="1" t="s">
        <v>679</v>
      </c>
      <c r="C1375" s="1" t="s">
        <v>288</v>
      </c>
      <c r="D1375" s="2"/>
      <c r="E1375" s="2"/>
      <c r="F1375" s="8"/>
      <c r="G1375" s="8"/>
      <c r="H1375" s="8"/>
      <c r="I1375" s="8"/>
      <c r="Q1375" s="3"/>
      <c r="R1375" s="3">
        <v>18</v>
      </c>
      <c r="T1375" s="3"/>
      <c r="U1375" s="3">
        <v>16.5</v>
      </c>
      <c r="W1375" s="3">
        <f>U1375-R1375</f>
        <v>-1.5</v>
      </c>
      <c r="X1375" s="3">
        <v>16.5</v>
      </c>
      <c r="Z1375" s="3">
        <f>X1375-U1375</f>
        <v>0</v>
      </c>
      <c r="AA1375" s="3">
        <v>16.5</v>
      </c>
      <c r="AC1375" s="3">
        <f>AA1375-X1375</f>
        <v>0</v>
      </c>
      <c r="AD1375" s="24">
        <v>17</v>
      </c>
      <c r="AG1375" s="3">
        <v>14</v>
      </c>
      <c r="AI1375" s="3">
        <f>AG1375-AD1375</f>
        <v>-3</v>
      </c>
      <c r="AJ1375" s="3">
        <v>15</v>
      </c>
      <c r="AL1375" s="3">
        <f>AJ1375-AG1375</f>
        <v>1</v>
      </c>
      <c r="AM1375" s="3">
        <v>7</v>
      </c>
      <c r="AO1375" s="3">
        <f>AM1375-AJ1375</f>
        <v>-8</v>
      </c>
      <c r="AP1375" s="3">
        <v>7</v>
      </c>
      <c r="AS1375" s="3">
        <v>8</v>
      </c>
      <c r="AV1375" s="3">
        <v>11</v>
      </c>
      <c r="AY1375" s="3">
        <v>11</v>
      </c>
      <c r="AZ1375" s="3">
        <v>12.5</v>
      </c>
      <c r="BC1375" s="3">
        <v>12.5</v>
      </c>
      <c r="BD1375" s="3">
        <v>12</v>
      </c>
      <c r="BG1375" s="3">
        <v>12</v>
      </c>
      <c r="BH1375" s="3">
        <v>14.6</v>
      </c>
    </row>
    <row r="1376" spans="1:61" ht="9.6" customHeight="1">
      <c r="A1376" s="6">
        <v>11</v>
      </c>
      <c r="B1376" s="1" t="s">
        <v>679</v>
      </c>
      <c r="C1376" s="1" t="s">
        <v>57</v>
      </c>
      <c r="D1376" s="2"/>
      <c r="E1376" s="2"/>
      <c r="F1376" s="8">
        <v>9.9</v>
      </c>
      <c r="G1376" s="8"/>
      <c r="H1376" s="8">
        <v>9.9</v>
      </c>
      <c r="I1376" s="8"/>
      <c r="M1376" s="3">
        <v>13.9</v>
      </c>
      <c r="O1376" s="3">
        <v>13.9</v>
      </c>
      <c r="Q1376" s="3">
        <f>O1376-H1376</f>
        <v>4</v>
      </c>
    </row>
    <row r="1377" spans="1:61">
      <c r="B1377" s="1" t="s">
        <v>679</v>
      </c>
      <c r="C1377" s="1" t="s">
        <v>287</v>
      </c>
      <c r="D1377" s="2"/>
      <c r="E1377" s="2"/>
      <c r="F1377" s="8"/>
      <c r="G1377" s="8"/>
      <c r="H1377" s="8"/>
      <c r="I1377" s="8"/>
      <c r="Q1377" s="3"/>
      <c r="R1377" s="3">
        <v>15</v>
      </c>
      <c r="T1377" s="3"/>
      <c r="U1377" s="3">
        <v>16.5</v>
      </c>
      <c r="W1377" s="3">
        <f t="shared" ref="W1377:W1382" si="7">U1377-R1377</f>
        <v>1.5</v>
      </c>
      <c r="X1377" s="3">
        <v>16.5</v>
      </c>
      <c r="Z1377" s="3">
        <f t="shared" ref="Z1377:Z1382" si="8">X1377-U1377</f>
        <v>0</v>
      </c>
      <c r="AA1377" s="3">
        <v>16.5</v>
      </c>
      <c r="AC1377" s="3">
        <f t="shared" ref="AC1377:AC1382" si="9">AA1377-X1377</f>
        <v>0</v>
      </c>
      <c r="AD1377" s="24">
        <v>17</v>
      </c>
      <c r="AG1377" s="3">
        <v>15</v>
      </c>
      <c r="AI1377" s="3">
        <f>AG1377-AD1377</f>
        <v>-2</v>
      </c>
      <c r="AJ1377" s="3">
        <v>17</v>
      </c>
      <c r="AL1377" s="3">
        <f>AJ1377-AG1377</f>
        <v>2</v>
      </c>
      <c r="AM1377" s="3">
        <v>8</v>
      </c>
      <c r="AO1377" s="3">
        <f>AM1377-AJ1377</f>
        <v>-9</v>
      </c>
      <c r="AP1377" s="3">
        <v>7</v>
      </c>
      <c r="AS1377" s="3">
        <v>7</v>
      </c>
      <c r="AY1377" s="3">
        <v>10</v>
      </c>
      <c r="AZ1377" s="3">
        <v>11</v>
      </c>
      <c r="BC1377" s="3">
        <v>11</v>
      </c>
      <c r="BD1377" s="3">
        <v>11</v>
      </c>
      <c r="BG1377" s="3">
        <v>11</v>
      </c>
      <c r="BH1377" s="3">
        <v>7.3</v>
      </c>
    </row>
    <row r="1378" spans="1:61">
      <c r="A1378" s="6">
        <v>1</v>
      </c>
      <c r="B1378" s="103" t="s">
        <v>736</v>
      </c>
      <c r="C1378" s="1" t="s">
        <v>52</v>
      </c>
      <c r="D1378" s="2">
        <v>7</v>
      </c>
      <c r="E1378" s="2"/>
      <c r="F1378" s="8">
        <v>7</v>
      </c>
      <c r="G1378" s="8"/>
      <c r="H1378" s="8">
        <v>7</v>
      </c>
      <c r="I1378" s="8">
        <f>H1378-D1378</f>
        <v>0</v>
      </c>
      <c r="M1378" s="3">
        <v>7</v>
      </c>
      <c r="O1378" s="3">
        <v>7</v>
      </c>
      <c r="Q1378" s="3">
        <f>O1378-H1378</f>
        <v>0</v>
      </c>
      <c r="R1378" s="3">
        <v>7</v>
      </c>
      <c r="T1378" s="2">
        <f>R1378-O1378</f>
        <v>0</v>
      </c>
      <c r="U1378" s="3">
        <v>7</v>
      </c>
      <c r="W1378" s="3">
        <f t="shared" si="7"/>
        <v>0</v>
      </c>
      <c r="X1378" s="3">
        <v>9</v>
      </c>
      <c r="Z1378" s="3">
        <f t="shared" si="8"/>
        <v>2</v>
      </c>
      <c r="AA1378" s="3">
        <v>9</v>
      </c>
      <c r="AC1378" s="3">
        <f t="shared" si="9"/>
        <v>0</v>
      </c>
      <c r="AN1378" s="1" t="s">
        <v>285</v>
      </c>
      <c r="AQ1378" s="1" t="s">
        <v>285</v>
      </c>
      <c r="AT1378" s="1" t="s">
        <v>285</v>
      </c>
    </row>
    <row r="1379" spans="1:61">
      <c r="A1379" s="6">
        <v>3</v>
      </c>
      <c r="B1379" s="103" t="s">
        <v>736</v>
      </c>
      <c r="C1379" s="1" t="s">
        <v>54</v>
      </c>
      <c r="D1379" s="2">
        <v>11</v>
      </c>
      <c r="E1379" s="2"/>
      <c r="F1379" s="8">
        <v>11</v>
      </c>
      <c r="G1379" s="8"/>
      <c r="H1379" s="8">
        <v>11</v>
      </c>
      <c r="I1379" s="8">
        <f>H1379-D1379</f>
        <v>0</v>
      </c>
      <c r="M1379" s="3">
        <v>11</v>
      </c>
      <c r="O1379" s="3">
        <v>11</v>
      </c>
      <c r="Q1379" s="3">
        <f>O1379-H1379</f>
        <v>0</v>
      </c>
      <c r="R1379" s="3">
        <v>11</v>
      </c>
      <c r="T1379" s="3">
        <f>R1379-O1379</f>
        <v>0</v>
      </c>
      <c r="U1379" s="3">
        <v>11</v>
      </c>
      <c r="W1379" s="3">
        <f t="shared" si="7"/>
        <v>0</v>
      </c>
      <c r="X1379" s="3">
        <v>13</v>
      </c>
      <c r="Z1379" s="3">
        <f t="shared" si="8"/>
        <v>2</v>
      </c>
      <c r="AA1379" s="3">
        <v>13</v>
      </c>
      <c r="AC1379" s="3">
        <f t="shared" si="9"/>
        <v>0</v>
      </c>
      <c r="AN1379" s="1" t="s">
        <v>285</v>
      </c>
      <c r="AQ1379" s="1" t="s">
        <v>285</v>
      </c>
      <c r="AT1379" s="1" t="s">
        <v>285</v>
      </c>
    </row>
    <row r="1380" spans="1:61">
      <c r="A1380" s="6">
        <v>4</v>
      </c>
      <c r="B1380" s="103" t="s">
        <v>736</v>
      </c>
      <c r="C1380" s="1" t="s">
        <v>55</v>
      </c>
      <c r="D1380" s="2">
        <v>11</v>
      </c>
      <c r="E1380" s="2"/>
      <c r="F1380" s="8">
        <v>11</v>
      </c>
      <c r="G1380" s="8"/>
      <c r="H1380" s="8">
        <v>11</v>
      </c>
      <c r="I1380" s="8">
        <f>H1380-D1380</f>
        <v>0</v>
      </c>
      <c r="M1380" s="3">
        <v>11</v>
      </c>
      <c r="O1380" s="3">
        <v>11</v>
      </c>
      <c r="Q1380" s="3">
        <f>O1380-H1380</f>
        <v>0</v>
      </c>
      <c r="R1380" s="3">
        <v>11</v>
      </c>
      <c r="T1380" s="3">
        <f>R1380-O1380</f>
        <v>0</v>
      </c>
      <c r="U1380" s="3">
        <v>11</v>
      </c>
      <c r="W1380" s="3">
        <f t="shared" si="7"/>
        <v>0</v>
      </c>
      <c r="X1380" s="3">
        <v>13</v>
      </c>
      <c r="Z1380" s="3">
        <f t="shared" si="8"/>
        <v>2</v>
      </c>
      <c r="AA1380" s="3">
        <v>13</v>
      </c>
      <c r="AC1380" s="1">
        <f t="shared" si="9"/>
        <v>0</v>
      </c>
      <c r="AN1380" s="1" t="s">
        <v>285</v>
      </c>
      <c r="AQ1380" s="1" t="s">
        <v>285</v>
      </c>
      <c r="AT1380" s="1" t="s">
        <v>285</v>
      </c>
    </row>
    <row r="1381" spans="1:61">
      <c r="A1381" s="6">
        <v>5</v>
      </c>
      <c r="B1381" s="103" t="s">
        <v>736</v>
      </c>
      <c r="C1381" s="1" t="s">
        <v>56</v>
      </c>
      <c r="D1381" s="2">
        <v>11</v>
      </c>
      <c r="E1381" s="2"/>
      <c r="F1381" s="8">
        <v>11</v>
      </c>
      <c r="G1381" s="8"/>
      <c r="H1381" s="8">
        <v>11</v>
      </c>
      <c r="I1381" s="8">
        <f>H1381-D1381</f>
        <v>0</v>
      </c>
      <c r="M1381" s="3">
        <v>11</v>
      </c>
      <c r="O1381" s="3">
        <v>11</v>
      </c>
      <c r="Q1381" s="3">
        <f>O1381-H1381</f>
        <v>0</v>
      </c>
      <c r="R1381" s="3">
        <v>11</v>
      </c>
      <c r="T1381" s="3">
        <f>R1381-O1381</f>
        <v>0</v>
      </c>
      <c r="U1381" s="3">
        <v>11</v>
      </c>
      <c r="W1381" s="3">
        <f t="shared" si="7"/>
        <v>0</v>
      </c>
      <c r="X1381" s="3">
        <v>13</v>
      </c>
      <c r="Z1381" s="3">
        <f t="shared" si="8"/>
        <v>2</v>
      </c>
      <c r="AA1381" s="3">
        <v>13</v>
      </c>
      <c r="AC1381" s="1">
        <f t="shared" si="9"/>
        <v>0</v>
      </c>
      <c r="AN1381" s="1" t="s">
        <v>285</v>
      </c>
      <c r="AQ1381" s="1" t="s">
        <v>285</v>
      </c>
      <c r="AT1381" s="1" t="s">
        <v>285</v>
      </c>
    </row>
    <row r="1382" spans="1:61">
      <c r="A1382" s="6">
        <v>2</v>
      </c>
      <c r="B1382" s="103" t="s">
        <v>736</v>
      </c>
      <c r="C1382" s="1" t="s">
        <v>53</v>
      </c>
      <c r="D1382" s="2">
        <v>7</v>
      </c>
      <c r="E1382" s="2"/>
      <c r="F1382" s="8">
        <v>7</v>
      </c>
      <c r="G1382" s="8"/>
      <c r="H1382" s="8">
        <v>7</v>
      </c>
      <c r="I1382" s="10">
        <f>H1382-D1382</f>
        <v>0</v>
      </c>
      <c r="M1382" s="3">
        <v>7</v>
      </c>
      <c r="O1382" s="3">
        <v>7</v>
      </c>
      <c r="Q1382" s="3">
        <f>O1382-H1382</f>
        <v>0</v>
      </c>
      <c r="R1382" s="3">
        <v>7</v>
      </c>
      <c r="T1382" s="3">
        <f>R1382-O1382</f>
        <v>0</v>
      </c>
      <c r="U1382" s="3">
        <v>7</v>
      </c>
      <c r="W1382" s="3">
        <f t="shared" si="7"/>
        <v>0</v>
      </c>
      <c r="X1382" s="3">
        <v>9</v>
      </c>
      <c r="Z1382" s="3">
        <f t="shared" si="8"/>
        <v>2</v>
      </c>
      <c r="AA1382" s="3">
        <v>9</v>
      </c>
      <c r="AC1382" s="3">
        <f t="shared" si="9"/>
        <v>0</v>
      </c>
      <c r="AN1382" s="1" t="s">
        <v>285</v>
      </c>
      <c r="AQ1382" s="1" t="s">
        <v>285</v>
      </c>
      <c r="AT1382" s="1" t="s">
        <v>285</v>
      </c>
    </row>
    <row r="1383" spans="1:61">
      <c r="B1383" s="103" t="s">
        <v>736</v>
      </c>
      <c r="C1383" s="1" t="s">
        <v>158</v>
      </c>
      <c r="D1383" s="2"/>
      <c r="E1383" s="2"/>
      <c r="F1383" s="8"/>
      <c r="G1383" s="8"/>
      <c r="H1383" s="8"/>
      <c r="T1383" s="3"/>
      <c r="W1383" s="3"/>
      <c r="AC1383" s="3"/>
      <c r="AI1383" s="3"/>
      <c r="AJ1383" s="3">
        <v>2.4</v>
      </c>
      <c r="AN1383" s="1" t="s">
        <v>285</v>
      </c>
      <c r="AQ1383" s="1" t="s">
        <v>285</v>
      </c>
      <c r="AT1383" s="1" t="s">
        <v>285</v>
      </c>
      <c r="AV1383" s="3">
        <v>2.2000000000000002</v>
      </c>
      <c r="AZ1383" s="3">
        <v>2.2000000000000002</v>
      </c>
      <c r="BA1383" s="1" t="s">
        <v>852</v>
      </c>
    </row>
    <row r="1384" spans="1:61">
      <c r="B1384" s="103" t="s">
        <v>736</v>
      </c>
      <c r="C1384" s="1" t="s">
        <v>597</v>
      </c>
      <c r="D1384" s="2"/>
      <c r="E1384" s="2"/>
      <c r="F1384" s="8"/>
      <c r="G1384" s="8"/>
      <c r="H1384" s="8"/>
      <c r="T1384" s="3"/>
      <c r="U1384" s="3">
        <v>8</v>
      </c>
      <c r="X1384" s="3">
        <v>9</v>
      </c>
      <c r="Z1384" s="3">
        <f t="shared" ref="Z1384:Z1389" si="10">X1384-U1384</f>
        <v>1</v>
      </c>
      <c r="AA1384" s="3">
        <v>9</v>
      </c>
      <c r="AC1384" s="3">
        <f t="shared" ref="AC1384:AC1389" si="11">AA1384-X1384</f>
        <v>0</v>
      </c>
      <c r="AD1384" s="24">
        <v>9</v>
      </c>
      <c r="AG1384" s="3">
        <v>9</v>
      </c>
      <c r="AJ1384" s="3">
        <v>11.9</v>
      </c>
      <c r="AN1384" s="1" t="s">
        <v>285</v>
      </c>
      <c r="AQ1384" s="1" t="s">
        <v>285</v>
      </c>
      <c r="AT1384" s="1" t="s">
        <v>285</v>
      </c>
      <c r="AV1384" s="3">
        <v>16</v>
      </c>
      <c r="AZ1384" s="3">
        <v>16</v>
      </c>
      <c r="BA1384" s="1" t="s">
        <v>852</v>
      </c>
      <c r="BD1384" s="3">
        <v>16</v>
      </c>
      <c r="BE1384" s="1" t="s">
        <v>852</v>
      </c>
      <c r="BH1384" s="3">
        <v>16</v>
      </c>
      <c r="BI1384" s="1" t="s">
        <v>852</v>
      </c>
    </row>
    <row r="1385" spans="1:61">
      <c r="B1385" s="103" t="s">
        <v>736</v>
      </c>
      <c r="C1385" s="1" t="s">
        <v>600</v>
      </c>
      <c r="D1385" s="2"/>
      <c r="E1385" s="2"/>
      <c r="F1385" s="8"/>
      <c r="G1385" s="8"/>
      <c r="H1385" s="8"/>
      <c r="T1385" s="3"/>
      <c r="U1385" s="3">
        <v>8</v>
      </c>
      <c r="X1385" s="3">
        <v>9</v>
      </c>
      <c r="Z1385" s="3">
        <f t="shared" si="10"/>
        <v>1</v>
      </c>
      <c r="AA1385" s="3">
        <v>9</v>
      </c>
      <c r="AC1385" s="3">
        <f t="shared" si="11"/>
        <v>0</v>
      </c>
      <c r="AD1385" s="24">
        <v>9</v>
      </c>
      <c r="AG1385" s="3">
        <v>9</v>
      </c>
      <c r="AN1385" s="1" t="s">
        <v>285</v>
      </c>
      <c r="AQ1385" s="1" t="s">
        <v>285</v>
      </c>
      <c r="AT1385" s="1" t="s">
        <v>285</v>
      </c>
    </row>
    <row r="1386" spans="1:61">
      <c r="B1386" s="103" t="s">
        <v>736</v>
      </c>
      <c r="C1386" s="1" t="s">
        <v>595</v>
      </c>
      <c r="D1386" s="2"/>
      <c r="E1386" s="2"/>
      <c r="F1386" s="8"/>
      <c r="G1386" s="8"/>
      <c r="H1386" s="8"/>
      <c r="M1386" s="3">
        <v>8</v>
      </c>
      <c r="O1386" s="3">
        <v>8</v>
      </c>
      <c r="R1386" s="3">
        <v>8</v>
      </c>
      <c r="T1386" s="3">
        <f>R1386-O1386</f>
        <v>0</v>
      </c>
      <c r="U1386" s="3">
        <v>8</v>
      </c>
      <c r="W1386" s="3">
        <f>U1386-R1386</f>
        <v>0</v>
      </c>
      <c r="X1386" s="3">
        <v>9</v>
      </c>
      <c r="Z1386" s="3">
        <f t="shared" si="10"/>
        <v>1</v>
      </c>
      <c r="AA1386" s="3">
        <v>9</v>
      </c>
      <c r="AC1386" s="3">
        <f t="shared" si="11"/>
        <v>0</v>
      </c>
      <c r="AD1386" s="24">
        <v>9</v>
      </c>
      <c r="AG1386" s="3">
        <v>9</v>
      </c>
      <c r="AI1386" s="3">
        <f>AG1386-AD1386</f>
        <v>0</v>
      </c>
      <c r="AJ1386" s="3">
        <v>2.84</v>
      </c>
      <c r="AL1386" s="3">
        <f>AJ1386-AG1386</f>
        <v>-6.16</v>
      </c>
      <c r="AN1386" s="1" t="s">
        <v>285</v>
      </c>
      <c r="AQ1386" s="1" t="s">
        <v>285</v>
      </c>
      <c r="AT1386" s="1" t="s">
        <v>285</v>
      </c>
      <c r="AV1386" s="3">
        <v>4.5</v>
      </c>
      <c r="AZ1386" s="3">
        <v>4.5</v>
      </c>
      <c r="BA1386" s="1" t="s">
        <v>852</v>
      </c>
      <c r="BD1386" s="3">
        <v>4.5</v>
      </c>
      <c r="BE1386" s="1" t="s">
        <v>852</v>
      </c>
      <c r="BH1386" s="3">
        <v>4.5</v>
      </c>
      <c r="BI1386" s="1" t="s">
        <v>852</v>
      </c>
    </row>
    <row r="1387" spans="1:61">
      <c r="B1387" s="103" t="s">
        <v>736</v>
      </c>
      <c r="C1387" s="1" t="s">
        <v>596</v>
      </c>
      <c r="D1387" s="2"/>
      <c r="E1387" s="2"/>
      <c r="F1387" s="8"/>
      <c r="G1387" s="8"/>
      <c r="H1387" s="8"/>
      <c r="M1387" s="3">
        <v>8</v>
      </c>
      <c r="O1387" s="3">
        <v>8</v>
      </c>
      <c r="R1387" s="3">
        <v>8</v>
      </c>
      <c r="T1387" s="3">
        <f>R1387-O1387</f>
        <v>0</v>
      </c>
      <c r="U1387" s="3">
        <v>8</v>
      </c>
      <c r="W1387" s="3">
        <f>U1387-R1387</f>
        <v>0</v>
      </c>
      <c r="X1387" s="3">
        <v>9</v>
      </c>
      <c r="Z1387" s="3">
        <f t="shared" si="10"/>
        <v>1</v>
      </c>
      <c r="AA1387" s="3">
        <v>9</v>
      </c>
      <c r="AC1387" s="3">
        <f t="shared" si="11"/>
        <v>0</v>
      </c>
      <c r="AD1387" s="24">
        <v>9</v>
      </c>
      <c r="AG1387" s="3">
        <v>9</v>
      </c>
      <c r="AN1387" s="1" t="s">
        <v>285</v>
      </c>
      <c r="AQ1387" s="1" t="s">
        <v>285</v>
      </c>
      <c r="AT1387" s="1" t="s">
        <v>285</v>
      </c>
    </row>
    <row r="1388" spans="1:61">
      <c r="A1388" s="6">
        <v>12</v>
      </c>
      <c r="B1388" s="103" t="s">
        <v>736</v>
      </c>
      <c r="C1388" s="1" t="s">
        <v>594</v>
      </c>
      <c r="D1388" s="2">
        <v>2</v>
      </c>
      <c r="E1388" s="2"/>
      <c r="F1388" s="8">
        <v>6</v>
      </c>
      <c r="G1388" s="8"/>
      <c r="H1388" s="8">
        <v>6</v>
      </c>
      <c r="I1388" s="9">
        <f>H1388-D1388</f>
        <v>4</v>
      </c>
      <c r="L1388" s="1" t="s">
        <v>526</v>
      </c>
      <c r="M1388" s="3">
        <v>6</v>
      </c>
      <c r="O1388" s="3">
        <v>6</v>
      </c>
      <c r="Q1388" s="3">
        <f>O1388-H1388</f>
        <v>0</v>
      </c>
      <c r="R1388" s="3">
        <v>6</v>
      </c>
      <c r="T1388" s="3">
        <f>R1388-O1388</f>
        <v>0</v>
      </c>
      <c r="U1388" s="3">
        <v>6</v>
      </c>
      <c r="W1388" s="3">
        <f>U1388-R1388</f>
        <v>0</v>
      </c>
      <c r="X1388" s="3">
        <v>6.4</v>
      </c>
      <c r="Z1388" s="3">
        <f t="shared" si="10"/>
        <v>0.40000000000000036</v>
      </c>
      <c r="AA1388" s="3">
        <v>6.4</v>
      </c>
      <c r="AC1388" s="3">
        <f t="shared" si="11"/>
        <v>0</v>
      </c>
      <c r="AD1388" s="24">
        <v>6.4</v>
      </c>
      <c r="AG1388" s="3">
        <v>6.4</v>
      </c>
      <c r="AI1388" s="3">
        <f>AG1388-AD1388</f>
        <v>0</v>
      </c>
      <c r="AJ1388" s="3">
        <v>3</v>
      </c>
      <c r="AL1388" s="3">
        <f>AJ1388-AG1388</f>
        <v>-3.4000000000000004</v>
      </c>
      <c r="AN1388" s="1" t="s">
        <v>285</v>
      </c>
      <c r="AQ1388" s="1" t="s">
        <v>285</v>
      </c>
      <c r="AT1388" s="1" t="s">
        <v>285</v>
      </c>
      <c r="AV1388" s="3">
        <v>3.5</v>
      </c>
      <c r="AZ1388" s="3">
        <v>3.5</v>
      </c>
      <c r="BA1388" s="1" t="s">
        <v>852</v>
      </c>
      <c r="BD1388" s="3">
        <v>3.5</v>
      </c>
      <c r="BE1388" s="1" t="s">
        <v>852</v>
      </c>
      <c r="BH1388" s="3">
        <v>3.5</v>
      </c>
      <c r="BI1388" s="1" t="s">
        <v>852</v>
      </c>
    </row>
    <row r="1389" spans="1:61">
      <c r="B1389" s="103" t="s">
        <v>736</v>
      </c>
      <c r="C1389" s="1" t="s">
        <v>643</v>
      </c>
      <c r="D1389" s="2"/>
      <c r="E1389" s="2"/>
      <c r="F1389" s="8"/>
      <c r="G1389" s="8"/>
      <c r="H1389" s="8"/>
      <c r="T1389" s="3"/>
      <c r="U1389" s="3">
        <v>9</v>
      </c>
      <c r="X1389" s="3">
        <v>10</v>
      </c>
      <c r="Z1389" s="3">
        <f t="shared" si="10"/>
        <v>1</v>
      </c>
      <c r="AA1389" s="3">
        <v>10</v>
      </c>
      <c r="AC1389" s="3">
        <f t="shared" si="11"/>
        <v>0</v>
      </c>
      <c r="AD1389" s="24">
        <v>10</v>
      </c>
      <c r="AG1389" s="3">
        <v>10</v>
      </c>
      <c r="AN1389" s="1" t="s">
        <v>285</v>
      </c>
      <c r="AQ1389" s="1" t="s">
        <v>285</v>
      </c>
      <c r="AT1389" s="1" t="s">
        <v>285</v>
      </c>
    </row>
    <row r="1390" spans="1:61">
      <c r="B1390" s="103" t="s">
        <v>736</v>
      </c>
      <c r="C1390" s="1" t="s">
        <v>405</v>
      </c>
      <c r="D1390" s="2"/>
      <c r="E1390" s="2"/>
      <c r="F1390" s="8"/>
      <c r="G1390" s="8"/>
      <c r="H1390" s="8"/>
      <c r="T1390" s="3"/>
      <c r="AC1390" s="3"/>
      <c r="AZ1390" s="3">
        <v>36</v>
      </c>
      <c r="BA1390" s="1" t="s">
        <v>852</v>
      </c>
      <c r="BD1390" s="3">
        <v>36</v>
      </c>
      <c r="BE1390" s="1" t="s">
        <v>852</v>
      </c>
      <c r="BH1390" s="3">
        <v>36</v>
      </c>
      <c r="BI1390" s="1" t="s">
        <v>852</v>
      </c>
    </row>
    <row r="1391" spans="1:61">
      <c r="B1391" s="103" t="s">
        <v>736</v>
      </c>
      <c r="C1391" s="1" t="s">
        <v>406</v>
      </c>
      <c r="D1391" s="2"/>
      <c r="E1391" s="2"/>
      <c r="F1391" s="8"/>
      <c r="G1391" s="8"/>
      <c r="H1391" s="8"/>
      <c r="T1391" s="3"/>
      <c r="AC1391" s="3"/>
      <c r="AZ1391" s="3">
        <v>36</v>
      </c>
      <c r="BA1391" s="1" t="s">
        <v>852</v>
      </c>
      <c r="BD1391" s="3">
        <v>36</v>
      </c>
      <c r="BE1391" s="1" t="s">
        <v>852</v>
      </c>
      <c r="BH1391" s="3">
        <v>36</v>
      </c>
      <c r="BI1391" s="1" t="s">
        <v>852</v>
      </c>
    </row>
    <row r="1392" spans="1:61">
      <c r="A1392" s="6">
        <v>14</v>
      </c>
      <c r="B1392" s="103" t="s">
        <v>736</v>
      </c>
      <c r="C1392" s="1" t="s">
        <v>58</v>
      </c>
      <c r="D1392" s="2">
        <v>9</v>
      </c>
      <c r="E1392" s="2"/>
      <c r="F1392" s="8">
        <v>8</v>
      </c>
      <c r="G1392" s="8"/>
      <c r="H1392" s="8">
        <v>8</v>
      </c>
      <c r="I1392" s="9">
        <f>H1392-D1392</f>
        <v>-1</v>
      </c>
      <c r="M1392" s="3">
        <v>8</v>
      </c>
      <c r="O1392" s="3">
        <v>8</v>
      </c>
      <c r="Q1392" s="3">
        <f>O1392-H1392</f>
        <v>0</v>
      </c>
      <c r="R1392" s="3">
        <v>8</v>
      </c>
      <c r="T1392" s="3">
        <f>R1392-O1392</f>
        <v>0</v>
      </c>
      <c r="U1392" s="3">
        <v>8</v>
      </c>
      <c r="W1392" s="3">
        <f>U1392-R1392</f>
        <v>0</v>
      </c>
      <c r="X1392" s="3">
        <v>10</v>
      </c>
      <c r="Z1392" s="3">
        <f>X1392-U1392</f>
        <v>2</v>
      </c>
      <c r="AA1392" s="3">
        <v>10</v>
      </c>
      <c r="AC1392" s="3">
        <f>AA1392-X1392</f>
        <v>0</v>
      </c>
      <c r="AD1392" s="24">
        <v>10</v>
      </c>
      <c r="AG1392" s="3">
        <v>10</v>
      </c>
      <c r="AI1392" s="3">
        <f>AG1392-AD1392</f>
        <v>0</v>
      </c>
      <c r="AJ1392" s="3">
        <v>3.98</v>
      </c>
      <c r="AL1392" s="3">
        <f>AJ1392-AG1392</f>
        <v>-6.02</v>
      </c>
      <c r="AN1392" s="1" t="s">
        <v>285</v>
      </c>
      <c r="AQ1392" s="1" t="s">
        <v>285</v>
      </c>
      <c r="AT1392" s="1" t="s">
        <v>285</v>
      </c>
      <c r="AV1392" s="3">
        <v>5.5</v>
      </c>
      <c r="AZ1392" s="3">
        <v>5.5</v>
      </c>
      <c r="BA1392" s="1" t="s">
        <v>852</v>
      </c>
      <c r="BD1392" s="3">
        <v>5.5</v>
      </c>
      <c r="BE1392" s="1" t="s">
        <v>852</v>
      </c>
      <c r="BH1392" s="3">
        <v>5.5</v>
      </c>
      <c r="BI1392" s="1" t="s">
        <v>852</v>
      </c>
    </row>
    <row r="1393" spans="1:61">
      <c r="B1393" s="103" t="s">
        <v>736</v>
      </c>
      <c r="C1393" s="1" t="s">
        <v>607</v>
      </c>
      <c r="D1393" s="2"/>
      <c r="E1393" s="2"/>
      <c r="F1393" s="8"/>
      <c r="G1393" s="8"/>
      <c r="H1393" s="8"/>
      <c r="M1393" s="3">
        <v>9</v>
      </c>
      <c r="O1393" s="3">
        <v>9</v>
      </c>
      <c r="R1393" s="3">
        <v>9</v>
      </c>
      <c r="T1393" s="3">
        <f>R1393-O1393</f>
        <v>0</v>
      </c>
      <c r="U1393" s="3">
        <v>9</v>
      </c>
      <c r="W1393" s="3">
        <f>U1393-R1393</f>
        <v>0</v>
      </c>
      <c r="X1393" s="3">
        <v>10</v>
      </c>
      <c r="Z1393" s="3">
        <f>X1393-U1393</f>
        <v>1</v>
      </c>
      <c r="AA1393" s="3">
        <v>10</v>
      </c>
      <c r="AC1393" s="3">
        <f>AA1393-X1393</f>
        <v>0</v>
      </c>
      <c r="AD1393" s="24">
        <v>10</v>
      </c>
      <c r="AG1393" s="3">
        <v>10</v>
      </c>
      <c r="AN1393" s="1" t="s">
        <v>285</v>
      </c>
      <c r="AQ1393" s="1" t="s">
        <v>285</v>
      </c>
      <c r="AT1393" s="1" t="s">
        <v>285</v>
      </c>
    </row>
    <row r="1394" spans="1:61">
      <c r="B1394" s="103" t="s">
        <v>736</v>
      </c>
      <c r="C1394" s="1" t="s">
        <v>291</v>
      </c>
      <c r="D1394" s="2"/>
      <c r="E1394" s="2"/>
      <c r="F1394" s="8"/>
      <c r="G1394" s="8"/>
      <c r="H1394" s="8"/>
      <c r="M1394" s="3">
        <v>9</v>
      </c>
      <c r="O1394" s="3">
        <v>9</v>
      </c>
      <c r="R1394" s="3">
        <v>9</v>
      </c>
      <c r="T1394" s="3">
        <f>R1394-O1394</f>
        <v>0</v>
      </c>
      <c r="U1394" s="3">
        <v>9</v>
      </c>
      <c r="W1394" s="3">
        <f>U1394-R1394</f>
        <v>0</v>
      </c>
      <c r="X1394" s="3">
        <v>10</v>
      </c>
      <c r="Z1394" s="3">
        <f>X1394-U1394</f>
        <v>1</v>
      </c>
      <c r="AA1394" s="3">
        <v>10</v>
      </c>
      <c r="AC1394" s="3">
        <f>AA1394-X1394</f>
        <v>0</v>
      </c>
      <c r="AD1394" s="24">
        <v>10</v>
      </c>
      <c r="AG1394" s="3">
        <v>10</v>
      </c>
      <c r="AN1394" s="1" t="s">
        <v>285</v>
      </c>
      <c r="AQ1394" s="1" t="s">
        <v>285</v>
      </c>
      <c r="AT1394" s="1" t="s">
        <v>285</v>
      </c>
    </row>
    <row r="1395" spans="1:61">
      <c r="B1395" s="103" t="s">
        <v>736</v>
      </c>
      <c r="C1395" s="1" t="s">
        <v>857</v>
      </c>
      <c r="D1395" s="2"/>
      <c r="E1395" s="2"/>
      <c r="F1395" s="8"/>
      <c r="G1395" s="8"/>
      <c r="H1395" s="8"/>
      <c r="T1395" s="3"/>
      <c r="W1395" s="3"/>
      <c r="AC1395" s="3"/>
      <c r="AI1395" s="3"/>
      <c r="AL1395" s="3"/>
      <c r="AZ1395" s="3">
        <v>3.5</v>
      </c>
      <c r="BA1395" s="1" t="s">
        <v>852</v>
      </c>
      <c r="BD1395" s="3">
        <v>4.0999999999999996</v>
      </c>
      <c r="BE1395" s="1" t="s">
        <v>852</v>
      </c>
      <c r="BH1395" s="3">
        <v>4.0999999999999996</v>
      </c>
      <c r="BI1395" s="1" t="s">
        <v>852</v>
      </c>
    </row>
    <row r="1396" spans="1:61">
      <c r="B1396" s="103" t="s">
        <v>736</v>
      </c>
      <c r="C1396" s="1" t="s">
        <v>606</v>
      </c>
      <c r="D1396" s="2"/>
      <c r="E1396" s="2"/>
      <c r="F1396" s="8"/>
      <c r="G1396" s="8"/>
      <c r="H1396" s="8"/>
      <c r="M1396" s="3">
        <v>9</v>
      </c>
      <c r="O1396" s="3">
        <v>9</v>
      </c>
      <c r="R1396" s="3">
        <v>9</v>
      </c>
      <c r="T1396" s="3">
        <f>R1396-O1396</f>
        <v>0</v>
      </c>
      <c r="U1396" s="3">
        <v>9</v>
      </c>
      <c r="X1396" s="3">
        <v>10</v>
      </c>
      <c r="Z1396" s="3">
        <f>X1396-U1396</f>
        <v>1</v>
      </c>
      <c r="AA1396" s="3">
        <v>10</v>
      </c>
      <c r="AC1396" s="3">
        <f>AA1396-X1396</f>
        <v>0</v>
      </c>
      <c r="AD1396" s="24">
        <v>10</v>
      </c>
      <c r="AG1396" s="3">
        <v>10</v>
      </c>
      <c r="AN1396" s="1" t="s">
        <v>285</v>
      </c>
      <c r="AQ1396" s="1" t="s">
        <v>285</v>
      </c>
      <c r="AT1396" s="1" t="s">
        <v>285</v>
      </c>
    </row>
    <row r="1397" spans="1:61">
      <c r="B1397" s="103" t="s">
        <v>736</v>
      </c>
      <c r="C1397" s="1" t="s">
        <v>289</v>
      </c>
      <c r="D1397" s="2"/>
      <c r="E1397" s="2"/>
      <c r="F1397" s="8"/>
      <c r="G1397" s="8"/>
      <c r="H1397" s="8"/>
      <c r="T1397" s="3"/>
      <c r="W1397" s="3"/>
      <c r="AC1397" s="3"/>
      <c r="AI1397" s="3"/>
      <c r="AJ1397" s="3">
        <v>12.5</v>
      </c>
      <c r="AN1397" s="1" t="s">
        <v>285</v>
      </c>
      <c r="AQ1397" s="1" t="s">
        <v>285</v>
      </c>
      <c r="AT1397" s="1" t="s">
        <v>285</v>
      </c>
      <c r="AV1397" s="3">
        <v>12</v>
      </c>
    </row>
    <row r="1398" spans="1:61">
      <c r="B1398" s="103" t="s">
        <v>736</v>
      </c>
      <c r="C1398" s="1" t="s">
        <v>160</v>
      </c>
      <c r="D1398" s="2"/>
      <c r="E1398" s="2"/>
      <c r="F1398" s="8"/>
      <c r="G1398" s="8"/>
      <c r="H1398" s="8"/>
      <c r="T1398" s="3"/>
      <c r="W1398" s="3"/>
      <c r="AC1398" s="3"/>
      <c r="AI1398" s="3"/>
      <c r="AL1398" s="3"/>
      <c r="AV1398" s="3">
        <v>2.2000000000000002</v>
      </c>
    </row>
    <row r="1399" spans="1:61">
      <c r="B1399" s="103" t="s">
        <v>736</v>
      </c>
      <c r="C1399" s="1" t="s">
        <v>290</v>
      </c>
      <c r="D1399" s="2"/>
      <c r="E1399" s="2"/>
      <c r="F1399" s="8"/>
      <c r="G1399" s="8"/>
      <c r="H1399" s="8"/>
      <c r="T1399" s="3"/>
      <c r="W1399" s="3"/>
      <c r="AC1399" s="3"/>
      <c r="AI1399" s="3"/>
      <c r="AJ1399" s="3">
        <v>18.899999999999999</v>
      </c>
      <c r="AN1399" s="1" t="s">
        <v>285</v>
      </c>
      <c r="AQ1399" s="1" t="s">
        <v>285</v>
      </c>
      <c r="AT1399" s="1" t="s">
        <v>285</v>
      </c>
      <c r="AV1399" s="3">
        <v>13</v>
      </c>
    </row>
    <row r="1400" spans="1:61" ht="9.6" customHeight="1">
      <c r="B1400" s="103" t="s">
        <v>736</v>
      </c>
      <c r="C1400" s="1" t="s">
        <v>64</v>
      </c>
      <c r="D1400" s="2"/>
      <c r="E1400" s="2"/>
      <c r="F1400" s="8"/>
      <c r="G1400" s="8"/>
      <c r="H1400" s="8"/>
      <c r="M1400" s="3">
        <v>8</v>
      </c>
      <c r="O1400" s="3">
        <v>8</v>
      </c>
      <c r="R1400" s="3">
        <v>8</v>
      </c>
      <c r="T1400" s="3">
        <f>R1400-O1400</f>
        <v>0</v>
      </c>
      <c r="U1400" s="3">
        <v>8</v>
      </c>
      <c r="W1400" s="3">
        <f>U1400-R1400</f>
        <v>0</v>
      </c>
      <c r="X1400" s="3">
        <v>9</v>
      </c>
      <c r="Z1400" s="3">
        <f>X1400-U1400</f>
        <v>1</v>
      </c>
      <c r="AA1400" s="3">
        <v>9</v>
      </c>
      <c r="AC1400" s="3">
        <f>AA1400-X1400</f>
        <v>0</v>
      </c>
      <c r="AD1400" s="24">
        <v>9</v>
      </c>
      <c r="AG1400" s="3">
        <v>9</v>
      </c>
      <c r="AI1400" s="3">
        <f>AG1400-AD1400</f>
        <v>0</v>
      </c>
      <c r="AJ1400" s="3">
        <v>5.95</v>
      </c>
      <c r="AL1400" s="3">
        <f>AJ1400-AG1400</f>
        <v>-3.05</v>
      </c>
      <c r="AN1400" s="1" t="s">
        <v>285</v>
      </c>
      <c r="AQ1400" s="1" t="s">
        <v>285</v>
      </c>
      <c r="AT1400" s="1" t="s">
        <v>285</v>
      </c>
      <c r="AV1400" s="3">
        <v>6.5</v>
      </c>
      <c r="AZ1400" s="3">
        <v>6.5</v>
      </c>
      <c r="BA1400" s="1" t="s">
        <v>852</v>
      </c>
      <c r="BD1400" s="3">
        <v>4.5</v>
      </c>
      <c r="BE1400" s="1" t="s">
        <v>852</v>
      </c>
      <c r="BH1400" s="3">
        <v>4.5</v>
      </c>
      <c r="BI1400" s="1" t="s">
        <v>852</v>
      </c>
    </row>
    <row r="1401" spans="1:61">
      <c r="B1401" s="103" t="s">
        <v>736</v>
      </c>
      <c r="C1401" s="1" t="s">
        <v>286</v>
      </c>
      <c r="D1401" s="2"/>
      <c r="E1401" s="2"/>
      <c r="F1401" s="8"/>
      <c r="G1401" s="8"/>
      <c r="H1401" s="8"/>
      <c r="M1401" s="3">
        <v>8</v>
      </c>
      <c r="O1401" s="3">
        <v>8</v>
      </c>
      <c r="R1401" s="3">
        <v>8</v>
      </c>
      <c r="T1401" s="3">
        <f>R1401-O1401</f>
        <v>0</v>
      </c>
      <c r="U1401" s="3">
        <v>8</v>
      </c>
      <c r="W1401" s="3">
        <f>U1401-R1401</f>
        <v>0</v>
      </c>
      <c r="X1401" s="3">
        <v>9</v>
      </c>
      <c r="Z1401" s="3">
        <f>X1401-U1401</f>
        <v>1</v>
      </c>
      <c r="AA1401" s="3">
        <v>9</v>
      </c>
      <c r="AC1401" s="3">
        <f>AA1401-X1401</f>
        <v>0</v>
      </c>
      <c r="AD1401" s="24">
        <v>9</v>
      </c>
      <c r="AG1401" s="3">
        <v>9</v>
      </c>
      <c r="AI1401" s="3">
        <f>AG1401-AD1401</f>
        <v>0</v>
      </c>
      <c r="AJ1401" s="3">
        <v>6.65</v>
      </c>
      <c r="AL1401" s="3">
        <f>AJ1401-AG1401</f>
        <v>-2.3499999999999996</v>
      </c>
      <c r="AN1401" s="1" t="s">
        <v>285</v>
      </c>
      <c r="AQ1401" s="1" t="s">
        <v>285</v>
      </c>
      <c r="AT1401" s="1" t="s">
        <v>285</v>
      </c>
      <c r="AV1401" s="3">
        <v>6.5</v>
      </c>
      <c r="AZ1401" s="3">
        <v>4.5</v>
      </c>
      <c r="BA1401" s="1" t="s">
        <v>852</v>
      </c>
      <c r="BD1401" s="3">
        <v>4.5</v>
      </c>
      <c r="BE1401" s="1" t="s">
        <v>852</v>
      </c>
      <c r="BH1401" s="3">
        <v>4.5</v>
      </c>
      <c r="BI1401" s="1" t="s">
        <v>852</v>
      </c>
    </row>
    <row r="1402" spans="1:61">
      <c r="B1402" s="103" t="s">
        <v>736</v>
      </c>
      <c r="C1402" s="1" t="s">
        <v>288</v>
      </c>
      <c r="D1402" s="2"/>
      <c r="E1402" s="2"/>
      <c r="F1402" s="8"/>
      <c r="G1402" s="8"/>
      <c r="H1402" s="8"/>
      <c r="M1402" s="3">
        <v>8</v>
      </c>
      <c r="O1402" s="3">
        <v>8</v>
      </c>
      <c r="R1402" s="3">
        <v>8</v>
      </c>
      <c r="T1402" s="3">
        <f>R1402-O1402</f>
        <v>0</v>
      </c>
      <c r="U1402" s="3">
        <v>8</v>
      </c>
      <c r="W1402" s="3">
        <f>U1402-R1402</f>
        <v>0</v>
      </c>
      <c r="X1402" s="3">
        <v>9</v>
      </c>
      <c r="Z1402" s="3">
        <f>X1402-U1402</f>
        <v>1</v>
      </c>
      <c r="AA1402" s="3">
        <v>9</v>
      </c>
      <c r="AC1402" s="3">
        <f>AA1402-X1402</f>
        <v>0</v>
      </c>
      <c r="AD1402" s="24">
        <v>9</v>
      </c>
      <c r="AG1402" s="3">
        <v>9</v>
      </c>
      <c r="AI1402" s="3">
        <f>AG1402-AD1402</f>
        <v>0</v>
      </c>
      <c r="AJ1402" s="3">
        <v>5.75</v>
      </c>
      <c r="AL1402" s="3">
        <f>AJ1402-AG1402</f>
        <v>-3.25</v>
      </c>
      <c r="AN1402" s="1" t="s">
        <v>285</v>
      </c>
      <c r="AQ1402" s="1" t="s">
        <v>285</v>
      </c>
      <c r="AT1402" s="1" t="s">
        <v>285</v>
      </c>
      <c r="AV1402" s="3">
        <v>6.5</v>
      </c>
      <c r="AZ1402" s="3">
        <v>6.5</v>
      </c>
      <c r="BA1402" s="1" t="s">
        <v>852</v>
      </c>
      <c r="BD1402" s="3">
        <v>6.5</v>
      </c>
      <c r="BE1402" s="1" t="s">
        <v>852</v>
      </c>
      <c r="BH1402" s="3">
        <v>6.5</v>
      </c>
      <c r="BI1402" s="1" t="s">
        <v>852</v>
      </c>
    </row>
    <row r="1403" spans="1:61">
      <c r="A1403" s="6">
        <v>11</v>
      </c>
      <c r="B1403" s="103" t="s">
        <v>736</v>
      </c>
      <c r="C1403" s="1" t="s">
        <v>57</v>
      </c>
      <c r="D1403" s="2">
        <v>8</v>
      </c>
      <c r="E1403" s="2"/>
      <c r="F1403" s="8">
        <v>8</v>
      </c>
      <c r="G1403" s="8"/>
      <c r="H1403" s="8">
        <v>8</v>
      </c>
      <c r="I1403" s="8">
        <f>H1403-D1403</f>
        <v>0</v>
      </c>
      <c r="M1403" s="3">
        <v>8</v>
      </c>
      <c r="O1403" s="3">
        <v>8</v>
      </c>
      <c r="Q1403" s="3">
        <f>O1403-H1403</f>
        <v>0</v>
      </c>
      <c r="R1403" s="3">
        <v>8</v>
      </c>
      <c r="T1403" s="3">
        <f>R1403-O1403</f>
        <v>0</v>
      </c>
      <c r="U1403" s="3">
        <v>8</v>
      </c>
      <c r="W1403" s="3">
        <f>U1403-R1403</f>
        <v>0</v>
      </c>
      <c r="X1403" s="3">
        <v>10</v>
      </c>
      <c r="Z1403" s="3">
        <f>X1403-U1403</f>
        <v>2</v>
      </c>
      <c r="AA1403" s="3">
        <v>10</v>
      </c>
      <c r="AC1403" s="3">
        <f>AA1403-X1403</f>
        <v>0</v>
      </c>
      <c r="AN1403" s="1" t="s">
        <v>285</v>
      </c>
      <c r="AQ1403" s="1" t="s">
        <v>285</v>
      </c>
      <c r="AT1403" s="1" t="s">
        <v>285</v>
      </c>
    </row>
    <row r="1404" spans="1:61">
      <c r="B1404" s="103" t="s">
        <v>736</v>
      </c>
      <c r="C1404" s="1" t="s">
        <v>287</v>
      </c>
      <c r="D1404" s="2"/>
      <c r="E1404" s="2"/>
      <c r="F1404" s="8"/>
      <c r="G1404" s="8"/>
      <c r="H1404" s="8"/>
      <c r="M1404" s="3">
        <v>8</v>
      </c>
      <c r="O1404" s="3">
        <v>8</v>
      </c>
      <c r="R1404" s="3">
        <v>8</v>
      </c>
      <c r="T1404" s="3">
        <f>R1404-O1404</f>
        <v>0</v>
      </c>
      <c r="U1404" s="3">
        <v>8</v>
      </c>
      <c r="W1404" s="3">
        <f>U1404-R1404</f>
        <v>0</v>
      </c>
      <c r="X1404" s="3">
        <v>9</v>
      </c>
      <c r="Z1404" s="3">
        <f>X1404-U1404</f>
        <v>1</v>
      </c>
      <c r="AA1404" s="3">
        <v>9</v>
      </c>
      <c r="AC1404" s="3">
        <f>AA1404-X1404</f>
        <v>0</v>
      </c>
      <c r="AD1404" s="24">
        <v>9</v>
      </c>
      <c r="AG1404" s="3">
        <v>9</v>
      </c>
      <c r="AI1404" s="3">
        <f>AG1404-AD1404</f>
        <v>0</v>
      </c>
      <c r="AJ1404" s="3">
        <v>5.95</v>
      </c>
      <c r="AL1404" s="3">
        <f>AJ1404-AG1404</f>
        <v>-3.05</v>
      </c>
      <c r="AN1404" s="1" t="s">
        <v>285</v>
      </c>
      <c r="AQ1404" s="1" t="s">
        <v>285</v>
      </c>
      <c r="AT1404" s="1" t="s">
        <v>285</v>
      </c>
      <c r="AV1404" s="3">
        <v>6.5</v>
      </c>
      <c r="AZ1404" s="3">
        <v>6.5</v>
      </c>
      <c r="BA1404" s="1" t="s">
        <v>852</v>
      </c>
      <c r="BD1404" s="3">
        <v>6.5</v>
      </c>
      <c r="BE1404" s="1" t="s">
        <v>852</v>
      </c>
      <c r="BH1404" s="3">
        <v>6.5</v>
      </c>
      <c r="BI1404" s="1" t="s">
        <v>852</v>
      </c>
    </row>
    <row r="1405" spans="1:61">
      <c r="A1405" s="6">
        <v>1</v>
      </c>
      <c r="B1405" s="1" t="s">
        <v>676</v>
      </c>
      <c r="C1405" s="1" t="s">
        <v>52</v>
      </c>
      <c r="F1405" s="9" t="s">
        <v>685</v>
      </c>
      <c r="H1405" s="9" t="s">
        <v>685</v>
      </c>
      <c r="M1405" s="2" t="s">
        <v>685</v>
      </c>
      <c r="O1405" s="2" t="s">
        <v>685</v>
      </c>
      <c r="R1405" s="2" t="s">
        <v>685</v>
      </c>
    </row>
    <row r="1406" spans="1:61">
      <c r="A1406" s="6">
        <v>3</v>
      </c>
      <c r="B1406" s="1" t="s">
        <v>676</v>
      </c>
      <c r="C1406" s="1" t="s">
        <v>54</v>
      </c>
      <c r="F1406" s="9" t="s">
        <v>685</v>
      </c>
      <c r="H1406" s="9" t="s">
        <v>685</v>
      </c>
      <c r="M1406" s="2" t="s">
        <v>685</v>
      </c>
      <c r="O1406" s="2" t="s">
        <v>685</v>
      </c>
      <c r="R1406" s="2" t="s">
        <v>685</v>
      </c>
    </row>
    <row r="1407" spans="1:61">
      <c r="A1407" s="6">
        <v>4</v>
      </c>
      <c r="B1407" s="1" t="s">
        <v>676</v>
      </c>
      <c r="C1407" s="1" t="s">
        <v>55</v>
      </c>
      <c r="F1407" s="9" t="s">
        <v>685</v>
      </c>
      <c r="H1407" s="9" t="s">
        <v>685</v>
      </c>
      <c r="M1407" s="2" t="s">
        <v>685</v>
      </c>
      <c r="O1407" s="2" t="s">
        <v>685</v>
      </c>
      <c r="R1407" s="2" t="s">
        <v>685</v>
      </c>
    </row>
    <row r="1408" spans="1:61">
      <c r="A1408" s="6">
        <v>5</v>
      </c>
      <c r="B1408" s="1" t="s">
        <v>676</v>
      </c>
      <c r="C1408" s="1" t="s">
        <v>56</v>
      </c>
      <c r="F1408" s="9" t="s">
        <v>685</v>
      </c>
      <c r="H1408" s="9" t="s">
        <v>685</v>
      </c>
      <c r="M1408" s="2" t="s">
        <v>685</v>
      </c>
      <c r="O1408" s="2" t="s">
        <v>685</v>
      </c>
      <c r="R1408" s="2" t="s">
        <v>685</v>
      </c>
    </row>
    <row r="1409" spans="1:61">
      <c r="A1409" s="6">
        <v>2</v>
      </c>
      <c r="B1409" s="1" t="s">
        <v>676</v>
      </c>
      <c r="C1409" s="1" t="s">
        <v>53</v>
      </c>
      <c r="F1409" s="9">
        <v>5.66</v>
      </c>
      <c r="H1409" s="9">
        <v>5.66</v>
      </c>
      <c r="M1409" s="2">
        <v>5.66</v>
      </c>
      <c r="O1409" s="2">
        <v>5.66</v>
      </c>
      <c r="Q1409" s="3">
        <f>O1409-H1409</f>
        <v>0</v>
      </c>
      <c r="R1409" s="2" t="s">
        <v>685</v>
      </c>
    </row>
    <row r="1410" spans="1:61">
      <c r="B1410" s="1" t="s">
        <v>676</v>
      </c>
      <c r="C1410" s="1" t="s">
        <v>595</v>
      </c>
      <c r="M1410" s="2"/>
      <c r="O1410" s="2"/>
      <c r="Q1410" s="3"/>
      <c r="R1410" s="3">
        <v>15.17</v>
      </c>
      <c r="T1410" s="3"/>
      <c r="U1410" s="3">
        <v>7</v>
      </c>
      <c r="W1410" s="3">
        <f>U1410-R1410</f>
        <v>-8.17</v>
      </c>
      <c r="X1410" s="3">
        <v>7</v>
      </c>
      <c r="Z1410" s="3">
        <f>X1410-U1410</f>
        <v>0</v>
      </c>
    </row>
    <row r="1411" spans="1:61">
      <c r="A1411" s="6">
        <v>12</v>
      </c>
      <c r="B1411" s="1" t="s">
        <v>676</v>
      </c>
      <c r="C1411" s="1" t="s">
        <v>594</v>
      </c>
      <c r="F1411" s="9">
        <v>3.03</v>
      </c>
      <c r="H1411" s="9">
        <v>3.03</v>
      </c>
      <c r="M1411" s="2">
        <v>3.03</v>
      </c>
      <c r="O1411" s="2">
        <v>3.03</v>
      </c>
      <c r="Q1411" s="3">
        <f>O1411-H1411</f>
        <v>0</v>
      </c>
      <c r="R1411" s="3">
        <v>4.29</v>
      </c>
      <c r="T1411" s="3">
        <f>R1411-O1411</f>
        <v>1.2600000000000002</v>
      </c>
      <c r="U1411" s="3">
        <v>4.29</v>
      </c>
      <c r="W1411" s="3">
        <f>U1411-R1411</f>
        <v>0</v>
      </c>
      <c r="X1411" s="3">
        <v>4.29</v>
      </c>
      <c r="Z1411" s="3">
        <f>X1411-U1411</f>
        <v>0</v>
      </c>
      <c r="AA1411" s="3">
        <v>12.6</v>
      </c>
      <c r="AC1411" s="3">
        <f>AA1411-X1411</f>
        <v>8.3099999999999987</v>
      </c>
      <c r="AD1411" s="24">
        <v>6.52</v>
      </c>
      <c r="AF1411" s="24">
        <f>AD1411-AA1411</f>
        <v>-6.08</v>
      </c>
      <c r="AG1411" s="3">
        <v>4.6900000000000004</v>
      </c>
      <c r="AI1411" s="3">
        <f>AG1411-AD1411</f>
        <v>-1.8299999999999992</v>
      </c>
      <c r="AJ1411" s="3">
        <v>7.12</v>
      </c>
      <c r="AL1411" s="3">
        <f>AJ1411-AG1411</f>
        <v>2.4299999999999997</v>
      </c>
      <c r="AM1411" s="3">
        <v>6.64</v>
      </c>
      <c r="AO1411" s="3">
        <f>AM1411-AJ1411</f>
        <v>-0.48000000000000043</v>
      </c>
      <c r="AP1411" s="3">
        <v>6</v>
      </c>
      <c r="AS1411" s="3">
        <v>6</v>
      </c>
      <c r="AV1411" s="3">
        <v>9</v>
      </c>
      <c r="AZ1411" s="3">
        <v>12</v>
      </c>
      <c r="BA1411" s="1" t="s">
        <v>852</v>
      </c>
      <c r="BC1411" s="3">
        <v>12</v>
      </c>
      <c r="BD1411" s="3">
        <v>12.09</v>
      </c>
      <c r="BG1411" s="3">
        <v>12.09</v>
      </c>
      <c r="BH1411" s="3">
        <v>12.37</v>
      </c>
      <c r="BI1411" s="1" t="s">
        <v>852</v>
      </c>
    </row>
    <row r="1412" spans="1:61">
      <c r="A1412" s="6">
        <v>14</v>
      </c>
      <c r="B1412" s="1" t="s">
        <v>676</v>
      </c>
      <c r="C1412" s="1" t="s">
        <v>58</v>
      </c>
      <c r="F1412" s="9">
        <v>10.87</v>
      </c>
      <c r="H1412" s="9">
        <v>10.87</v>
      </c>
      <c r="M1412" s="2">
        <v>10.87</v>
      </c>
      <c r="O1412" s="2">
        <v>10.87</v>
      </c>
      <c r="Q1412" s="3">
        <f>O1412-H1412</f>
        <v>0</v>
      </c>
      <c r="R1412" s="3">
        <v>11.12</v>
      </c>
      <c r="T1412" s="3">
        <f>R1412-O1412</f>
        <v>0.25</v>
      </c>
      <c r="U1412" s="3">
        <v>13.35</v>
      </c>
      <c r="W1412" s="3">
        <f>U1412-R1412</f>
        <v>2.2300000000000004</v>
      </c>
      <c r="X1412" s="3">
        <v>13.35</v>
      </c>
      <c r="Z1412" s="3">
        <f>X1412-U1412</f>
        <v>0</v>
      </c>
      <c r="AA1412" s="3">
        <v>15.26</v>
      </c>
      <c r="AC1412" s="3">
        <f>AA1412-X1412</f>
        <v>1.9100000000000001</v>
      </c>
      <c r="AD1412" s="24">
        <v>20.5</v>
      </c>
      <c r="AF1412" s="24">
        <f>AD1412-AA1412</f>
        <v>5.24</v>
      </c>
      <c r="AG1412" s="3">
        <v>21.7</v>
      </c>
      <c r="AI1412" s="3">
        <f>AG1412-AD1412</f>
        <v>1.1999999999999993</v>
      </c>
      <c r="AJ1412" s="3">
        <v>21.7</v>
      </c>
      <c r="AL1412" s="3">
        <f>AJ1412-AG1412</f>
        <v>0</v>
      </c>
      <c r="AM1412" s="3">
        <v>21.7</v>
      </c>
      <c r="AO1412" s="3">
        <f>AM1412-AJ1412</f>
        <v>0</v>
      </c>
      <c r="AP1412" s="3">
        <v>21</v>
      </c>
      <c r="AS1412" s="3">
        <v>21</v>
      </c>
      <c r="AV1412" s="3">
        <v>21</v>
      </c>
      <c r="AZ1412" s="3">
        <v>10</v>
      </c>
      <c r="BA1412" s="1" t="s">
        <v>852</v>
      </c>
      <c r="BC1412" s="3">
        <v>10</v>
      </c>
      <c r="BD1412" s="3">
        <v>13.11</v>
      </c>
      <c r="BG1412" s="3">
        <v>13.11</v>
      </c>
      <c r="BH1412" s="3">
        <v>9.3000000000000007</v>
      </c>
      <c r="BI1412" s="1" t="s">
        <v>852</v>
      </c>
    </row>
    <row r="1413" spans="1:61">
      <c r="B1413" s="1" t="s">
        <v>676</v>
      </c>
      <c r="C1413" s="1" t="s">
        <v>857</v>
      </c>
      <c r="M1413" s="2"/>
      <c r="O1413" s="2"/>
      <c r="Q1413" s="3"/>
      <c r="T1413" s="3"/>
      <c r="AZ1413" s="3">
        <v>17</v>
      </c>
      <c r="BA1413" s="1" t="s">
        <v>852</v>
      </c>
      <c r="BC1413" s="3">
        <v>17</v>
      </c>
      <c r="BD1413" s="3">
        <v>26.73</v>
      </c>
      <c r="BG1413" s="3">
        <v>26.73</v>
      </c>
      <c r="BH1413" s="3">
        <v>19.82</v>
      </c>
      <c r="BI1413" s="1" t="s">
        <v>852</v>
      </c>
    </row>
    <row r="1414" spans="1:61">
      <c r="B1414" s="1" t="s">
        <v>676</v>
      </c>
      <c r="C1414" s="1" t="s">
        <v>290</v>
      </c>
      <c r="M1414" s="2"/>
      <c r="O1414" s="2"/>
      <c r="Q1414" s="3"/>
      <c r="T1414" s="3"/>
      <c r="AV1414" s="3">
        <v>15</v>
      </c>
    </row>
    <row r="1415" spans="1:61">
      <c r="B1415" s="1" t="s">
        <v>676</v>
      </c>
      <c r="C1415" s="1" t="s">
        <v>64</v>
      </c>
      <c r="M1415" s="2"/>
      <c r="O1415" s="2"/>
      <c r="Q1415" s="3"/>
      <c r="R1415" s="3">
        <v>24.03</v>
      </c>
      <c r="T1415" s="3"/>
      <c r="U1415" s="3">
        <v>24.03</v>
      </c>
      <c r="W1415" s="3">
        <f>U1415-R1415</f>
        <v>0</v>
      </c>
      <c r="X1415" s="3">
        <v>24.03</v>
      </c>
      <c r="Z1415" s="3">
        <f>X1415-U1415</f>
        <v>0</v>
      </c>
      <c r="AA1415" s="3">
        <v>24.32</v>
      </c>
      <c r="AC1415" s="3">
        <f>AA1415-X1415</f>
        <v>0.28999999999999915</v>
      </c>
      <c r="AD1415" s="24">
        <v>21.9</v>
      </c>
      <c r="AF1415" s="24">
        <f>AD1415-AA1415</f>
        <v>-2.4200000000000017</v>
      </c>
      <c r="AG1415" s="3">
        <v>30.9</v>
      </c>
      <c r="AI1415" s="3">
        <f>AG1415-AD1415</f>
        <v>9</v>
      </c>
      <c r="AJ1415" s="3">
        <v>30.9</v>
      </c>
      <c r="AL1415" s="3">
        <f>AJ1415-AG1415</f>
        <v>0</v>
      </c>
      <c r="AM1415" s="3">
        <v>30.9</v>
      </c>
      <c r="AO1415" s="3">
        <f>AM1415-AJ1415</f>
        <v>0</v>
      </c>
      <c r="AP1415" s="3">
        <v>29</v>
      </c>
      <c r="AS1415" s="3">
        <v>29</v>
      </c>
      <c r="AV1415" s="3">
        <v>29</v>
      </c>
      <c r="AZ1415" s="3">
        <v>17</v>
      </c>
      <c r="BA1415" s="1" t="s">
        <v>852</v>
      </c>
      <c r="BC1415" s="3">
        <v>17</v>
      </c>
      <c r="BD1415" s="3">
        <v>19.04</v>
      </c>
      <c r="BG1415" s="3">
        <v>19.04</v>
      </c>
      <c r="BH1415" s="3">
        <v>22.01</v>
      </c>
      <c r="BI1415" s="1" t="s">
        <v>852</v>
      </c>
    </row>
    <row r="1416" spans="1:61">
      <c r="B1416" s="1" t="s">
        <v>676</v>
      </c>
      <c r="C1416" s="1" t="s">
        <v>286</v>
      </c>
      <c r="M1416" s="2"/>
      <c r="O1416" s="2"/>
      <c r="Q1416" s="3"/>
      <c r="R1416" s="3">
        <v>24.6</v>
      </c>
      <c r="T1416" s="3"/>
      <c r="U1416" s="3">
        <v>24.02</v>
      </c>
      <c r="W1416" s="3">
        <f>U1416-R1416</f>
        <v>-0.58000000000000185</v>
      </c>
      <c r="X1416" s="3">
        <v>24.03</v>
      </c>
      <c r="Z1416" s="3">
        <f>X1416-U1416</f>
        <v>1.0000000000001563E-2</v>
      </c>
      <c r="AA1416" s="3">
        <v>21.45</v>
      </c>
      <c r="AC1416" s="3">
        <f>AA1416-X1416</f>
        <v>-2.5800000000000018</v>
      </c>
      <c r="AD1416" s="24">
        <v>20.5</v>
      </c>
      <c r="AF1416" s="24">
        <f>AD1416-AA1416</f>
        <v>-0.94999999999999929</v>
      </c>
      <c r="AG1416" s="3">
        <v>26.2</v>
      </c>
      <c r="AI1416" s="3">
        <f>AG1416-AD1416</f>
        <v>5.6999999999999993</v>
      </c>
      <c r="AJ1416" s="3">
        <v>26.2</v>
      </c>
      <c r="AL1416" s="3">
        <f>AJ1416-AG1416</f>
        <v>0</v>
      </c>
      <c r="AM1416" s="3">
        <v>26.2</v>
      </c>
      <c r="AO1416" s="3">
        <f>AM1416-AJ1416</f>
        <v>0</v>
      </c>
      <c r="AP1416" s="3">
        <v>10</v>
      </c>
      <c r="AS1416" s="3">
        <v>10</v>
      </c>
      <c r="AV1416" s="3">
        <v>10</v>
      </c>
      <c r="AZ1416" s="3">
        <v>11</v>
      </c>
      <c r="BA1416" s="1" t="s">
        <v>852</v>
      </c>
      <c r="BC1416" s="3">
        <v>11</v>
      </c>
      <c r="BD1416" s="3">
        <v>10.33</v>
      </c>
      <c r="BG1416" s="3">
        <v>10.33</v>
      </c>
      <c r="BH1416" s="3">
        <v>11.08</v>
      </c>
      <c r="BI1416" s="1" t="s">
        <v>852</v>
      </c>
    </row>
    <row r="1417" spans="1:61">
      <c r="B1417" s="1" t="s">
        <v>676</v>
      </c>
      <c r="C1417" s="1" t="s">
        <v>288</v>
      </c>
      <c r="M1417" s="2"/>
      <c r="O1417" s="2"/>
      <c r="Q1417" s="3"/>
      <c r="R1417" s="3">
        <v>24.1</v>
      </c>
      <c r="T1417" s="3"/>
      <c r="U1417" s="3">
        <v>24.1</v>
      </c>
      <c r="W1417" s="3">
        <f>U1417-R1417</f>
        <v>0</v>
      </c>
      <c r="X1417" s="3">
        <v>24.1</v>
      </c>
      <c r="Z1417" s="3">
        <f>X1417-U1417</f>
        <v>0</v>
      </c>
      <c r="AA1417" s="3">
        <v>22.89</v>
      </c>
      <c r="AC1417" s="3">
        <f>AA1417-X1417</f>
        <v>-1.2100000000000009</v>
      </c>
      <c r="AD1417" s="24">
        <v>22.89</v>
      </c>
      <c r="AF1417" s="24">
        <f>AD1417-AA1417</f>
        <v>0</v>
      </c>
      <c r="AG1417" s="3">
        <v>29.8</v>
      </c>
      <c r="AI1417" s="3">
        <f>AG1417-AD1417</f>
        <v>6.91</v>
      </c>
      <c r="AJ1417" s="3">
        <v>29.8</v>
      </c>
      <c r="AL1417" s="3">
        <f>AJ1417-AG1417</f>
        <v>0</v>
      </c>
      <c r="AM1417" s="3">
        <v>29.8</v>
      </c>
      <c r="AO1417" s="3">
        <f>AM1417-AJ1417</f>
        <v>0</v>
      </c>
      <c r="AP1417" s="3">
        <v>21</v>
      </c>
      <c r="AS1417" s="3">
        <v>21</v>
      </c>
      <c r="AV1417" s="3">
        <v>21</v>
      </c>
      <c r="AZ1417" s="3">
        <v>12</v>
      </c>
      <c r="BA1417" s="1" t="s">
        <v>852</v>
      </c>
      <c r="BC1417" s="3">
        <v>12</v>
      </c>
      <c r="BD1417" s="3">
        <v>11.77</v>
      </c>
      <c r="BG1417" s="3">
        <v>11.77</v>
      </c>
      <c r="BH1417" s="3">
        <v>14.15</v>
      </c>
      <c r="BI1417" s="1" t="s">
        <v>852</v>
      </c>
    </row>
    <row r="1418" spans="1:61">
      <c r="A1418" s="6">
        <v>11</v>
      </c>
      <c r="B1418" s="1" t="s">
        <v>676</v>
      </c>
      <c r="C1418" s="1" t="s">
        <v>57</v>
      </c>
      <c r="F1418" s="9" t="s">
        <v>685</v>
      </c>
      <c r="H1418" s="9" t="s">
        <v>685</v>
      </c>
      <c r="M1418" s="2" t="s">
        <v>685</v>
      </c>
      <c r="O1418" s="2" t="s">
        <v>685</v>
      </c>
      <c r="R1418" s="3">
        <v>24.03</v>
      </c>
      <c r="T1418" s="3"/>
    </row>
    <row r="1419" spans="1:61">
      <c r="B1419" s="1" t="s">
        <v>676</v>
      </c>
      <c r="C1419" s="1" t="s">
        <v>287</v>
      </c>
      <c r="M1419" s="2"/>
      <c r="O1419" s="2"/>
      <c r="Q1419" s="3"/>
      <c r="R1419" s="3">
        <v>24.6</v>
      </c>
      <c r="T1419" s="3"/>
      <c r="AZ1419" s="3">
        <v>9</v>
      </c>
      <c r="BA1419" s="1" t="s">
        <v>852</v>
      </c>
      <c r="BC1419" s="3">
        <v>9</v>
      </c>
      <c r="BD1419" s="3">
        <v>18.25</v>
      </c>
      <c r="BG1419" s="3">
        <v>18.25</v>
      </c>
      <c r="BH1419" s="3">
        <v>18.25</v>
      </c>
      <c r="BI1419" s="1" t="s">
        <v>852</v>
      </c>
    </row>
    <row r="1420" spans="1:61">
      <c r="A1420" s="6">
        <v>1</v>
      </c>
      <c r="B1420" s="103" t="s">
        <v>678</v>
      </c>
      <c r="C1420" s="1" t="s">
        <v>52</v>
      </c>
      <c r="D1420" s="2">
        <v>9.3800000000000008</v>
      </c>
      <c r="E1420" s="2"/>
      <c r="F1420" s="9">
        <v>16</v>
      </c>
      <c r="H1420" s="9">
        <v>16</v>
      </c>
      <c r="I1420" s="8">
        <f>H1420-D1420</f>
        <v>6.6199999999999992</v>
      </c>
      <c r="L1420" s="1" t="s">
        <v>491</v>
      </c>
      <c r="M1420" s="3">
        <v>18</v>
      </c>
      <c r="O1420" s="3">
        <v>18</v>
      </c>
      <c r="Q1420" s="3">
        <f>O1420-H1420</f>
        <v>2</v>
      </c>
      <c r="R1420" s="3">
        <v>25</v>
      </c>
      <c r="T1420" s="2">
        <f>R1420-O1420</f>
        <v>7</v>
      </c>
      <c r="U1420" s="3">
        <v>18</v>
      </c>
      <c r="W1420" s="3">
        <f>U1420-R1420</f>
        <v>-7</v>
      </c>
      <c r="X1420" s="3">
        <v>18</v>
      </c>
      <c r="AG1420" s="3">
        <v>18</v>
      </c>
      <c r="AP1420" s="3">
        <v>18</v>
      </c>
      <c r="AS1420" s="3">
        <v>18</v>
      </c>
      <c r="AV1420" s="3">
        <v>18</v>
      </c>
    </row>
    <row r="1421" spans="1:61">
      <c r="A1421" s="6">
        <v>3</v>
      </c>
      <c r="B1421" s="103" t="s">
        <v>678</v>
      </c>
      <c r="C1421" s="1" t="s">
        <v>54</v>
      </c>
      <c r="D1421" s="2"/>
      <c r="E1421" s="2"/>
      <c r="F1421" s="9">
        <v>0</v>
      </c>
      <c r="H1421" s="9">
        <v>0</v>
      </c>
    </row>
    <row r="1422" spans="1:61">
      <c r="A1422" s="6">
        <v>4</v>
      </c>
      <c r="B1422" s="103" t="s">
        <v>678</v>
      </c>
      <c r="C1422" s="1" t="s">
        <v>55</v>
      </c>
      <c r="D1422" s="2"/>
      <c r="E1422" s="2"/>
      <c r="F1422" s="9">
        <v>0</v>
      </c>
      <c r="H1422" s="9">
        <v>0</v>
      </c>
    </row>
    <row r="1423" spans="1:61">
      <c r="A1423" s="6">
        <v>5</v>
      </c>
      <c r="B1423" s="103" t="s">
        <v>678</v>
      </c>
      <c r="C1423" s="1" t="s">
        <v>56</v>
      </c>
      <c r="D1423" s="2"/>
      <c r="E1423" s="2"/>
      <c r="F1423" s="9">
        <v>0</v>
      </c>
      <c r="H1423" s="9">
        <v>0</v>
      </c>
    </row>
    <row r="1424" spans="1:61">
      <c r="A1424" s="6">
        <v>2</v>
      </c>
      <c r="B1424" s="103" t="s">
        <v>678</v>
      </c>
      <c r="C1424" s="1" t="s">
        <v>53</v>
      </c>
      <c r="D1424" s="2">
        <v>8</v>
      </c>
      <c r="E1424" s="2"/>
      <c r="F1424" s="9">
        <v>10.5</v>
      </c>
      <c r="H1424" s="9">
        <v>10.5</v>
      </c>
      <c r="I1424" s="10">
        <f>H1424-D1424</f>
        <v>2.5</v>
      </c>
      <c r="M1424" s="3">
        <v>12</v>
      </c>
      <c r="O1424" s="3">
        <v>12</v>
      </c>
      <c r="Q1424" s="3">
        <f>O1424-H1424</f>
        <v>1.5</v>
      </c>
      <c r="R1424" s="3">
        <v>8</v>
      </c>
      <c r="T1424" s="3">
        <f>R1424-O1424</f>
        <v>-4</v>
      </c>
      <c r="U1424" s="3">
        <v>12</v>
      </c>
      <c r="W1424" s="3">
        <f>U1424-R1424</f>
        <v>4</v>
      </c>
      <c r="X1424" s="3">
        <v>12</v>
      </c>
      <c r="AG1424" s="3">
        <v>12</v>
      </c>
      <c r="AP1424" s="3">
        <v>12</v>
      </c>
      <c r="AS1424" s="3">
        <v>12</v>
      </c>
      <c r="AV1424" s="3">
        <v>12</v>
      </c>
    </row>
    <row r="1425" spans="1:56">
      <c r="A1425" s="6">
        <v>12</v>
      </c>
      <c r="B1425" s="103" t="s">
        <v>678</v>
      </c>
      <c r="C1425" s="1" t="s">
        <v>594</v>
      </c>
      <c r="D1425" s="2">
        <v>5.46</v>
      </c>
      <c r="E1425" s="2"/>
      <c r="F1425" s="9">
        <v>8</v>
      </c>
      <c r="H1425" s="9">
        <v>8</v>
      </c>
      <c r="I1425" s="8">
        <f>H1425-D1425</f>
        <v>2.54</v>
      </c>
      <c r="M1425" s="3">
        <v>8</v>
      </c>
      <c r="O1425" s="3">
        <v>8</v>
      </c>
      <c r="Q1425" s="3">
        <f>O1425-H1425</f>
        <v>0</v>
      </c>
      <c r="R1425" s="3">
        <v>8</v>
      </c>
      <c r="T1425" s="3">
        <f>R1425-O1425</f>
        <v>0</v>
      </c>
      <c r="U1425" s="3">
        <v>8</v>
      </c>
      <c r="W1425" s="3">
        <f>U1425-R1425</f>
        <v>0</v>
      </c>
      <c r="X1425" s="3">
        <v>8</v>
      </c>
      <c r="AA1425" s="3">
        <v>9</v>
      </c>
      <c r="AG1425" s="3">
        <v>8</v>
      </c>
      <c r="AJ1425" s="3">
        <v>4.75</v>
      </c>
      <c r="AL1425" s="3">
        <f>AJ1425-AG1425</f>
        <v>-3.25</v>
      </c>
      <c r="AP1425" s="3">
        <v>8</v>
      </c>
      <c r="AS1425" s="3">
        <v>8</v>
      </c>
      <c r="AV1425" s="3">
        <v>8</v>
      </c>
      <c r="AZ1425" s="3">
        <v>9</v>
      </c>
      <c r="BD1425" s="3">
        <v>9</v>
      </c>
    </row>
    <row r="1426" spans="1:56">
      <c r="A1426" s="6">
        <v>14</v>
      </c>
      <c r="B1426" s="103" t="s">
        <v>678</v>
      </c>
      <c r="C1426" s="1" t="s">
        <v>58</v>
      </c>
      <c r="D1426" s="2"/>
      <c r="E1426" s="2"/>
      <c r="F1426" s="9">
        <v>16</v>
      </c>
      <c r="H1426" s="9">
        <v>16</v>
      </c>
      <c r="L1426" s="1" t="s">
        <v>304</v>
      </c>
      <c r="M1426" s="3">
        <v>14</v>
      </c>
      <c r="O1426" s="3">
        <v>14</v>
      </c>
      <c r="Q1426" s="3">
        <f>O1426-H1426</f>
        <v>-2</v>
      </c>
      <c r="R1426" s="3">
        <v>26</v>
      </c>
      <c r="T1426" s="3">
        <f>R1426-O1426</f>
        <v>12</v>
      </c>
      <c r="U1426" s="3">
        <v>14</v>
      </c>
      <c r="W1426" s="3">
        <f>U1426-R1426</f>
        <v>-12</v>
      </c>
      <c r="X1426" s="3">
        <v>14</v>
      </c>
      <c r="AA1426" s="3">
        <v>21</v>
      </c>
      <c r="AD1426" s="24">
        <f>220/13.5</f>
        <v>16.296296296296298</v>
      </c>
      <c r="AE1426" s="1" t="s">
        <v>167</v>
      </c>
      <c r="AG1426" s="3">
        <v>14</v>
      </c>
      <c r="AI1426" s="3">
        <f>AG1426-AD1426</f>
        <v>-2.2962962962962976</v>
      </c>
      <c r="AJ1426" s="3">
        <v>4.75</v>
      </c>
      <c r="AL1426" s="3">
        <f>AJ1426-AG1426</f>
        <v>-9.25</v>
      </c>
      <c r="AM1426" s="3">
        <f>220/13.5</f>
        <v>16.296296296296298</v>
      </c>
      <c r="AN1426" s="1" t="s">
        <v>167</v>
      </c>
      <c r="AP1426" s="3">
        <v>14</v>
      </c>
      <c r="AS1426" s="3">
        <v>14</v>
      </c>
      <c r="AV1426" s="3">
        <v>14</v>
      </c>
    </row>
    <row r="1427" spans="1:56">
      <c r="B1427" s="103" t="s">
        <v>678</v>
      </c>
      <c r="C1427" s="1" t="s">
        <v>289</v>
      </c>
      <c r="D1427" s="2"/>
      <c r="E1427" s="2"/>
      <c r="Q1427" s="3"/>
      <c r="R1427" s="3">
        <v>42</v>
      </c>
      <c r="T1427" s="3"/>
      <c r="AA1427" s="3">
        <v>21</v>
      </c>
      <c r="AD1427" s="24">
        <f>100/13.5</f>
        <v>7.4074074074074074</v>
      </c>
      <c r="AE1427" s="1" t="s">
        <v>168</v>
      </c>
      <c r="AG1427" s="3">
        <v>8</v>
      </c>
      <c r="AI1427" s="3">
        <f>AG1427-AD1427</f>
        <v>0.59259259259259256</v>
      </c>
      <c r="AJ1427" s="3">
        <v>6.06</v>
      </c>
      <c r="AL1427" s="3">
        <f>AJ1427-AG1427</f>
        <v>-1.9400000000000004</v>
      </c>
      <c r="AM1427" s="3">
        <v>100</v>
      </c>
      <c r="AZ1427" s="3">
        <v>20</v>
      </c>
      <c r="BD1427" s="3">
        <v>20</v>
      </c>
    </row>
    <row r="1428" spans="1:56">
      <c r="B1428" s="103" t="s">
        <v>678</v>
      </c>
      <c r="C1428" s="1" t="s">
        <v>290</v>
      </c>
      <c r="D1428" s="2"/>
      <c r="E1428" s="2"/>
      <c r="Q1428" s="3"/>
      <c r="T1428" s="3"/>
      <c r="AD1428" s="24">
        <f>110/13.5</f>
        <v>8.1481481481481488</v>
      </c>
      <c r="AE1428" s="1" t="s">
        <v>168</v>
      </c>
      <c r="AG1428" s="3">
        <v>9</v>
      </c>
      <c r="AI1428" s="3">
        <f>AG1428-AD1428</f>
        <v>0.85185185185185119</v>
      </c>
      <c r="AJ1428" s="3">
        <v>72.75</v>
      </c>
      <c r="AL1428" s="3">
        <f>AJ1428-AG1428</f>
        <v>63.75</v>
      </c>
      <c r="AM1428" s="3">
        <v>110</v>
      </c>
      <c r="AZ1428" s="3">
        <v>21</v>
      </c>
      <c r="BD1428" s="3">
        <v>21</v>
      </c>
    </row>
    <row r="1429" spans="1:56">
      <c r="B1429" s="103" t="s">
        <v>678</v>
      </c>
      <c r="C1429" s="1" t="s">
        <v>64</v>
      </c>
      <c r="D1429" s="2"/>
      <c r="E1429" s="2"/>
      <c r="Q1429" s="3"/>
      <c r="R1429" s="3">
        <v>42</v>
      </c>
      <c r="T1429" s="3"/>
      <c r="AA1429" s="3">
        <v>21</v>
      </c>
      <c r="AD1429" s="24">
        <f>450/13.5</f>
        <v>33.333333333333336</v>
      </c>
      <c r="AE1429" s="1" t="s">
        <v>168</v>
      </c>
      <c r="AG1429" s="3">
        <v>33</v>
      </c>
      <c r="AI1429" s="3">
        <f>AG1429-AD1429</f>
        <v>-0.3333333333333357</v>
      </c>
      <c r="AM1429" s="3">
        <v>450</v>
      </c>
      <c r="AZ1429" s="3">
        <v>18</v>
      </c>
      <c r="BD1429" s="3">
        <v>18</v>
      </c>
    </row>
    <row r="1430" spans="1:56">
      <c r="B1430" s="103" t="s">
        <v>678</v>
      </c>
      <c r="C1430" s="1" t="s">
        <v>855</v>
      </c>
      <c r="D1430" s="2"/>
      <c r="E1430" s="2"/>
      <c r="Q1430" s="3"/>
      <c r="T1430" s="3"/>
      <c r="AI1430" s="3"/>
      <c r="AZ1430" s="3">
        <v>18</v>
      </c>
      <c r="BD1430" s="3">
        <v>18</v>
      </c>
    </row>
    <row r="1431" spans="1:56">
      <c r="B1431" s="103" t="s">
        <v>678</v>
      </c>
      <c r="C1431" s="1" t="s">
        <v>286</v>
      </c>
      <c r="D1431" s="2"/>
      <c r="E1431" s="2"/>
      <c r="Q1431" s="3"/>
      <c r="T1431" s="3"/>
      <c r="AA1431" s="3">
        <v>32</v>
      </c>
      <c r="AD1431" s="24">
        <f>580/13.5</f>
        <v>42.962962962962962</v>
      </c>
      <c r="AE1431" s="1" t="s">
        <v>168</v>
      </c>
      <c r="AG1431" s="3">
        <v>42</v>
      </c>
      <c r="AI1431" s="3">
        <f>AG1431-AD1431</f>
        <v>-0.96296296296296191</v>
      </c>
      <c r="AJ1431" s="3">
        <v>8</v>
      </c>
      <c r="AL1431" s="3">
        <f>AJ1431-AG1431</f>
        <v>-34</v>
      </c>
      <c r="AM1431" s="3">
        <v>580</v>
      </c>
    </row>
    <row r="1432" spans="1:56">
      <c r="B1432" s="103" t="s">
        <v>678</v>
      </c>
      <c r="C1432" s="1" t="s">
        <v>288</v>
      </c>
      <c r="D1432" s="2"/>
      <c r="E1432" s="2"/>
      <c r="Q1432" s="3"/>
      <c r="T1432" s="3"/>
      <c r="AD1432" s="24">
        <f>580/13.5</f>
        <v>42.962962962962962</v>
      </c>
      <c r="AE1432" s="1" t="s">
        <v>168</v>
      </c>
      <c r="AG1432" s="3">
        <v>42</v>
      </c>
      <c r="AI1432" s="3">
        <f>AG1432-AD1432</f>
        <v>-0.96296296296296191</v>
      </c>
      <c r="AJ1432" s="3">
        <v>9.4499999999999993</v>
      </c>
      <c r="AL1432" s="3">
        <f>AJ1432-AG1432</f>
        <v>-32.549999999999997</v>
      </c>
      <c r="AM1432" s="3">
        <v>580</v>
      </c>
      <c r="AZ1432" s="3">
        <v>18</v>
      </c>
      <c r="BD1432" s="3">
        <v>18</v>
      </c>
    </row>
    <row r="1433" spans="1:56">
      <c r="A1433" s="6">
        <v>11</v>
      </c>
      <c r="B1433" s="103" t="s">
        <v>678</v>
      </c>
      <c r="C1433" s="1" t="s">
        <v>57</v>
      </c>
      <c r="D1433" s="2">
        <v>18.690000000000001</v>
      </c>
      <c r="E1433" s="2"/>
      <c r="F1433" s="9">
        <v>32</v>
      </c>
      <c r="H1433" s="9">
        <v>32</v>
      </c>
      <c r="I1433" s="8">
        <f>H1433-D1433</f>
        <v>13.309999999999999</v>
      </c>
      <c r="L1433" s="1" t="s">
        <v>292</v>
      </c>
      <c r="M1433" s="3">
        <v>34</v>
      </c>
      <c r="O1433" s="3">
        <v>34</v>
      </c>
      <c r="Q1433" s="3">
        <f>O1433-H1433</f>
        <v>2</v>
      </c>
      <c r="R1433" s="3">
        <v>21</v>
      </c>
      <c r="T1433" s="3">
        <f>R1433-O1433</f>
        <v>-13</v>
      </c>
      <c r="U1433" s="3">
        <v>34</v>
      </c>
      <c r="W1433" s="3">
        <f>U1433-R1433</f>
        <v>13</v>
      </c>
      <c r="X1433" s="3">
        <v>34</v>
      </c>
      <c r="AG1433" s="3">
        <v>34</v>
      </c>
      <c r="AP1433" s="3">
        <v>34</v>
      </c>
      <c r="AS1433" s="3">
        <v>34</v>
      </c>
      <c r="AV1433" s="3">
        <v>34</v>
      </c>
    </row>
    <row r="1434" spans="1:56" ht="9.6" customHeight="1">
      <c r="B1434" s="103" t="s">
        <v>678</v>
      </c>
      <c r="C1434" s="1" t="s">
        <v>287</v>
      </c>
      <c r="D1434" s="2"/>
      <c r="E1434" s="2"/>
      <c r="Q1434" s="3"/>
      <c r="T1434" s="3"/>
      <c r="AA1434" s="3">
        <v>21</v>
      </c>
      <c r="AZ1434" s="3">
        <v>37</v>
      </c>
      <c r="BD1434" s="3">
        <v>37</v>
      </c>
    </row>
    <row r="1435" spans="1:56">
      <c r="A1435" s="6">
        <v>1</v>
      </c>
      <c r="B1435" s="103" t="s">
        <v>674</v>
      </c>
      <c r="C1435" s="1" t="s">
        <v>52</v>
      </c>
      <c r="D1435" s="2">
        <v>0</v>
      </c>
      <c r="E1435" s="2"/>
      <c r="F1435" s="8">
        <v>0</v>
      </c>
      <c r="G1435" s="8"/>
      <c r="H1435" s="8">
        <v>0</v>
      </c>
      <c r="I1435" s="8"/>
      <c r="K1435" s="3"/>
    </row>
    <row r="1436" spans="1:56">
      <c r="A1436" s="6">
        <v>3</v>
      </c>
      <c r="B1436" s="103" t="s">
        <v>674</v>
      </c>
      <c r="C1436" s="1" t="s">
        <v>54</v>
      </c>
      <c r="D1436" s="2">
        <v>0</v>
      </c>
      <c r="E1436" s="2"/>
      <c r="F1436" s="8">
        <v>0</v>
      </c>
      <c r="G1436" s="8"/>
      <c r="H1436" s="8">
        <v>0</v>
      </c>
      <c r="I1436" s="8"/>
    </row>
    <row r="1437" spans="1:56">
      <c r="A1437" s="6">
        <v>4</v>
      </c>
      <c r="B1437" s="103" t="s">
        <v>674</v>
      </c>
      <c r="C1437" s="1" t="s">
        <v>55</v>
      </c>
      <c r="D1437" s="2">
        <v>0</v>
      </c>
      <c r="E1437" s="2"/>
      <c r="F1437" s="8">
        <v>0</v>
      </c>
      <c r="G1437" s="8"/>
      <c r="H1437" s="8">
        <v>0</v>
      </c>
      <c r="I1437" s="8"/>
    </row>
    <row r="1438" spans="1:56">
      <c r="A1438" s="6">
        <v>5</v>
      </c>
      <c r="B1438" s="103" t="s">
        <v>674</v>
      </c>
      <c r="C1438" s="1" t="s">
        <v>56</v>
      </c>
      <c r="D1438" s="2">
        <v>0</v>
      </c>
      <c r="E1438" s="2"/>
      <c r="F1438" s="8">
        <v>0</v>
      </c>
      <c r="G1438" s="8"/>
      <c r="H1438" s="8">
        <v>0</v>
      </c>
      <c r="I1438" s="8"/>
    </row>
    <row r="1439" spans="1:56">
      <c r="A1439" s="6">
        <v>2</v>
      </c>
      <c r="B1439" s="103" t="s">
        <v>674</v>
      </c>
      <c r="C1439" s="1" t="s">
        <v>53</v>
      </c>
      <c r="D1439" s="2">
        <v>4</v>
      </c>
      <c r="E1439" s="2"/>
      <c r="F1439" s="8">
        <v>0</v>
      </c>
      <c r="G1439" s="8"/>
      <c r="H1439" s="8">
        <v>0</v>
      </c>
      <c r="I1439" s="8"/>
      <c r="R1439" s="3">
        <v>5.09</v>
      </c>
      <c r="T1439" s="3"/>
      <c r="U1439" s="3">
        <v>5.09</v>
      </c>
      <c r="W1439" s="3">
        <f>U1439-R1439</f>
        <v>0</v>
      </c>
    </row>
    <row r="1440" spans="1:56">
      <c r="A1440" s="6">
        <v>12</v>
      </c>
      <c r="B1440" s="103" t="s">
        <v>674</v>
      </c>
      <c r="C1440" s="1" t="s">
        <v>594</v>
      </c>
      <c r="D1440" s="2">
        <v>4.5</v>
      </c>
      <c r="E1440" s="2"/>
      <c r="F1440" s="8">
        <v>4.5</v>
      </c>
      <c r="G1440" s="8"/>
      <c r="H1440" s="8">
        <v>4.5</v>
      </c>
      <c r="I1440" s="8">
        <f>H1440-D1440</f>
        <v>0</v>
      </c>
      <c r="K1440" s="3"/>
      <c r="R1440" s="3">
        <v>7.4</v>
      </c>
      <c r="T1440" s="3"/>
      <c r="U1440" s="3">
        <v>7.4</v>
      </c>
      <c r="W1440" s="3">
        <f>U1440-R1440</f>
        <v>0</v>
      </c>
      <c r="X1440" s="3">
        <v>145</v>
      </c>
      <c r="AA1440" s="3">
        <v>130.44999999999999</v>
      </c>
      <c r="AC1440" s="3">
        <f>AA1440-X1440</f>
        <v>-14.550000000000011</v>
      </c>
      <c r="AD1440" s="24">
        <v>120</v>
      </c>
      <c r="AG1440" s="3">
        <v>5.29</v>
      </c>
      <c r="AI1440" s="3">
        <f>AG1440-AD1440</f>
        <v>-114.71</v>
      </c>
      <c r="AJ1440" s="3">
        <v>5.29</v>
      </c>
      <c r="AL1440" s="3">
        <f>AJ1440-AG1440</f>
        <v>0</v>
      </c>
      <c r="AM1440" s="3">
        <v>11.55</v>
      </c>
      <c r="AO1440" s="3">
        <f>AM1440-AJ1440</f>
        <v>6.2600000000000007</v>
      </c>
      <c r="AP1440" s="3">
        <v>2.5299999999999998</v>
      </c>
    </row>
    <row r="1441" spans="1:61">
      <c r="A1441" s="6">
        <v>14</v>
      </c>
      <c r="B1441" s="103" t="s">
        <v>674</v>
      </c>
      <c r="C1441" s="1" t="s">
        <v>58</v>
      </c>
      <c r="D1441" s="2">
        <v>3</v>
      </c>
      <c r="E1441" s="2"/>
      <c r="F1441" s="8">
        <v>3</v>
      </c>
      <c r="G1441" s="8"/>
      <c r="H1441" s="8">
        <v>3</v>
      </c>
      <c r="I1441" s="9">
        <f>H1441-D1441</f>
        <v>0</v>
      </c>
      <c r="K1441" s="3"/>
      <c r="M1441" s="3">
        <v>10.29</v>
      </c>
      <c r="O1441" s="3">
        <v>10.29</v>
      </c>
      <c r="R1441" s="3">
        <v>10.5</v>
      </c>
      <c r="T1441" s="3">
        <f>R1441-O1441</f>
        <v>0.21000000000000085</v>
      </c>
      <c r="U1441" s="3">
        <v>10.5</v>
      </c>
      <c r="W1441" s="3">
        <f>U1441-R1441</f>
        <v>0</v>
      </c>
      <c r="AG1441" s="3">
        <v>7.74</v>
      </c>
      <c r="AJ1441" s="3">
        <v>7.74</v>
      </c>
      <c r="AL1441" s="3">
        <f>AJ1441-AG1441</f>
        <v>0</v>
      </c>
      <c r="AP1441" s="3">
        <v>15.61</v>
      </c>
      <c r="AS1441" s="3">
        <v>18.37</v>
      </c>
      <c r="AV1441" s="3">
        <v>16.77</v>
      </c>
      <c r="AZ1441" s="3">
        <v>14.7</v>
      </c>
      <c r="BA1441" s="1" t="s">
        <v>852</v>
      </c>
      <c r="BD1441" s="3">
        <v>11.19</v>
      </c>
      <c r="BE1441" s="1" t="s">
        <v>852</v>
      </c>
      <c r="BH1441" s="3">
        <v>24.06</v>
      </c>
      <c r="BI1441" s="1" t="s">
        <v>965</v>
      </c>
    </row>
    <row r="1442" spans="1:61">
      <c r="B1442" s="103" t="s">
        <v>674</v>
      </c>
      <c r="C1442" s="1" t="s">
        <v>857</v>
      </c>
      <c r="D1442" s="2"/>
      <c r="E1442" s="2"/>
      <c r="F1442" s="8"/>
      <c r="G1442" s="8"/>
      <c r="H1442" s="8"/>
      <c r="K1442" s="3"/>
      <c r="T1442" s="3"/>
      <c r="W1442" s="3"/>
      <c r="AL1442" s="3"/>
      <c r="BD1442" s="3">
        <v>12.999000000000001</v>
      </c>
      <c r="BE1442" s="1" t="s">
        <v>852</v>
      </c>
    </row>
    <row r="1443" spans="1:61">
      <c r="B1443" s="103" t="s">
        <v>674</v>
      </c>
      <c r="C1443" s="1" t="s">
        <v>289</v>
      </c>
      <c r="D1443" s="2"/>
      <c r="E1443" s="2"/>
      <c r="F1443" s="8"/>
      <c r="G1443" s="8"/>
      <c r="H1443" s="8"/>
      <c r="I1443" s="8"/>
      <c r="AS1443" s="3">
        <v>28.34</v>
      </c>
      <c r="BD1443" s="3">
        <v>27.69</v>
      </c>
      <c r="BE1443" s="1" t="s">
        <v>852</v>
      </c>
    </row>
    <row r="1444" spans="1:61">
      <c r="B1444" s="103" t="s">
        <v>674</v>
      </c>
      <c r="C1444" s="1" t="s">
        <v>64</v>
      </c>
      <c r="D1444" s="2"/>
      <c r="E1444" s="2"/>
      <c r="F1444" s="8"/>
      <c r="G1444" s="8"/>
      <c r="H1444" s="8"/>
      <c r="K1444" s="3"/>
      <c r="M1444" s="3">
        <v>20.59</v>
      </c>
      <c r="O1444" s="3">
        <v>20.59</v>
      </c>
      <c r="R1444" s="3">
        <v>30.31</v>
      </c>
      <c r="S1444" s="1" t="s">
        <v>670</v>
      </c>
      <c r="T1444" s="3">
        <f>R1444-O1444</f>
        <v>9.7199999999999989</v>
      </c>
      <c r="U1444" s="3">
        <v>30.31</v>
      </c>
      <c r="V1444" s="1" t="s">
        <v>670</v>
      </c>
      <c r="W1444" s="3">
        <f>U1444-R1444</f>
        <v>0</v>
      </c>
      <c r="AM1444" s="3">
        <v>13.96</v>
      </c>
      <c r="AP1444" s="3">
        <v>14.74</v>
      </c>
      <c r="AS1444" s="3">
        <v>16.940000000000001</v>
      </c>
      <c r="AV1444" s="3">
        <v>22.05</v>
      </c>
      <c r="AZ1444" s="3">
        <v>17.309999999999999</v>
      </c>
      <c r="BA1444" s="1" t="s">
        <v>852</v>
      </c>
      <c r="BH1444" s="3">
        <v>15.43</v>
      </c>
      <c r="BI1444" s="1" t="s">
        <v>965</v>
      </c>
    </row>
    <row r="1445" spans="1:61">
      <c r="B1445" s="103" t="s">
        <v>674</v>
      </c>
      <c r="C1445" s="1" t="s">
        <v>286</v>
      </c>
      <c r="D1445" s="2"/>
      <c r="E1445" s="2"/>
      <c r="F1445" s="8"/>
      <c r="G1445" s="8"/>
      <c r="H1445" s="8"/>
      <c r="K1445" s="3"/>
      <c r="T1445" s="3"/>
      <c r="W1445" s="3"/>
      <c r="AL1445" s="3"/>
      <c r="AO1445" s="3"/>
      <c r="AP1445" s="3">
        <v>10.27</v>
      </c>
      <c r="AV1445" s="3">
        <v>5.59</v>
      </c>
      <c r="AZ1445" s="3">
        <v>17.7</v>
      </c>
      <c r="BA1445" s="1" t="s">
        <v>852</v>
      </c>
      <c r="BD1445" s="3">
        <v>10.62</v>
      </c>
      <c r="BE1445" s="1" t="s">
        <v>852</v>
      </c>
    </row>
    <row r="1446" spans="1:61">
      <c r="B1446" s="103" t="s">
        <v>674</v>
      </c>
      <c r="C1446" s="1" t="s">
        <v>288</v>
      </c>
      <c r="D1446" s="2"/>
      <c r="E1446" s="2"/>
      <c r="F1446" s="8"/>
      <c r="G1446" s="8"/>
      <c r="H1446" s="8"/>
      <c r="K1446" s="3"/>
      <c r="R1446" s="3">
        <v>29.98</v>
      </c>
      <c r="S1446" s="1" t="s">
        <v>671</v>
      </c>
      <c r="T1446" s="3"/>
      <c r="U1446" s="3">
        <v>29.98</v>
      </c>
      <c r="V1446" s="1" t="s">
        <v>671</v>
      </c>
      <c r="W1446" s="3">
        <f>U1446-R1446</f>
        <v>0</v>
      </c>
      <c r="AG1446" s="3">
        <v>16.309999999999999</v>
      </c>
      <c r="AJ1446" s="3">
        <v>16.309999999999999</v>
      </c>
      <c r="AL1446" s="3">
        <f>AJ1446-AG1446</f>
        <v>0</v>
      </c>
      <c r="AM1446" s="3">
        <v>15.03</v>
      </c>
      <c r="AO1446" s="3">
        <f>AM1446-AJ1446</f>
        <v>-1.2799999999999994</v>
      </c>
      <c r="AP1446" s="3">
        <v>23.14</v>
      </c>
      <c r="AS1446" s="3">
        <v>16.12</v>
      </c>
      <c r="AV1446" s="3">
        <v>15.35</v>
      </c>
      <c r="AZ1446" s="3">
        <v>16.600000000000001</v>
      </c>
      <c r="BA1446" s="1" t="s">
        <v>852</v>
      </c>
      <c r="BD1446" s="3">
        <v>14.02</v>
      </c>
      <c r="BE1446" s="1" t="s">
        <v>852</v>
      </c>
    </row>
    <row r="1447" spans="1:61">
      <c r="A1447" s="6">
        <v>11</v>
      </c>
      <c r="B1447" s="103" t="s">
        <v>674</v>
      </c>
      <c r="C1447" s="1" t="s">
        <v>57</v>
      </c>
      <c r="D1447" s="2">
        <v>0</v>
      </c>
      <c r="E1447" s="2"/>
      <c r="F1447" s="8">
        <v>0</v>
      </c>
      <c r="G1447" s="8"/>
      <c r="H1447" s="8">
        <v>0</v>
      </c>
      <c r="I1447" s="8"/>
      <c r="M1447" s="3">
        <v>7.05</v>
      </c>
      <c r="O1447" s="3">
        <v>7.05</v>
      </c>
    </row>
    <row r="1448" spans="1:61">
      <c r="A1448" s="6">
        <v>1</v>
      </c>
      <c r="B1448" s="103" t="s">
        <v>675</v>
      </c>
      <c r="C1448" s="1" t="s">
        <v>52</v>
      </c>
      <c r="D1448" s="2"/>
      <c r="E1448" s="2"/>
      <c r="F1448" s="8">
        <v>0</v>
      </c>
      <c r="G1448" s="8"/>
      <c r="H1448" s="8">
        <v>0</v>
      </c>
      <c r="I1448" s="8"/>
      <c r="U1448" s="3">
        <v>15</v>
      </c>
      <c r="W1448" s="3"/>
      <c r="AB1448" s="1" t="s">
        <v>285</v>
      </c>
      <c r="AH1448" s="1" t="s">
        <v>285</v>
      </c>
      <c r="AK1448" s="1" t="s">
        <v>285</v>
      </c>
      <c r="AN1448" s="1" t="s">
        <v>285</v>
      </c>
      <c r="AQ1448" s="1" t="s">
        <v>285</v>
      </c>
    </row>
    <row r="1449" spans="1:61">
      <c r="A1449" s="6">
        <v>3</v>
      </c>
      <c r="B1449" s="103" t="s">
        <v>675</v>
      </c>
      <c r="C1449" s="1" t="s">
        <v>54</v>
      </c>
      <c r="D1449" s="2"/>
      <c r="E1449" s="2"/>
      <c r="F1449" s="8">
        <v>0</v>
      </c>
      <c r="G1449" s="8"/>
      <c r="H1449" s="8">
        <v>0</v>
      </c>
      <c r="I1449" s="8"/>
      <c r="AB1449" s="1" t="s">
        <v>285</v>
      </c>
      <c r="AH1449" s="1" t="s">
        <v>285</v>
      </c>
      <c r="AK1449" s="1" t="s">
        <v>285</v>
      </c>
      <c r="AN1449" s="1" t="s">
        <v>285</v>
      </c>
      <c r="AQ1449" s="1" t="s">
        <v>285</v>
      </c>
    </row>
    <row r="1450" spans="1:61">
      <c r="A1450" s="6">
        <v>4</v>
      </c>
      <c r="B1450" s="103" t="s">
        <v>675</v>
      </c>
      <c r="C1450" s="1" t="s">
        <v>55</v>
      </c>
      <c r="D1450" s="2"/>
      <c r="E1450" s="2"/>
      <c r="F1450" s="8">
        <v>0</v>
      </c>
      <c r="G1450" s="8"/>
      <c r="H1450" s="8">
        <v>0</v>
      </c>
      <c r="I1450" s="8"/>
      <c r="AB1450" s="1" t="s">
        <v>285</v>
      </c>
      <c r="AH1450" s="1" t="s">
        <v>285</v>
      </c>
      <c r="AK1450" s="1" t="s">
        <v>285</v>
      </c>
      <c r="AN1450" s="1" t="s">
        <v>285</v>
      </c>
      <c r="AQ1450" s="1" t="s">
        <v>285</v>
      </c>
    </row>
    <row r="1451" spans="1:61">
      <c r="A1451" s="6">
        <v>5</v>
      </c>
      <c r="B1451" s="103" t="s">
        <v>675</v>
      </c>
      <c r="C1451" s="1" t="s">
        <v>56</v>
      </c>
      <c r="D1451" s="2"/>
      <c r="E1451" s="2"/>
      <c r="F1451" s="8">
        <v>0</v>
      </c>
      <c r="G1451" s="8"/>
      <c r="H1451" s="8">
        <v>0</v>
      </c>
      <c r="I1451" s="8"/>
      <c r="AB1451" s="1" t="s">
        <v>285</v>
      </c>
      <c r="AH1451" s="1" t="s">
        <v>285</v>
      </c>
      <c r="AK1451" s="1" t="s">
        <v>285</v>
      </c>
      <c r="AN1451" s="1" t="s">
        <v>285</v>
      </c>
      <c r="AQ1451" s="1" t="s">
        <v>285</v>
      </c>
    </row>
    <row r="1452" spans="1:61">
      <c r="A1452" s="6">
        <v>2</v>
      </c>
      <c r="B1452" s="103" t="s">
        <v>675</v>
      </c>
      <c r="C1452" s="1" t="s">
        <v>53</v>
      </c>
      <c r="D1452" s="2">
        <v>11</v>
      </c>
      <c r="E1452" s="2"/>
      <c r="F1452" s="8">
        <v>11</v>
      </c>
      <c r="G1452" s="8"/>
      <c r="H1452" s="8">
        <v>11</v>
      </c>
      <c r="I1452" s="10">
        <f>H1452-D1452</f>
        <v>0</v>
      </c>
      <c r="L1452" s="1" t="s">
        <v>233</v>
      </c>
      <c r="M1452" s="3">
        <v>15</v>
      </c>
      <c r="O1452" s="3">
        <v>15</v>
      </c>
      <c r="Q1452" s="3">
        <f>O1452-H1452</f>
        <v>4</v>
      </c>
      <c r="AB1452" s="1" t="s">
        <v>285</v>
      </c>
      <c r="AH1452" s="1" t="s">
        <v>285</v>
      </c>
      <c r="AK1452" s="1" t="s">
        <v>285</v>
      </c>
      <c r="AN1452" s="1" t="s">
        <v>285</v>
      </c>
      <c r="AQ1452" s="1" t="s">
        <v>285</v>
      </c>
    </row>
    <row r="1453" spans="1:61">
      <c r="A1453" s="6">
        <v>12</v>
      </c>
      <c r="B1453" s="103" t="s">
        <v>675</v>
      </c>
      <c r="C1453" s="1" t="s">
        <v>594</v>
      </c>
      <c r="D1453" s="2">
        <v>7</v>
      </c>
      <c r="E1453" s="2"/>
      <c r="F1453" s="8">
        <v>7</v>
      </c>
      <c r="G1453" s="8"/>
      <c r="H1453" s="8">
        <v>7</v>
      </c>
      <c r="I1453" s="8">
        <f>H1453-D1453</f>
        <v>0</v>
      </c>
      <c r="M1453" s="3">
        <v>7</v>
      </c>
      <c r="O1453" s="3">
        <v>7</v>
      </c>
      <c r="Q1453" s="3">
        <f>O1453-H1453</f>
        <v>0</v>
      </c>
      <c r="U1453" s="3">
        <v>7</v>
      </c>
      <c r="AB1453" s="1" t="s">
        <v>285</v>
      </c>
      <c r="AD1453" s="24">
        <v>30</v>
      </c>
      <c r="AH1453" s="1" t="s">
        <v>285</v>
      </c>
      <c r="AK1453" s="1" t="s">
        <v>285</v>
      </c>
      <c r="AN1453" s="1" t="s">
        <v>285</v>
      </c>
      <c r="AQ1453" s="1" t="s">
        <v>285</v>
      </c>
      <c r="AS1453" s="2" t="s">
        <v>925</v>
      </c>
      <c r="AT1453" s="1" t="s">
        <v>862</v>
      </c>
      <c r="AV1453" s="2" t="s">
        <v>925</v>
      </c>
      <c r="AW1453" s="1" t="s">
        <v>862</v>
      </c>
      <c r="AY1453" s="2" t="s">
        <v>924</v>
      </c>
      <c r="AZ1453" s="2" t="s">
        <v>925</v>
      </c>
      <c r="BA1453" s="1" t="s">
        <v>862</v>
      </c>
      <c r="BC1453" s="2" t="s">
        <v>924</v>
      </c>
      <c r="BD1453" s="2" t="s">
        <v>925</v>
      </c>
      <c r="BE1453" s="1" t="s">
        <v>862</v>
      </c>
      <c r="BG1453" s="2" t="s">
        <v>924</v>
      </c>
      <c r="BH1453" s="2" t="s">
        <v>925</v>
      </c>
      <c r="BI1453" s="1" t="s">
        <v>862</v>
      </c>
    </row>
    <row r="1454" spans="1:61">
      <c r="A1454" s="6">
        <v>14</v>
      </c>
      <c r="B1454" s="103" t="s">
        <v>675</v>
      </c>
      <c r="C1454" s="1" t="s">
        <v>58</v>
      </c>
      <c r="D1454" s="2">
        <v>22</v>
      </c>
      <c r="E1454" s="2"/>
      <c r="F1454" s="8">
        <v>22</v>
      </c>
      <c r="G1454" s="8"/>
      <c r="H1454" s="8">
        <v>22</v>
      </c>
      <c r="I1454" s="8">
        <f>H1454-D1454</f>
        <v>0</v>
      </c>
      <c r="L1454" s="1" t="s">
        <v>174</v>
      </c>
      <c r="M1454" s="3">
        <v>14</v>
      </c>
      <c r="O1454" s="3">
        <v>14</v>
      </c>
      <c r="Q1454" s="3">
        <f>O1454-H1454</f>
        <v>-8</v>
      </c>
      <c r="U1454" s="3">
        <v>14</v>
      </c>
      <c r="AB1454" s="1" t="s">
        <v>285</v>
      </c>
      <c r="AH1454" s="1" t="s">
        <v>285</v>
      </c>
      <c r="AK1454" s="1" t="s">
        <v>285</v>
      </c>
      <c r="AN1454" s="1" t="s">
        <v>285</v>
      </c>
      <c r="AQ1454" s="1" t="s">
        <v>285</v>
      </c>
    </row>
    <row r="1455" spans="1:61">
      <c r="B1455" s="103" t="s">
        <v>675</v>
      </c>
      <c r="C1455" s="1" t="s">
        <v>64</v>
      </c>
      <c r="D1455" s="2"/>
      <c r="E1455" s="2"/>
      <c r="F1455" s="8"/>
      <c r="G1455" s="8"/>
      <c r="H1455" s="8"/>
      <c r="I1455" s="8"/>
      <c r="Q1455" s="3"/>
      <c r="AB1455" s="1" t="s">
        <v>285</v>
      </c>
      <c r="AD1455" s="24">
        <v>50</v>
      </c>
      <c r="AH1455" s="1" t="s">
        <v>285</v>
      </c>
      <c r="AK1455" s="1" t="s">
        <v>285</v>
      </c>
      <c r="AN1455" s="1" t="s">
        <v>285</v>
      </c>
      <c r="AQ1455" s="1" t="s">
        <v>285</v>
      </c>
    </row>
    <row r="1456" spans="1:61">
      <c r="B1456" s="103" t="s">
        <v>675</v>
      </c>
      <c r="C1456" s="1" t="s">
        <v>286</v>
      </c>
      <c r="D1456" s="2"/>
      <c r="E1456" s="2"/>
      <c r="F1456" s="8"/>
      <c r="G1456" s="8"/>
      <c r="H1456" s="8"/>
      <c r="I1456" s="8"/>
      <c r="Q1456" s="3"/>
      <c r="AB1456" s="1" t="s">
        <v>285</v>
      </c>
      <c r="AD1456" s="24">
        <v>45</v>
      </c>
      <c r="AH1456" s="1" t="s">
        <v>285</v>
      </c>
      <c r="AK1456" s="1" t="s">
        <v>285</v>
      </c>
      <c r="AN1456" s="1" t="s">
        <v>285</v>
      </c>
      <c r="AQ1456" s="1" t="s">
        <v>285</v>
      </c>
    </row>
    <row r="1457" spans="1:61">
      <c r="B1457" s="103" t="s">
        <v>675</v>
      </c>
      <c r="C1457" s="1" t="s">
        <v>288</v>
      </c>
      <c r="D1457" s="2"/>
      <c r="E1457" s="2"/>
      <c r="F1457" s="8"/>
      <c r="G1457" s="8"/>
      <c r="H1457" s="8"/>
      <c r="I1457" s="8"/>
      <c r="Q1457" s="3"/>
      <c r="AB1457" s="1" t="s">
        <v>285</v>
      </c>
      <c r="AD1457" s="24">
        <v>40</v>
      </c>
      <c r="AH1457" s="1" t="s">
        <v>285</v>
      </c>
      <c r="AK1457" s="1" t="s">
        <v>285</v>
      </c>
      <c r="AN1457" s="1" t="s">
        <v>285</v>
      </c>
      <c r="AQ1457" s="1" t="s">
        <v>285</v>
      </c>
    </row>
    <row r="1458" spans="1:61">
      <c r="A1458" s="6">
        <v>11</v>
      </c>
      <c r="B1458" s="103" t="s">
        <v>675</v>
      </c>
      <c r="C1458" s="1" t="s">
        <v>57</v>
      </c>
      <c r="D1458" s="2">
        <v>29</v>
      </c>
      <c r="E1458" s="2"/>
      <c r="F1458" s="8">
        <v>29</v>
      </c>
      <c r="G1458" s="8"/>
      <c r="H1458" s="8">
        <v>29</v>
      </c>
      <c r="I1458" s="8">
        <f>H1458-D1458</f>
        <v>0</v>
      </c>
      <c r="L1458" s="1" t="s">
        <v>196</v>
      </c>
      <c r="M1458" s="3">
        <v>29</v>
      </c>
      <c r="O1458" s="3">
        <v>29</v>
      </c>
      <c r="Q1458" s="3">
        <f>O1458-H1458</f>
        <v>0</v>
      </c>
      <c r="U1458" s="3">
        <v>29</v>
      </c>
      <c r="AB1458" s="1" t="s">
        <v>285</v>
      </c>
      <c r="AH1458" s="1" t="s">
        <v>285</v>
      </c>
      <c r="AK1458" s="1" t="s">
        <v>285</v>
      </c>
      <c r="AN1458" s="1" t="s">
        <v>285</v>
      </c>
      <c r="AQ1458" s="1" t="s">
        <v>285</v>
      </c>
    </row>
    <row r="1459" spans="1:61">
      <c r="A1459" s="6">
        <v>1</v>
      </c>
      <c r="B1459" s="103" t="s">
        <v>673</v>
      </c>
      <c r="C1459" s="1" t="s">
        <v>52</v>
      </c>
      <c r="D1459" s="2"/>
      <c r="E1459" s="2"/>
      <c r="F1459" s="8"/>
      <c r="G1459" s="8"/>
      <c r="H1459" s="8"/>
      <c r="I1459" s="8"/>
      <c r="AK1459" s="1" t="s">
        <v>285</v>
      </c>
      <c r="AN1459" s="1" t="s">
        <v>285</v>
      </c>
      <c r="AQ1459" s="1" t="s">
        <v>285</v>
      </c>
      <c r="AW1459" s="1" t="s">
        <v>285</v>
      </c>
    </row>
    <row r="1460" spans="1:61">
      <c r="A1460" s="6">
        <v>3</v>
      </c>
      <c r="B1460" s="103" t="s">
        <v>673</v>
      </c>
      <c r="C1460" s="1" t="s">
        <v>54</v>
      </c>
      <c r="D1460" s="2"/>
      <c r="E1460" s="2"/>
      <c r="F1460" s="8"/>
      <c r="G1460" s="8"/>
      <c r="H1460" s="8"/>
      <c r="I1460" s="8"/>
      <c r="AK1460" s="1" t="s">
        <v>285</v>
      </c>
      <c r="AN1460" s="1" t="s">
        <v>285</v>
      </c>
      <c r="AQ1460" s="1" t="s">
        <v>285</v>
      </c>
      <c r="AW1460" s="1" t="s">
        <v>285</v>
      </c>
    </row>
    <row r="1461" spans="1:61">
      <c r="A1461" s="6">
        <v>4</v>
      </c>
      <c r="B1461" s="103" t="s">
        <v>673</v>
      </c>
      <c r="C1461" s="1" t="s">
        <v>55</v>
      </c>
      <c r="D1461" s="2"/>
      <c r="E1461" s="2"/>
      <c r="F1461" s="8"/>
      <c r="G1461" s="8"/>
      <c r="H1461" s="8"/>
      <c r="I1461" s="8"/>
      <c r="AK1461" s="1" t="s">
        <v>285</v>
      </c>
      <c r="AN1461" s="1" t="s">
        <v>285</v>
      </c>
      <c r="AQ1461" s="1" t="s">
        <v>285</v>
      </c>
      <c r="AW1461" s="1" t="s">
        <v>285</v>
      </c>
    </row>
    <row r="1462" spans="1:61">
      <c r="A1462" s="6">
        <v>5</v>
      </c>
      <c r="B1462" s="103" t="s">
        <v>673</v>
      </c>
      <c r="C1462" s="1" t="s">
        <v>56</v>
      </c>
      <c r="D1462" s="2"/>
      <c r="E1462" s="2"/>
      <c r="F1462" s="8"/>
      <c r="G1462" s="8"/>
      <c r="H1462" s="8"/>
      <c r="I1462" s="8"/>
      <c r="AK1462" s="1" t="s">
        <v>285</v>
      </c>
      <c r="AN1462" s="1" t="s">
        <v>285</v>
      </c>
      <c r="AQ1462" s="1" t="s">
        <v>285</v>
      </c>
      <c r="AW1462" s="1" t="s">
        <v>285</v>
      </c>
    </row>
    <row r="1463" spans="1:61">
      <c r="A1463" s="6">
        <v>2</v>
      </c>
      <c r="B1463" s="103" t="s">
        <v>673</v>
      </c>
      <c r="C1463" s="1" t="s">
        <v>53</v>
      </c>
      <c r="D1463" s="2"/>
      <c r="E1463" s="2"/>
      <c r="F1463" s="8"/>
      <c r="G1463" s="8"/>
      <c r="H1463" s="8"/>
      <c r="I1463" s="8"/>
      <c r="AK1463" s="1" t="s">
        <v>285</v>
      </c>
      <c r="AN1463" s="1" t="s">
        <v>285</v>
      </c>
      <c r="AQ1463" s="1" t="s">
        <v>285</v>
      </c>
      <c r="AW1463" s="1" t="s">
        <v>285</v>
      </c>
    </row>
    <row r="1464" spans="1:61">
      <c r="B1464" s="103" t="s">
        <v>673</v>
      </c>
      <c r="C1464" s="1" t="s">
        <v>597</v>
      </c>
      <c r="D1464" s="2"/>
      <c r="E1464" s="2"/>
      <c r="F1464" s="8"/>
      <c r="G1464" s="8"/>
      <c r="H1464" s="8"/>
      <c r="Q1464" s="3"/>
      <c r="T1464" s="3"/>
      <c r="W1464" s="3"/>
      <c r="AA1464" s="3">
        <v>11.66</v>
      </c>
      <c r="AD1464" s="24">
        <v>26.6</v>
      </c>
      <c r="AG1464" s="3">
        <v>26.6</v>
      </c>
      <c r="AK1464" s="1" t="s">
        <v>285</v>
      </c>
      <c r="AN1464" s="1" t="s">
        <v>285</v>
      </c>
      <c r="AQ1464" s="1" t="s">
        <v>285</v>
      </c>
      <c r="AW1464" s="1" t="s">
        <v>285</v>
      </c>
    </row>
    <row r="1465" spans="1:61">
      <c r="B1465" s="103" t="s">
        <v>673</v>
      </c>
      <c r="C1465" s="1" t="s">
        <v>595</v>
      </c>
      <c r="D1465" s="2"/>
      <c r="E1465" s="2"/>
      <c r="F1465" s="8"/>
      <c r="G1465" s="8"/>
      <c r="H1465" s="8"/>
      <c r="Q1465" s="3"/>
      <c r="R1465" s="3">
        <v>5.92</v>
      </c>
      <c r="T1465" s="3"/>
      <c r="U1465" s="3">
        <v>5.88</v>
      </c>
      <c r="W1465" s="3">
        <f>U1465-R1465</f>
        <v>-4.0000000000000036E-2</v>
      </c>
      <c r="X1465" s="3">
        <v>6.8</v>
      </c>
      <c r="Z1465" s="3">
        <f>X1465-U1465</f>
        <v>0.91999999999999993</v>
      </c>
      <c r="AA1465" s="3">
        <v>6.86</v>
      </c>
      <c r="AC1465" s="3">
        <f>AA1465-X1465</f>
        <v>6.0000000000000497E-2</v>
      </c>
      <c r="AG1465" s="3">
        <v>5.07</v>
      </c>
      <c r="AK1465" s="1" t="s">
        <v>285</v>
      </c>
      <c r="AN1465" s="1" t="s">
        <v>285</v>
      </c>
      <c r="AQ1465" s="1" t="s">
        <v>285</v>
      </c>
      <c r="AW1465" s="1" t="s">
        <v>285</v>
      </c>
    </row>
    <row r="1466" spans="1:61">
      <c r="B1466" s="103" t="s">
        <v>673</v>
      </c>
      <c r="C1466" s="1" t="s">
        <v>595</v>
      </c>
      <c r="D1466" s="2"/>
      <c r="E1466" s="2"/>
      <c r="F1466" s="8"/>
      <c r="G1466" s="8"/>
      <c r="H1466" s="8"/>
      <c r="Q1466" s="3"/>
      <c r="T1466" s="3"/>
      <c r="W1466" s="3"/>
      <c r="AC1466" s="3"/>
      <c r="AD1466" s="24">
        <v>5.07</v>
      </c>
      <c r="AK1466" s="1" t="s">
        <v>285</v>
      </c>
      <c r="AN1466" s="1" t="s">
        <v>285</v>
      </c>
      <c r="AQ1466" s="1" t="s">
        <v>285</v>
      </c>
      <c r="AW1466" s="1" t="s">
        <v>285</v>
      </c>
    </row>
    <row r="1467" spans="1:61" ht="9.6" customHeight="1">
      <c r="A1467" s="6">
        <v>12</v>
      </c>
      <c r="B1467" s="103" t="s">
        <v>673</v>
      </c>
      <c r="C1467" s="1" t="s">
        <v>594</v>
      </c>
      <c r="D1467" s="2">
        <v>2.89</v>
      </c>
      <c r="E1467" s="2"/>
      <c r="F1467" s="8">
        <v>3.5</v>
      </c>
      <c r="G1467" s="8"/>
      <c r="H1467" s="8">
        <v>3.5</v>
      </c>
      <c r="I1467" s="9">
        <f>H1467-D1467</f>
        <v>0.60999999999999988</v>
      </c>
      <c r="M1467" s="3">
        <v>3.2</v>
      </c>
      <c r="O1467" s="3">
        <v>3.2</v>
      </c>
      <c r="Q1467" s="3">
        <f>O1467-H1467</f>
        <v>-0.29999999999999982</v>
      </c>
      <c r="R1467" s="3">
        <v>2.5099999999999998</v>
      </c>
      <c r="T1467" s="3">
        <f>R1467-O1467</f>
        <v>-0.69000000000000039</v>
      </c>
      <c r="U1467" s="3">
        <v>2.8</v>
      </c>
      <c r="W1467" s="3">
        <f>U1467-R1467</f>
        <v>0.29000000000000004</v>
      </c>
      <c r="X1467" s="3">
        <v>4.4000000000000004</v>
      </c>
      <c r="Z1467" s="3">
        <f>X1467-U1467</f>
        <v>1.6000000000000005</v>
      </c>
      <c r="AA1467" s="3">
        <v>3.82</v>
      </c>
      <c r="AC1467" s="3">
        <f>AA1467-X1467</f>
        <v>-0.58000000000000052</v>
      </c>
      <c r="AD1467" s="24">
        <v>3.04</v>
      </c>
      <c r="AG1467" s="3">
        <v>3.04</v>
      </c>
      <c r="AI1467" s="3">
        <f>AG1467-AD1467</f>
        <v>0</v>
      </c>
      <c r="AK1467" s="1" t="s">
        <v>285</v>
      </c>
      <c r="AN1467" s="1" t="s">
        <v>285</v>
      </c>
      <c r="AQ1467" s="1" t="s">
        <v>285</v>
      </c>
      <c r="AS1467" s="3">
        <v>4.67</v>
      </c>
      <c r="AW1467" s="1" t="s">
        <v>285</v>
      </c>
      <c r="AZ1467" s="3">
        <v>8.4</v>
      </c>
      <c r="BA1467" s="1" t="s">
        <v>852</v>
      </c>
      <c r="BD1467" s="3">
        <v>6.4</v>
      </c>
      <c r="BE1467" s="1" t="s">
        <v>965</v>
      </c>
      <c r="BH1467" s="3">
        <v>5.5</v>
      </c>
      <c r="BI1467" s="1" t="s">
        <v>965</v>
      </c>
    </row>
    <row r="1468" spans="1:61">
      <c r="A1468" s="6">
        <v>14</v>
      </c>
      <c r="B1468" s="103" t="s">
        <v>673</v>
      </c>
      <c r="C1468" s="1" t="s">
        <v>58</v>
      </c>
      <c r="D1468" s="2">
        <v>10.79</v>
      </c>
      <c r="E1468" s="2"/>
      <c r="F1468" s="8">
        <v>9.8000000000000007</v>
      </c>
      <c r="G1468" s="8"/>
      <c r="H1468" s="8">
        <v>9.8000000000000007</v>
      </c>
      <c r="I1468" s="9">
        <f>H1468-D1468</f>
        <v>-0.98999999999999844</v>
      </c>
      <c r="M1468" s="3">
        <v>9.1999999999999993</v>
      </c>
      <c r="O1468" s="3">
        <v>9.1999999999999993</v>
      </c>
      <c r="Q1468" s="3">
        <f>O1468-H1468</f>
        <v>-0.60000000000000142</v>
      </c>
      <c r="R1468" s="3">
        <v>5.92</v>
      </c>
      <c r="T1468" s="3">
        <f>R1468-O1468</f>
        <v>-3.2799999999999994</v>
      </c>
      <c r="U1468" s="3">
        <v>7.35</v>
      </c>
      <c r="W1468" s="3">
        <f>U1468-R1468</f>
        <v>1.4299999999999997</v>
      </c>
      <c r="X1468" s="3">
        <v>10.5</v>
      </c>
      <c r="Z1468" s="3">
        <f>X1468-U1468</f>
        <v>3.1500000000000004</v>
      </c>
      <c r="AA1468" s="3">
        <v>8.33</v>
      </c>
      <c r="AC1468" s="3">
        <f>AA1468-X1468</f>
        <v>-2.17</v>
      </c>
      <c r="AD1468" s="24">
        <v>5.66</v>
      </c>
      <c r="AG1468" s="3">
        <v>5.66</v>
      </c>
      <c r="AI1468" s="3">
        <f>AG1468-AD1468</f>
        <v>0</v>
      </c>
      <c r="AK1468" s="1" t="s">
        <v>285</v>
      </c>
      <c r="AN1468" s="1" t="s">
        <v>285</v>
      </c>
      <c r="AQ1468" s="1" t="s">
        <v>285</v>
      </c>
      <c r="AS1468" s="3">
        <v>6.68</v>
      </c>
      <c r="AW1468" s="1" t="s">
        <v>285</v>
      </c>
      <c r="AZ1468" s="3">
        <v>7.29</v>
      </c>
      <c r="BA1468" s="1" t="s">
        <v>852</v>
      </c>
      <c r="BD1468" s="3">
        <v>6.2</v>
      </c>
      <c r="BE1468" s="1" t="s">
        <v>965</v>
      </c>
      <c r="BH1468" s="3">
        <v>7.5</v>
      </c>
      <c r="BI1468" s="1" t="s">
        <v>965</v>
      </c>
    </row>
    <row r="1469" spans="1:61">
      <c r="B1469" s="103" t="s">
        <v>673</v>
      </c>
      <c r="C1469" s="1" t="s">
        <v>854</v>
      </c>
      <c r="D1469" s="2"/>
      <c r="E1469" s="2"/>
      <c r="F1469" s="8"/>
      <c r="G1469" s="8"/>
      <c r="H1469" s="8"/>
      <c r="Q1469" s="3"/>
      <c r="T1469" s="3"/>
      <c r="W1469" s="3"/>
      <c r="AC1469" s="3"/>
      <c r="AZ1469" s="3">
        <v>7.1</v>
      </c>
      <c r="BA1469" s="1" t="s">
        <v>852</v>
      </c>
      <c r="BD1469" s="3">
        <v>37.1</v>
      </c>
      <c r="BE1469" s="1" t="s">
        <v>965</v>
      </c>
      <c r="BH1469" s="3">
        <v>37.1</v>
      </c>
      <c r="BI1469" s="1" t="s">
        <v>965</v>
      </c>
    </row>
    <row r="1470" spans="1:61">
      <c r="B1470" s="103" t="s">
        <v>673</v>
      </c>
      <c r="C1470" s="1" t="s">
        <v>857</v>
      </c>
      <c r="D1470" s="2"/>
      <c r="E1470" s="2"/>
      <c r="F1470" s="8"/>
      <c r="G1470" s="8"/>
      <c r="H1470" s="8"/>
      <c r="Q1470" s="3"/>
      <c r="T1470" s="3"/>
      <c r="W1470" s="3"/>
      <c r="AC1470" s="3"/>
      <c r="AZ1470" s="3">
        <v>8.1999999999999993</v>
      </c>
      <c r="BA1470" s="1" t="s">
        <v>852</v>
      </c>
      <c r="BD1470" s="3">
        <v>14.2</v>
      </c>
      <c r="BE1470" s="1" t="s">
        <v>965</v>
      </c>
      <c r="BH1470" s="3">
        <v>9.5</v>
      </c>
      <c r="BI1470" s="1" t="s">
        <v>965</v>
      </c>
    </row>
    <row r="1471" spans="1:61">
      <c r="B1471" s="103" t="s">
        <v>673</v>
      </c>
      <c r="C1471" s="1" t="s">
        <v>289</v>
      </c>
      <c r="D1471" s="2"/>
      <c r="E1471" s="2"/>
      <c r="F1471" s="8"/>
      <c r="G1471" s="8"/>
      <c r="H1471" s="8"/>
      <c r="Q1471" s="3"/>
      <c r="T1471" s="3"/>
      <c r="U1471" s="3">
        <v>31</v>
      </c>
      <c r="X1471" s="3">
        <v>31</v>
      </c>
      <c r="Z1471" s="3">
        <f>X1471-U1471</f>
        <v>0</v>
      </c>
      <c r="AK1471" s="1" t="s">
        <v>285</v>
      </c>
      <c r="AN1471" s="1" t="s">
        <v>285</v>
      </c>
      <c r="AQ1471" s="1" t="s">
        <v>285</v>
      </c>
      <c r="AW1471" s="1" t="s">
        <v>285</v>
      </c>
      <c r="AZ1471" s="3">
        <v>19.5</v>
      </c>
      <c r="BA1471" s="1" t="s">
        <v>852</v>
      </c>
      <c r="BD1471" s="3">
        <v>20.100000000000001</v>
      </c>
      <c r="BE1471" s="1" t="s">
        <v>965</v>
      </c>
      <c r="BH1471" s="3">
        <v>12.1</v>
      </c>
      <c r="BI1471" s="1" t="s">
        <v>965</v>
      </c>
    </row>
    <row r="1472" spans="1:61">
      <c r="B1472" s="103" t="s">
        <v>673</v>
      </c>
      <c r="C1472" s="1" t="s">
        <v>290</v>
      </c>
      <c r="D1472" s="2"/>
      <c r="E1472" s="2"/>
      <c r="F1472" s="8"/>
      <c r="G1472" s="8"/>
      <c r="H1472" s="8"/>
      <c r="Q1472" s="3"/>
      <c r="T1472" s="3"/>
      <c r="AZ1472" s="3">
        <v>20</v>
      </c>
      <c r="BA1472" s="1" t="s">
        <v>852</v>
      </c>
      <c r="BD1472" s="3">
        <v>29.6</v>
      </c>
      <c r="BE1472" s="1" t="s">
        <v>965</v>
      </c>
      <c r="BH1472" s="3">
        <v>11.2</v>
      </c>
      <c r="BI1472" s="1" t="s">
        <v>965</v>
      </c>
    </row>
    <row r="1473" spans="1:61">
      <c r="B1473" s="103" t="s">
        <v>673</v>
      </c>
      <c r="C1473" s="1" t="s">
        <v>64</v>
      </c>
      <c r="D1473" s="2"/>
      <c r="E1473" s="2"/>
      <c r="F1473" s="8"/>
      <c r="G1473" s="8"/>
      <c r="H1473" s="8"/>
      <c r="Q1473" s="3"/>
      <c r="R1473" s="3">
        <v>7.39</v>
      </c>
      <c r="T1473" s="3"/>
      <c r="U1473" s="3">
        <v>8.44</v>
      </c>
      <c r="W1473" s="3">
        <f>U1473-R1473</f>
        <v>1.0499999999999998</v>
      </c>
      <c r="X1473" s="3">
        <v>13.1</v>
      </c>
      <c r="Z1473" s="3">
        <f>X1473-U1473</f>
        <v>4.66</v>
      </c>
      <c r="AA1473" s="3">
        <v>9.17</v>
      </c>
      <c r="AC1473" s="3">
        <f>AA1473-X1473</f>
        <v>-3.9299999999999997</v>
      </c>
      <c r="AD1473" s="24">
        <v>7.06</v>
      </c>
      <c r="AG1473" s="3">
        <v>7.06</v>
      </c>
      <c r="AI1473" s="3">
        <f>AG1473-AD1473</f>
        <v>0</v>
      </c>
      <c r="AK1473" s="1" t="s">
        <v>285</v>
      </c>
      <c r="AN1473" s="1" t="s">
        <v>285</v>
      </c>
      <c r="AQ1473" s="1" t="s">
        <v>285</v>
      </c>
      <c r="AS1473" s="3">
        <v>7.15</v>
      </c>
      <c r="AW1473" s="1" t="s">
        <v>285</v>
      </c>
      <c r="AZ1473" s="3">
        <v>8.15</v>
      </c>
      <c r="BA1473" s="1" t="s">
        <v>852</v>
      </c>
      <c r="BD1473" s="3">
        <v>7.3</v>
      </c>
      <c r="BE1473" s="1" t="s">
        <v>965</v>
      </c>
      <c r="BH1473" s="3">
        <v>9.1</v>
      </c>
      <c r="BI1473" s="1" t="s">
        <v>965</v>
      </c>
    </row>
    <row r="1474" spans="1:61">
      <c r="B1474" s="103" t="s">
        <v>673</v>
      </c>
      <c r="C1474" s="1" t="s">
        <v>286</v>
      </c>
      <c r="D1474" s="2"/>
      <c r="E1474" s="2"/>
      <c r="F1474" s="8"/>
      <c r="G1474" s="8"/>
      <c r="H1474" s="8"/>
      <c r="Q1474" s="3"/>
      <c r="R1474" s="3">
        <v>8.91</v>
      </c>
      <c r="T1474" s="3"/>
      <c r="U1474" s="3">
        <v>8.14</v>
      </c>
      <c r="W1474" s="3">
        <f>U1474-R1474</f>
        <v>-0.76999999999999957</v>
      </c>
      <c r="X1474" s="3">
        <v>11.7</v>
      </c>
      <c r="Z1474" s="3">
        <f>X1474-U1474</f>
        <v>3.5599999999999987</v>
      </c>
      <c r="AA1474" s="3">
        <v>8.85</v>
      </c>
      <c r="AC1474" s="3">
        <f>AA1474-X1474</f>
        <v>-2.8499999999999996</v>
      </c>
      <c r="AD1474" s="24">
        <v>7.08</v>
      </c>
      <c r="AG1474" s="3">
        <v>7.08</v>
      </c>
      <c r="AI1474" s="3">
        <f>AG1474-AD1474</f>
        <v>0</v>
      </c>
      <c r="AK1474" s="1" t="s">
        <v>285</v>
      </c>
      <c r="AN1474" s="1" t="s">
        <v>285</v>
      </c>
      <c r="AQ1474" s="1" t="s">
        <v>285</v>
      </c>
      <c r="AS1474" s="3">
        <v>7.2</v>
      </c>
      <c r="AW1474" s="1" t="s">
        <v>285</v>
      </c>
      <c r="AZ1474" s="3">
        <v>7.42</v>
      </c>
      <c r="BA1474" s="1" t="s">
        <v>852</v>
      </c>
      <c r="BD1474" s="3">
        <v>7.3</v>
      </c>
      <c r="BE1474" s="1" t="s">
        <v>965</v>
      </c>
      <c r="BH1474" s="3">
        <v>6.6</v>
      </c>
      <c r="BI1474" s="1" t="s">
        <v>965</v>
      </c>
    </row>
    <row r="1475" spans="1:61">
      <c r="B1475" s="103" t="s">
        <v>673</v>
      </c>
      <c r="C1475" s="1" t="s">
        <v>288</v>
      </c>
      <c r="D1475" s="2"/>
      <c r="E1475" s="2"/>
      <c r="F1475" s="8"/>
      <c r="G1475" s="8"/>
      <c r="H1475" s="8"/>
      <c r="Q1475" s="3"/>
      <c r="R1475" s="3">
        <v>9.2100000000000009</v>
      </c>
      <c r="T1475" s="3"/>
      <c r="U1475" s="3">
        <v>8.85</v>
      </c>
      <c r="W1475" s="3">
        <f>U1475-R1475</f>
        <v>-0.36000000000000121</v>
      </c>
      <c r="X1475" s="3">
        <v>12.7</v>
      </c>
      <c r="Z1475" s="3">
        <f>X1475-U1475</f>
        <v>3.8499999999999996</v>
      </c>
      <c r="AA1475" s="3">
        <v>9.44</v>
      </c>
      <c r="AC1475" s="3">
        <f>AA1475-X1475</f>
        <v>-3.26</v>
      </c>
      <c r="AK1475" s="1" t="s">
        <v>285</v>
      </c>
      <c r="AN1475" s="1" t="s">
        <v>285</v>
      </c>
      <c r="AQ1475" s="1" t="s">
        <v>285</v>
      </c>
      <c r="AS1475" s="3">
        <v>5.57</v>
      </c>
      <c r="AW1475" s="1" t="s">
        <v>285</v>
      </c>
      <c r="AZ1475" s="3">
        <v>7.1</v>
      </c>
      <c r="BA1475" s="1" t="s">
        <v>852</v>
      </c>
      <c r="BD1475" s="3">
        <v>7.5</v>
      </c>
      <c r="BE1475" s="1" t="s">
        <v>965</v>
      </c>
      <c r="BH1475" s="3">
        <v>7.4</v>
      </c>
      <c r="BI1475" s="1" t="s">
        <v>965</v>
      </c>
    </row>
    <row r="1476" spans="1:61">
      <c r="A1476" s="6">
        <v>11</v>
      </c>
      <c r="B1476" s="103" t="s">
        <v>673</v>
      </c>
      <c r="C1476" s="1" t="s">
        <v>57</v>
      </c>
      <c r="D1476" s="2"/>
      <c r="E1476" s="2"/>
      <c r="F1476" s="8"/>
      <c r="G1476" s="8"/>
      <c r="H1476" s="8"/>
      <c r="I1476" s="8"/>
      <c r="AK1476" s="1" t="s">
        <v>285</v>
      </c>
      <c r="AN1476" s="1" t="s">
        <v>285</v>
      </c>
      <c r="AQ1476" s="1" t="s">
        <v>285</v>
      </c>
      <c r="AW1476" s="1" t="s">
        <v>285</v>
      </c>
    </row>
    <row r="1477" spans="1:61">
      <c r="B1477" s="103" t="s">
        <v>673</v>
      </c>
      <c r="C1477" s="1" t="s">
        <v>287</v>
      </c>
      <c r="D1477" s="2"/>
      <c r="E1477" s="2"/>
      <c r="F1477" s="8"/>
      <c r="G1477" s="8"/>
      <c r="H1477" s="8"/>
      <c r="Q1477" s="3"/>
      <c r="T1477" s="3"/>
      <c r="W1477" s="3"/>
      <c r="X1477" s="3">
        <v>12.7</v>
      </c>
      <c r="AA1477" s="3">
        <v>9.44</v>
      </c>
      <c r="AC1477" s="3">
        <f>AA1477-X1477</f>
        <v>-3.26</v>
      </c>
      <c r="AK1477" s="1" t="s">
        <v>285</v>
      </c>
      <c r="AN1477" s="1" t="s">
        <v>285</v>
      </c>
      <c r="AQ1477" s="1" t="s">
        <v>285</v>
      </c>
      <c r="AW1477" s="1" t="s">
        <v>285</v>
      </c>
      <c r="AZ1477" s="3">
        <v>7.24</v>
      </c>
      <c r="BA1477" s="1" t="s">
        <v>852</v>
      </c>
      <c r="BD1477" s="3">
        <v>7.96</v>
      </c>
      <c r="BE1477" s="1" t="s">
        <v>965</v>
      </c>
      <c r="BH1477" s="3">
        <v>9.5</v>
      </c>
      <c r="BI1477" s="1" t="s">
        <v>965</v>
      </c>
    </row>
    <row r="1478" spans="1:61">
      <c r="A1478" s="6">
        <v>1</v>
      </c>
      <c r="B1478" s="103" t="s">
        <v>677</v>
      </c>
      <c r="C1478" s="1" t="s">
        <v>52</v>
      </c>
      <c r="D1478" s="2">
        <v>18</v>
      </c>
      <c r="E1478" s="2"/>
      <c r="F1478" s="8">
        <v>18</v>
      </c>
      <c r="G1478" s="8"/>
      <c r="H1478" s="8">
        <v>18</v>
      </c>
      <c r="I1478" s="8">
        <f>H1478-D1478</f>
        <v>0</v>
      </c>
      <c r="K1478" s="3"/>
      <c r="L1478" s="1" t="s">
        <v>487</v>
      </c>
      <c r="M1478" s="3">
        <v>16</v>
      </c>
      <c r="O1478" s="3">
        <v>16</v>
      </c>
      <c r="Q1478" s="3">
        <f>O1478-H1478</f>
        <v>-2</v>
      </c>
      <c r="R1478" s="3">
        <v>16</v>
      </c>
      <c r="T1478" s="2">
        <f>R1478-O1478</f>
        <v>0</v>
      </c>
      <c r="U1478" s="3">
        <v>16</v>
      </c>
      <c r="W1478" s="3">
        <f>U1478-R1478</f>
        <v>0</v>
      </c>
      <c r="X1478" s="3">
        <v>25</v>
      </c>
      <c r="Z1478" s="3">
        <f>X1478-U1478</f>
        <v>9</v>
      </c>
      <c r="AA1478" s="3">
        <v>25</v>
      </c>
      <c r="AC1478" s="3">
        <f>AA1478-X1478</f>
        <v>0</v>
      </c>
    </row>
    <row r="1479" spans="1:61">
      <c r="A1479" s="6">
        <v>3</v>
      </c>
      <c r="B1479" s="103" t="s">
        <v>677</v>
      </c>
      <c r="C1479" s="1" t="s">
        <v>54</v>
      </c>
      <c r="D1479" s="2" t="s">
        <v>653</v>
      </c>
      <c r="E1479" s="2"/>
      <c r="F1479" s="8">
        <v>0</v>
      </c>
      <c r="G1479" s="8"/>
      <c r="H1479" s="8">
        <v>0</v>
      </c>
      <c r="I1479" s="8"/>
      <c r="J1479" s="1" t="s">
        <v>653</v>
      </c>
      <c r="P1479" s="1" t="s">
        <v>653</v>
      </c>
      <c r="R1479" s="2" t="s">
        <v>653</v>
      </c>
    </row>
    <row r="1480" spans="1:61">
      <c r="A1480" s="6">
        <v>4</v>
      </c>
      <c r="B1480" s="103" t="s">
        <v>677</v>
      </c>
      <c r="C1480" s="1" t="s">
        <v>55</v>
      </c>
      <c r="D1480" s="2" t="s">
        <v>653</v>
      </c>
      <c r="E1480" s="2"/>
      <c r="F1480" s="8">
        <v>0</v>
      </c>
      <c r="G1480" s="8"/>
      <c r="H1480" s="8">
        <v>0</v>
      </c>
      <c r="I1480" s="8"/>
      <c r="J1480" s="1" t="s">
        <v>653</v>
      </c>
      <c r="P1480" s="1" t="s">
        <v>653</v>
      </c>
      <c r="R1480" s="2" t="s">
        <v>653</v>
      </c>
    </row>
    <row r="1481" spans="1:61">
      <c r="A1481" s="6">
        <v>5</v>
      </c>
      <c r="B1481" s="103" t="s">
        <v>677</v>
      </c>
      <c r="C1481" s="1" t="s">
        <v>56</v>
      </c>
      <c r="D1481" s="2" t="s">
        <v>653</v>
      </c>
      <c r="E1481" s="2"/>
      <c r="F1481" s="8">
        <v>0</v>
      </c>
      <c r="G1481" s="8"/>
      <c r="H1481" s="8">
        <v>0</v>
      </c>
      <c r="I1481" s="8"/>
      <c r="J1481" s="1" t="s">
        <v>653</v>
      </c>
      <c r="P1481" s="1" t="s">
        <v>653</v>
      </c>
      <c r="R1481" s="2" t="s">
        <v>653</v>
      </c>
    </row>
    <row r="1482" spans="1:61">
      <c r="A1482" s="6">
        <v>2</v>
      </c>
      <c r="B1482" s="103" t="s">
        <v>677</v>
      </c>
      <c r="C1482" s="1" t="s">
        <v>53</v>
      </c>
      <c r="D1482" s="2">
        <v>18</v>
      </c>
      <c r="E1482" s="2"/>
      <c r="F1482" s="8">
        <v>18</v>
      </c>
      <c r="G1482" s="8"/>
      <c r="H1482" s="8">
        <v>18</v>
      </c>
      <c r="I1482" s="10">
        <f>H1482-D1482</f>
        <v>0</v>
      </c>
      <c r="K1482" s="3"/>
      <c r="L1482" s="1" t="s">
        <v>392</v>
      </c>
      <c r="M1482" s="3">
        <v>16</v>
      </c>
      <c r="O1482" s="3">
        <v>16</v>
      </c>
      <c r="Q1482" s="3">
        <f>O1482-H1482</f>
        <v>-2</v>
      </c>
      <c r="R1482" s="3">
        <v>16</v>
      </c>
      <c r="T1482" s="3">
        <f>R1482-O1482</f>
        <v>0</v>
      </c>
      <c r="U1482" s="3">
        <v>16</v>
      </c>
      <c r="W1482" s="3">
        <f>U1482-R1482</f>
        <v>0</v>
      </c>
      <c r="X1482" s="3">
        <v>25</v>
      </c>
      <c r="Z1482" s="3">
        <f>X1482-U1482</f>
        <v>9</v>
      </c>
      <c r="AA1482" s="3">
        <v>25</v>
      </c>
      <c r="AC1482" s="3">
        <f>AA1482-X1482</f>
        <v>0</v>
      </c>
    </row>
    <row r="1483" spans="1:61">
      <c r="B1483" s="103" t="s">
        <v>677</v>
      </c>
      <c r="C1483" s="1" t="s">
        <v>158</v>
      </c>
      <c r="D1483" s="2"/>
      <c r="E1483" s="2"/>
      <c r="F1483" s="8"/>
      <c r="G1483" s="8"/>
      <c r="H1483" s="8"/>
      <c r="I1483" s="8"/>
      <c r="K1483" s="3"/>
      <c r="Q1483" s="3"/>
      <c r="T1483" s="3"/>
      <c r="W1483" s="3"/>
      <c r="AC1483" s="3"/>
      <c r="AI1483" s="3"/>
      <c r="AL1483" s="3"/>
      <c r="AO1483" s="3"/>
      <c r="AP1483" s="3">
        <v>3</v>
      </c>
      <c r="AS1483" s="3">
        <v>3</v>
      </c>
      <c r="AV1483" s="3">
        <v>3</v>
      </c>
      <c r="AZ1483" s="3">
        <v>1.66</v>
      </c>
      <c r="BA1483" s="1" t="s">
        <v>852</v>
      </c>
      <c r="BD1483" s="3">
        <v>1.66</v>
      </c>
      <c r="BE1483" s="1" t="s">
        <v>852</v>
      </c>
      <c r="BG1483" s="3">
        <v>1.66</v>
      </c>
    </row>
    <row r="1484" spans="1:61">
      <c r="B1484" s="103" t="s">
        <v>677</v>
      </c>
      <c r="C1484" s="1" t="s">
        <v>597</v>
      </c>
      <c r="D1484" s="2"/>
      <c r="E1484" s="2"/>
      <c r="F1484" s="8"/>
      <c r="G1484" s="8"/>
      <c r="H1484" s="8"/>
      <c r="I1484" s="8"/>
      <c r="K1484" s="3"/>
      <c r="Q1484" s="3"/>
      <c r="T1484" s="3"/>
      <c r="W1484" s="3"/>
      <c r="AC1484" s="3"/>
      <c r="AD1484" s="24">
        <v>18</v>
      </c>
      <c r="AG1484" s="3">
        <v>18</v>
      </c>
      <c r="AJ1484" s="3">
        <v>18</v>
      </c>
      <c r="AM1484" s="3">
        <v>18</v>
      </c>
      <c r="AP1484" s="3">
        <v>18</v>
      </c>
      <c r="AS1484" s="3">
        <v>18</v>
      </c>
      <c r="AV1484" s="3">
        <v>18</v>
      </c>
      <c r="AZ1484" s="3">
        <v>18</v>
      </c>
      <c r="BA1484" s="1" t="s">
        <v>852</v>
      </c>
      <c r="BD1484" s="3">
        <v>18</v>
      </c>
      <c r="BE1484" s="1" t="s">
        <v>852</v>
      </c>
      <c r="BG1484" s="3">
        <v>18</v>
      </c>
      <c r="BH1484" s="3">
        <v>25.5</v>
      </c>
      <c r="BI1484" s="1" t="s">
        <v>852</v>
      </c>
    </row>
    <row r="1485" spans="1:61">
      <c r="B1485" s="103" t="s">
        <v>677</v>
      </c>
      <c r="C1485" s="1" t="s">
        <v>600</v>
      </c>
      <c r="D1485" s="2"/>
      <c r="E1485" s="2"/>
      <c r="F1485" s="8"/>
      <c r="G1485" s="8"/>
      <c r="H1485" s="8"/>
      <c r="I1485" s="8"/>
      <c r="K1485" s="3"/>
      <c r="Q1485" s="3"/>
      <c r="T1485" s="3"/>
      <c r="W1485" s="3"/>
      <c r="AC1485" s="3"/>
      <c r="AD1485" s="24">
        <v>25</v>
      </c>
      <c r="AG1485" s="3">
        <v>25</v>
      </c>
      <c r="AJ1485" s="3">
        <v>25</v>
      </c>
      <c r="AM1485" s="3">
        <v>25</v>
      </c>
      <c r="AP1485" s="3">
        <v>25</v>
      </c>
      <c r="AS1485" s="3">
        <v>25</v>
      </c>
      <c r="AV1485" s="3">
        <v>25</v>
      </c>
      <c r="AZ1485" s="3">
        <v>25</v>
      </c>
      <c r="BA1485" s="1" t="s">
        <v>852</v>
      </c>
      <c r="BD1485" s="3">
        <v>25</v>
      </c>
      <c r="BE1485" s="1" t="s">
        <v>852</v>
      </c>
      <c r="BG1485" s="3">
        <v>25</v>
      </c>
    </row>
    <row r="1486" spans="1:61">
      <c r="B1486" s="103" t="s">
        <v>677</v>
      </c>
      <c r="C1486" s="1" t="s">
        <v>595</v>
      </c>
      <c r="D1486" s="2"/>
      <c r="E1486" s="2"/>
      <c r="F1486" s="8"/>
      <c r="G1486" s="8"/>
      <c r="H1486" s="8"/>
      <c r="I1486" s="8"/>
      <c r="K1486" s="3"/>
      <c r="Q1486" s="3"/>
      <c r="T1486" s="3"/>
      <c r="W1486" s="3"/>
      <c r="AC1486" s="3"/>
      <c r="AD1486" s="24">
        <v>9</v>
      </c>
      <c r="AG1486" s="3">
        <v>4</v>
      </c>
      <c r="AI1486" s="3">
        <f>AG1486-AD1486</f>
        <v>-5</v>
      </c>
      <c r="AJ1486" s="3">
        <v>4</v>
      </c>
      <c r="AL1486" s="3">
        <f>AJ1486-AG1486</f>
        <v>0</v>
      </c>
      <c r="AM1486" s="3">
        <v>4</v>
      </c>
      <c r="AO1486" s="3">
        <f>AM1486-AJ1486</f>
        <v>0</v>
      </c>
      <c r="AP1486" s="3">
        <v>4</v>
      </c>
      <c r="AS1486" s="3">
        <v>8</v>
      </c>
      <c r="AV1486" s="3">
        <v>8</v>
      </c>
      <c r="AZ1486" s="3">
        <v>10.717923025392251</v>
      </c>
      <c r="BA1486" s="1" t="s">
        <v>852</v>
      </c>
      <c r="BD1486" s="3">
        <v>10.717923025392251</v>
      </c>
      <c r="BE1486" s="1" t="s">
        <v>852</v>
      </c>
      <c r="BG1486" s="3">
        <v>10.717923025392251</v>
      </c>
    </row>
    <row r="1487" spans="1:61">
      <c r="B1487" s="103" t="s">
        <v>677</v>
      </c>
      <c r="C1487" s="1" t="s">
        <v>700</v>
      </c>
      <c r="D1487" s="2"/>
      <c r="E1487" s="2"/>
      <c r="F1487" s="8"/>
      <c r="G1487" s="8"/>
      <c r="H1487" s="8"/>
      <c r="I1487" s="8"/>
      <c r="K1487" s="3"/>
      <c r="Q1487" s="3"/>
      <c r="T1487" s="3"/>
      <c r="W1487" s="3"/>
      <c r="AC1487" s="3"/>
      <c r="AD1487" s="24">
        <v>5</v>
      </c>
      <c r="AG1487" s="3">
        <v>5</v>
      </c>
      <c r="AJ1487" s="3">
        <v>5</v>
      </c>
      <c r="AM1487" s="3">
        <v>5</v>
      </c>
      <c r="AP1487" s="3">
        <v>5</v>
      </c>
      <c r="AS1487" s="3">
        <v>9</v>
      </c>
      <c r="AV1487" s="3">
        <v>9</v>
      </c>
    </row>
    <row r="1488" spans="1:61" ht="9.6" customHeight="1">
      <c r="B1488" s="103" t="s">
        <v>677</v>
      </c>
      <c r="C1488" s="1" t="s">
        <v>596</v>
      </c>
      <c r="D1488" s="2"/>
      <c r="E1488" s="2"/>
      <c r="F1488" s="8"/>
      <c r="G1488" s="8"/>
      <c r="H1488" s="8"/>
      <c r="I1488" s="8"/>
      <c r="K1488" s="3"/>
      <c r="Q1488" s="3"/>
      <c r="T1488" s="3"/>
      <c r="W1488" s="3"/>
      <c r="AC1488" s="3"/>
      <c r="AD1488" s="24">
        <v>10</v>
      </c>
      <c r="AG1488" s="3">
        <v>10</v>
      </c>
      <c r="AJ1488" s="3">
        <v>10</v>
      </c>
      <c r="AM1488" s="3">
        <v>10</v>
      </c>
      <c r="AP1488" s="3">
        <v>10</v>
      </c>
      <c r="AS1488" s="3">
        <v>10</v>
      </c>
      <c r="AV1488" s="3">
        <v>10</v>
      </c>
      <c r="AZ1488" s="3">
        <v>10</v>
      </c>
      <c r="BA1488" s="1" t="s">
        <v>852</v>
      </c>
      <c r="BD1488" s="3">
        <v>10</v>
      </c>
      <c r="BE1488" s="1" t="s">
        <v>852</v>
      </c>
      <c r="BG1488" s="3">
        <v>10</v>
      </c>
    </row>
    <row r="1489" spans="1:61">
      <c r="A1489" s="6">
        <v>12</v>
      </c>
      <c r="B1489" s="103" t="s">
        <v>677</v>
      </c>
      <c r="C1489" s="1" t="s">
        <v>594</v>
      </c>
      <c r="D1489" s="2">
        <v>6</v>
      </c>
      <c r="E1489" s="2"/>
      <c r="F1489" s="8">
        <v>6</v>
      </c>
      <c r="G1489" s="8"/>
      <c r="H1489" s="8">
        <v>6</v>
      </c>
      <c r="I1489" s="8">
        <f>H1489-D1489</f>
        <v>0</v>
      </c>
      <c r="K1489" s="3"/>
      <c r="M1489" s="3">
        <v>6</v>
      </c>
      <c r="O1489" s="3">
        <v>6</v>
      </c>
      <c r="Q1489" s="3">
        <f>O1489-H1489</f>
        <v>0</v>
      </c>
      <c r="R1489" s="3">
        <v>6</v>
      </c>
      <c r="T1489" s="3">
        <f>R1489-O1489</f>
        <v>0</v>
      </c>
      <c r="U1489" s="3">
        <v>6</v>
      </c>
      <c r="W1489" s="3">
        <f>U1489-R1489</f>
        <v>0</v>
      </c>
      <c r="X1489" s="3">
        <v>4</v>
      </c>
      <c r="Z1489" s="3">
        <f>X1489-U1489</f>
        <v>-2</v>
      </c>
      <c r="AA1489" s="3">
        <v>4</v>
      </c>
      <c r="AC1489" s="3">
        <f>AA1489-X1489</f>
        <v>0</v>
      </c>
      <c r="AD1489" s="24">
        <v>9</v>
      </c>
      <c r="AF1489" s="24">
        <f>AD1489-AA1489</f>
        <v>5</v>
      </c>
      <c r="AG1489" s="3">
        <v>4</v>
      </c>
      <c r="AI1489" s="3">
        <f>AG1489-AD1489</f>
        <v>-5</v>
      </c>
      <c r="AJ1489" s="3">
        <v>10</v>
      </c>
      <c r="AL1489" s="3">
        <f>AJ1489-AG1489</f>
        <v>6</v>
      </c>
      <c r="AM1489" s="3">
        <v>14</v>
      </c>
      <c r="AO1489" s="3">
        <f>AM1489-AJ1489</f>
        <v>4</v>
      </c>
      <c r="AP1489" s="3">
        <v>14</v>
      </c>
      <c r="AS1489" s="3">
        <v>12</v>
      </c>
      <c r="AV1489" s="3">
        <v>12</v>
      </c>
      <c r="AZ1489" s="3">
        <v>10.256575711585459</v>
      </c>
      <c r="BA1489" s="1" t="s">
        <v>852</v>
      </c>
      <c r="BD1489" s="3">
        <v>10.256575711585459</v>
      </c>
      <c r="BE1489" s="1" t="s">
        <v>852</v>
      </c>
      <c r="BG1489" s="3">
        <v>10.256575711585459</v>
      </c>
      <c r="BH1489" s="3">
        <v>11.5</v>
      </c>
      <c r="BI1489" s="1" t="s">
        <v>852</v>
      </c>
    </row>
    <row r="1490" spans="1:61">
      <c r="A1490" s="6">
        <v>14</v>
      </c>
      <c r="B1490" s="103" t="s">
        <v>677</v>
      </c>
      <c r="C1490" s="1" t="s">
        <v>58</v>
      </c>
      <c r="D1490" s="2">
        <v>12</v>
      </c>
      <c r="E1490" s="2"/>
      <c r="F1490" s="8">
        <v>12</v>
      </c>
      <c r="G1490" s="8"/>
      <c r="H1490" s="8">
        <v>12</v>
      </c>
      <c r="I1490" s="8">
        <f>H1490-D1490</f>
        <v>0</v>
      </c>
      <c r="K1490" s="3"/>
      <c r="L1490" s="1" t="s">
        <v>368</v>
      </c>
      <c r="M1490" s="3">
        <v>12</v>
      </c>
      <c r="O1490" s="3">
        <v>12</v>
      </c>
      <c r="Q1490" s="3">
        <f>O1490-H1490</f>
        <v>0</v>
      </c>
      <c r="R1490" s="3">
        <v>12</v>
      </c>
      <c r="T1490" s="3">
        <f>R1490-O1490</f>
        <v>0</v>
      </c>
      <c r="U1490" s="3">
        <v>12</v>
      </c>
      <c r="W1490" s="3">
        <f>U1490-R1490</f>
        <v>0</v>
      </c>
      <c r="X1490" s="3">
        <v>18</v>
      </c>
      <c r="Z1490" s="3">
        <f>X1490-U1490</f>
        <v>6</v>
      </c>
      <c r="AA1490" s="3">
        <v>18</v>
      </c>
      <c r="AC1490" s="3">
        <f>AA1490-X1490</f>
        <v>0</v>
      </c>
      <c r="AD1490" s="24">
        <v>11.5</v>
      </c>
      <c r="AF1490" s="24">
        <f>AD1490-AA1490</f>
        <v>-6.5</v>
      </c>
      <c r="AG1490" s="3">
        <v>11</v>
      </c>
      <c r="AI1490" s="3">
        <f>AG1490-AD1490</f>
        <v>-0.5</v>
      </c>
      <c r="AJ1490" s="3">
        <v>11</v>
      </c>
      <c r="AL1490" s="3">
        <f>AJ1490-AG1490</f>
        <v>0</v>
      </c>
      <c r="AM1490" s="3">
        <v>11</v>
      </c>
      <c r="AO1490" s="3">
        <f>AM1490-AJ1490</f>
        <v>0</v>
      </c>
      <c r="AP1490" s="3">
        <v>11</v>
      </c>
      <c r="AS1490" s="3">
        <v>11</v>
      </c>
      <c r="AV1490" s="3">
        <v>11</v>
      </c>
      <c r="AZ1490" s="3">
        <v>6.1105604477720936</v>
      </c>
      <c r="BA1490" s="1" t="s">
        <v>852</v>
      </c>
      <c r="BD1490" s="3">
        <v>6.1105604477720936</v>
      </c>
      <c r="BE1490" s="1" t="s">
        <v>852</v>
      </c>
      <c r="BG1490" s="3">
        <v>6.1105604477720936</v>
      </c>
      <c r="BH1490" s="3">
        <v>10.15</v>
      </c>
      <c r="BI1490" s="1" t="s">
        <v>852</v>
      </c>
    </row>
    <row r="1491" spans="1:61">
      <c r="B1491" s="103" t="s">
        <v>677</v>
      </c>
      <c r="C1491" s="1" t="s">
        <v>868</v>
      </c>
      <c r="D1491" s="2"/>
      <c r="E1491" s="2"/>
      <c r="F1491" s="8"/>
      <c r="G1491" s="8"/>
      <c r="H1491" s="8"/>
      <c r="I1491" s="8"/>
      <c r="K1491" s="3"/>
      <c r="Q1491" s="3"/>
      <c r="T1491" s="3"/>
      <c r="W1491" s="3"/>
      <c r="AC1491" s="3"/>
      <c r="AI1491" s="3"/>
      <c r="AL1491" s="3"/>
      <c r="AO1491" s="3"/>
      <c r="AZ1491" s="3">
        <v>7.490324996879032</v>
      </c>
      <c r="BA1491" s="1" t="s">
        <v>852</v>
      </c>
      <c r="BD1491" s="3">
        <v>7.490324996879032</v>
      </c>
      <c r="BE1491" s="1" t="s">
        <v>852</v>
      </c>
      <c r="BG1491" s="3">
        <v>7.490324996879032</v>
      </c>
      <c r="BH1491" s="3">
        <v>15</v>
      </c>
      <c r="BI1491" s="1" t="s">
        <v>852</v>
      </c>
    </row>
    <row r="1492" spans="1:61">
      <c r="B1492" s="103" t="s">
        <v>677</v>
      </c>
      <c r="C1492" s="1" t="s">
        <v>607</v>
      </c>
      <c r="D1492" s="2"/>
      <c r="E1492" s="2"/>
      <c r="F1492" s="8"/>
      <c r="G1492" s="8"/>
      <c r="H1492" s="8"/>
      <c r="I1492" s="8"/>
      <c r="K1492" s="3"/>
      <c r="Q1492" s="3"/>
      <c r="T1492" s="3"/>
      <c r="W1492" s="3"/>
      <c r="AC1492" s="3"/>
      <c r="AJ1492" s="3">
        <v>12.5</v>
      </c>
      <c r="AM1492" s="3">
        <v>12.5</v>
      </c>
      <c r="AP1492" s="3">
        <v>12.5</v>
      </c>
      <c r="AS1492" s="3">
        <v>13</v>
      </c>
      <c r="AV1492" s="3">
        <v>13</v>
      </c>
      <c r="AZ1492" s="3">
        <v>11.55</v>
      </c>
      <c r="BA1492" s="1" t="s">
        <v>852</v>
      </c>
      <c r="BD1492" s="3">
        <v>11.55</v>
      </c>
      <c r="BE1492" s="1" t="s">
        <v>852</v>
      </c>
      <c r="BG1492" s="3">
        <v>11.55</v>
      </c>
    </row>
    <row r="1493" spans="1:61" ht="9" customHeight="1">
      <c r="B1493" s="103" t="s">
        <v>677</v>
      </c>
      <c r="C1493" s="1" t="s">
        <v>854</v>
      </c>
      <c r="D1493" s="2"/>
      <c r="E1493" s="2"/>
      <c r="F1493" s="8"/>
      <c r="G1493" s="8"/>
      <c r="H1493" s="8"/>
      <c r="I1493" s="8"/>
      <c r="K1493" s="3"/>
      <c r="Q1493" s="3"/>
      <c r="T1493" s="3"/>
      <c r="W1493" s="3"/>
      <c r="AC1493" s="3"/>
      <c r="AI1493" s="3"/>
      <c r="AL1493" s="3"/>
      <c r="AO1493" s="3"/>
      <c r="AZ1493" s="3">
        <v>138.50786666666667</v>
      </c>
      <c r="BA1493" s="1" t="s">
        <v>852</v>
      </c>
      <c r="BD1493" s="3">
        <v>138.50786666666667</v>
      </c>
      <c r="BE1493" s="1" t="s">
        <v>852</v>
      </c>
      <c r="BG1493" s="3">
        <v>138.50786666666667</v>
      </c>
      <c r="BH1493" s="3">
        <v>208</v>
      </c>
      <c r="BI1493" s="1" t="s">
        <v>852</v>
      </c>
    </row>
    <row r="1494" spans="1:61">
      <c r="B1494" s="103" t="s">
        <v>677</v>
      </c>
      <c r="C1494" s="1" t="s">
        <v>869</v>
      </c>
      <c r="D1494" s="2"/>
      <c r="E1494" s="2"/>
      <c r="F1494" s="8"/>
      <c r="G1494" s="8"/>
      <c r="H1494" s="8"/>
      <c r="I1494" s="8"/>
      <c r="K1494" s="3"/>
      <c r="Q1494" s="3"/>
      <c r="T1494" s="3"/>
      <c r="W1494" s="3"/>
      <c r="AC1494" s="3"/>
      <c r="AI1494" s="3"/>
      <c r="AL1494" s="3"/>
      <c r="AO1494" s="3"/>
      <c r="AZ1494" s="3">
        <v>30.893429320461074</v>
      </c>
      <c r="BA1494" s="1" t="s">
        <v>852</v>
      </c>
      <c r="BD1494" s="3">
        <v>30.893429320461074</v>
      </c>
      <c r="BE1494" s="1" t="s">
        <v>852</v>
      </c>
      <c r="BG1494" s="3">
        <v>30.893429320461074</v>
      </c>
      <c r="BH1494" s="3">
        <v>37.5</v>
      </c>
      <c r="BI1494" s="1" t="s">
        <v>852</v>
      </c>
    </row>
    <row r="1495" spans="1:61">
      <c r="B1495" s="103" t="s">
        <v>677</v>
      </c>
      <c r="C1495" s="1" t="s">
        <v>291</v>
      </c>
      <c r="D1495" s="2"/>
      <c r="E1495" s="2"/>
      <c r="F1495" s="8"/>
      <c r="G1495" s="8"/>
      <c r="H1495" s="8"/>
      <c r="I1495" s="8"/>
      <c r="K1495" s="3"/>
      <c r="Q1495" s="3"/>
      <c r="T1495" s="3"/>
      <c r="W1495" s="3"/>
      <c r="AC1495" s="3"/>
      <c r="AD1495" s="24">
        <v>6</v>
      </c>
      <c r="AG1495" s="3">
        <v>12.5</v>
      </c>
      <c r="AJ1495" s="3">
        <v>12.5</v>
      </c>
      <c r="AM1495" s="3">
        <v>12.5</v>
      </c>
      <c r="AP1495" s="3">
        <v>12.5</v>
      </c>
      <c r="AS1495" s="3">
        <v>13</v>
      </c>
      <c r="AV1495" s="3">
        <v>13</v>
      </c>
      <c r="AZ1495" s="3">
        <v>7.16</v>
      </c>
      <c r="BA1495" s="1" t="s">
        <v>852</v>
      </c>
      <c r="BD1495" s="3">
        <v>7.16</v>
      </c>
      <c r="BE1495" s="1" t="s">
        <v>852</v>
      </c>
      <c r="BG1495" s="3">
        <v>7.16</v>
      </c>
    </row>
    <row r="1496" spans="1:61">
      <c r="B1496" s="103" t="s">
        <v>677</v>
      </c>
      <c r="C1496" s="1" t="s">
        <v>857</v>
      </c>
      <c r="D1496" s="2"/>
      <c r="E1496" s="2"/>
      <c r="F1496" s="8"/>
      <c r="G1496" s="8"/>
      <c r="H1496" s="8"/>
      <c r="I1496" s="8"/>
      <c r="K1496" s="3"/>
      <c r="Q1496" s="3"/>
      <c r="T1496" s="3"/>
      <c r="W1496" s="3"/>
      <c r="AC1496" s="3"/>
      <c r="AI1496" s="3"/>
      <c r="AL1496" s="3"/>
      <c r="AO1496" s="3"/>
      <c r="AZ1496" s="3">
        <v>12.483874994798386</v>
      </c>
      <c r="BA1496" s="1" t="s">
        <v>852</v>
      </c>
      <c r="BD1496" s="3">
        <v>12.483874994798386</v>
      </c>
      <c r="BE1496" s="1" t="s">
        <v>852</v>
      </c>
      <c r="BG1496" s="3">
        <v>12.483874994798386</v>
      </c>
    </row>
    <row r="1497" spans="1:61">
      <c r="B1497" s="103" t="s">
        <v>677</v>
      </c>
      <c r="C1497" s="1" t="s">
        <v>606</v>
      </c>
      <c r="D1497" s="2"/>
      <c r="E1497" s="2"/>
      <c r="F1497" s="8"/>
      <c r="G1497" s="8"/>
      <c r="H1497" s="8"/>
      <c r="I1497" s="8"/>
      <c r="K1497" s="3"/>
      <c r="Q1497" s="3"/>
      <c r="T1497" s="3"/>
      <c r="W1497" s="3"/>
      <c r="AC1497" s="3"/>
      <c r="AG1497" s="3">
        <v>13</v>
      </c>
      <c r="AJ1497" s="3">
        <v>13</v>
      </c>
      <c r="AM1497" s="3">
        <v>13</v>
      </c>
      <c r="AP1497" s="3">
        <v>13</v>
      </c>
      <c r="AS1497" s="3">
        <v>13</v>
      </c>
      <c r="AV1497" s="3">
        <v>13</v>
      </c>
    </row>
    <row r="1498" spans="1:61">
      <c r="B1498" s="103" t="s">
        <v>677</v>
      </c>
      <c r="C1498" s="1" t="s">
        <v>386</v>
      </c>
      <c r="D1498" s="2"/>
      <c r="E1498" s="2"/>
      <c r="F1498" s="8"/>
      <c r="G1498" s="8"/>
      <c r="H1498" s="8"/>
      <c r="I1498" s="8"/>
      <c r="K1498" s="3"/>
      <c r="Q1498" s="3"/>
      <c r="T1498" s="3"/>
      <c r="W1498" s="3"/>
      <c r="AC1498" s="3"/>
      <c r="AI1498" s="3"/>
      <c r="AL1498" s="3"/>
      <c r="AO1498" s="3"/>
      <c r="AZ1498" s="3">
        <v>3.8</v>
      </c>
      <c r="BA1498" s="1" t="s">
        <v>852</v>
      </c>
      <c r="BD1498" s="3">
        <v>3.8</v>
      </c>
      <c r="BE1498" s="1" t="s">
        <v>852</v>
      </c>
      <c r="BG1498" s="3">
        <v>3.8</v>
      </c>
    </row>
    <row r="1499" spans="1:61">
      <c r="B1499" s="103" t="s">
        <v>677</v>
      </c>
      <c r="C1499" s="1" t="s">
        <v>871</v>
      </c>
      <c r="D1499" s="2"/>
      <c r="E1499" s="2"/>
      <c r="F1499" s="8"/>
      <c r="G1499" s="8"/>
      <c r="H1499" s="8"/>
      <c r="I1499" s="8"/>
      <c r="K1499" s="3"/>
      <c r="Q1499" s="3"/>
      <c r="T1499" s="3"/>
      <c r="W1499" s="3"/>
      <c r="AC1499" s="3"/>
      <c r="AI1499" s="3"/>
      <c r="AL1499" s="3"/>
      <c r="AO1499" s="3"/>
      <c r="AZ1499" s="3">
        <v>2.4900000000000002</v>
      </c>
      <c r="BA1499" s="1" t="s">
        <v>852</v>
      </c>
      <c r="BD1499" s="3">
        <v>2.4900000000000002</v>
      </c>
      <c r="BE1499" s="1" t="s">
        <v>852</v>
      </c>
      <c r="BG1499" s="3">
        <v>2.4900000000000002</v>
      </c>
    </row>
    <row r="1500" spans="1:61">
      <c r="B1500" s="103" t="s">
        <v>677</v>
      </c>
      <c r="C1500" s="1" t="s">
        <v>870</v>
      </c>
      <c r="D1500" s="2"/>
      <c r="E1500" s="2"/>
      <c r="F1500" s="8"/>
      <c r="G1500" s="8"/>
      <c r="H1500" s="8"/>
      <c r="I1500" s="8"/>
      <c r="K1500" s="3"/>
      <c r="Q1500" s="3"/>
      <c r="T1500" s="3"/>
      <c r="W1500" s="3"/>
      <c r="AC1500" s="3"/>
      <c r="AI1500" s="3"/>
      <c r="AL1500" s="3"/>
      <c r="AO1500" s="3"/>
      <c r="AZ1500" s="3">
        <v>58.648564237291254</v>
      </c>
      <c r="BA1500" s="1" t="s">
        <v>852</v>
      </c>
      <c r="BD1500" s="3">
        <v>58.648564237291254</v>
      </c>
      <c r="BE1500" s="1" t="s">
        <v>852</v>
      </c>
      <c r="BG1500" s="3">
        <v>58.648564237291254</v>
      </c>
    </row>
    <row r="1501" spans="1:61">
      <c r="B1501" s="103" t="s">
        <v>677</v>
      </c>
      <c r="C1501" s="1" t="s">
        <v>289</v>
      </c>
      <c r="D1501" s="2"/>
      <c r="E1501" s="2"/>
      <c r="F1501" s="8"/>
      <c r="G1501" s="8"/>
      <c r="H1501" s="8"/>
      <c r="I1501" s="8"/>
      <c r="K1501" s="3"/>
      <c r="Q1501" s="3"/>
      <c r="T1501" s="3"/>
      <c r="W1501" s="3"/>
      <c r="AC1501" s="3"/>
      <c r="AD1501" s="24">
        <v>80</v>
      </c>
      <c r="AP1501" s="3">
        <v>2</v>
      </c>
      <c r="AS1501" s="3">
        <v>2</v>
      </c>
      <c r="AV1501" s="3">
        <v>2</v>
      </c>
      <c r="AZ1501" s="3">
        <v>7.85</v>
      </c>
      <c r="BA1501" s="1" t="s">
        <v>852</v>
      </c>
      <c r="BD1501" s="3">
        <v>7.85</v>
      </c>
      <c r="BE1501" s="1" t="s">
        <v>852</v>
      </c>
      <c r="BG1501" s="3">
        <v>7.85</v>
      </c>
    </row>
    <row r="1502" spans="1:61">
      <c r="B1502" s="103" t="s">
        <v>677</v>
      </c>
      <c r="C1502" s="1" t="s">
        <v>238</v>
      </c>
      <c r="D1502" s="2"/>
      <c r="E1502" s="2"/>
      <c r="F1502" s="8"/>
      <c r="G1502" s="8"/>
      <c r="H1502" s="8"/>
      <c r="I1502" s="8"/>
      <c r="K1502" s="3"/>
      <c r="Q1502" s="3"/>
      <c r="T1502" s="3"/>
      <c r="W1502" s="3"/>
      <c r="AC1502" s="3"/>
      <c r="AD1502" s="24">
        <v>4</v>
      </c>
      <c r="AZ1502" s="3">
        <v>3.39</v>
      </c>
      <c r="BA1502" s="1" t="s">
        <v>852</v>
      </c>
      <c r="BD1502" s="3">
        <v>3.39</v>
      </c>
      <c r="BE1502" s="1" t="s">
        <v>852</v>
      </c>
      <c r="BG1502" s="3">
        <v>3.39</v>
      </c>
    </row>
    <row r="1503" spans="1:61">
      <c r="B1503" s="103" t="s">
        <v>677</v>
      </c>
      <c r="C1503" s="1" t="s">
        <v>74</v>
      </c>
      <c r="D1503" s="2"/>
      <c r="E1503" s="2"/>
      <c r="F1503" s="8"/>
      <c r="G1503" s="8"/>
      <c r="H1503" s="8"/>
      <c r="I1503" s="8"/>
      <c r="K1503" s="3"/>
      <c r="Q1503" s="3"/>
      <c r="T1503" s="3"/>
      <c r="W1503" s="3"/>
      <c r="AC1503" s="3"/>
      <c r="AI1503" s="3"/>
      <c r="AL1503" s="3"/>
      <c r="AO1503" s="3"/>
      <c r="AP1503" s="3">
        <v>3</v>
      </c>
      <c r="AS1503" s="3">
        <v>3</v>
      </c>
      <c r="AV1503" s="3">
        <v>3</v>
      </c>
    </row>
    <row r="1504" spans="1:61">
      <c r="B1504" s="103" t="s">
        <v>677</v>
      </c>
      <c r="C1504" s="1" t="s">
        <v>290</v>
      </c>
      <c r="D1504" s="2"/>
      <c r="E1504" s="2"/>
      <c r="F1504" s="8"/>
      <c r="G1504" s="8"/>
      <c r="H1504" s="8"/>
      <c r="I1504" s="8"/>
      <c r="K1504" s="3"/>
      <c r="Q1504" s="3"/>
      <c r="T1504" s="3"/>
      <c r="W1504" s="3"/>
      <c r="AC1504" s="3"/>
      <c r="AD1504" s="24">
        <v>80</v>
      </c>
      <c r="AG1504" s="3">
        <v>1.8</v>
      </c>
      <c r="AI1504" s="3">
        <f>AG1504-AD1504</f>
        <v>-78.2</v>
      </c>
      <c r="AJ1504" s="3">
        <v>2</v>
      </c>
      <c r="AL1504" s="3">
        <f>AJ1504-AG1504</f>
        <v>0.19999999999999996</v>
      </c>
      <c r="AM1504" s="3">
        <v>2</v>
      </c>
      <c r="AO1504" s="3">
        <f>AM1504-AJ1504</f>
        <v>0</v>
      </c>
      <c r="AP1504" s="3">
        <v>2</v>
      </c>
      <c r="AS1504" s="3">
        <v>2</v>
      </c>
      <c r="AV1504" s="3">
        <v>2</v>
      </c>
      <c r="AZ1504" s="3">
        <v>6.5</v>
      </c>
      <c r="BA1504" s="1" t="s">
        <v>852</v>
      </c>
      <c r="BD1504" s="3">
        <v>6.5</v>
      </c>
      <c r="BE1504" s="1" t="s">
        <v>852</v>
      </c>
      <c r="BG1504" s="3">
        <v>6.5</v>
      </c>
    </row>
    <row r="1505" spans="1:61">
      <c r="B1505" s="103" t="s">
        <v>677</v>
      </c>
      <c r="C1505" s="1" t="s">
        <v>64</v>
      </c>
      <c r="D1505" s="2"/>
      <c r="E1505" s="2"/>
      <c r="F1505" s="8"/>
      <c r="G1505" s="8"/>
      <c r="H1505" s="8"/>
      <c r="I1505" s="8"/>
      <c r="K1505" s="3"/>
      <c r="Q1505" s="3"/>
      <c r="T1505" s="3"/>
      <c r="W1505" s="3"/>
      <c r="AC1505" s="3"/>
      <c r="AD1505" s="24">
        <v>13</v>
      </c>
      <c r="AG1505" s="3">
        <v>13</v>
      </c>
      <c r="AI1505" s="3">
        <f>AG1505-AD1505</f>
        <v>0</v>
      </c>
      <c r="AJ1505" s="3">
        <v>13</v>
      </c>
      <c r="AL1505" s="3">
        <f>AJ1505-AG1505</f>
        <v>0</v>
      </c>
      <c r="AM1505" s="3">
        <v>13</v>
      </c>
      <c r="AO1505" s="3">
        <f>AM1505-AJ1505</f>
        <v>0</v>
      </c>
      <c r="AP1505" s="3">
        <v>13</v>
      </c>
      <c r="AS1505" s="3">
        <v>13</v>
      </c>
      <c r="AV1505" s="3">
        <v>13</v>
      </c>
      <c r="AZ1505" s="3">
        <v>7.9022508384582366</v>
      </c>
      <c r="BA1505" s="1" t="s">
        <v>852</v>
      </c>
      <c r="BD1505" s="3">
        <v>7.9022508384582366</v>
      </c>
      <c r="BE1505" s="1" t="s">
        <v>852</v>
      </c>
      <c r="BG1505" s="3">
        <v>7.9022508384582366</v>
      </c>
      <c r="BH1505" s="3">
        <v>14.4</v>
      </c>
      <c r="BI1505" s="1" t="s">
        <v>852</v>
      </c>
    </row>
    <row r="1506" spans="1:61">
      <c r="B1506" s="103" t="s">
        <v>677</v>
      </c>
      <c r="C1506" s="1" t="s">
        <v>286</v>
      </c>
      <c r="D1506" s="2"/>
      <c r="E1506" s="2"/>
      <c r="F1506" s="8"/>
      <c r="G1506" s="8"/>
      <c r="H1506" s="8"/>
      <c r="I1506" s="8"/>
      <c r="K1506" s="3"/>
      <c r="Q1506" s="3"/>
      <c r="T1506" s="3"/>
      <c r="W1506" s="3"/>
      <c r="AC1506" s="3"/>
      <c r="AD1506" s="24">
        <v>14.5</v>
      </c>
      <c r="AG1506" s="3">
        <v>14.5</v>
      </c>
      <c r="AI1506" s="3">
        <f>AG1506-AD1506</f>
        <v>0</v>
      </c>
      <c r="AJ1506" s="3">
        <v>14.5</v>
      </c>
      <c r="AL1506" s="3">
        <f>AJ1506-AG1506</f>
        <v>0</v>
      </c>
      <c r="AM1506" s="3">
        <v>14.5</v>
      </c>
      <c r="AO1506" s="3">
        <f>AM1506-AJ1506</f>
        <v>0</v>
      </c>
      <c r="AP1506" s="3">
        <v>14.5</v>
      </c>
      <c r="AS1506" s="3">
        <v>14.5</v>
      </c>
      <c r="AV1506" s="3">
        <v>14.5</v>
      </c>
      <c r="AZ1506" s="3">
        <v>9.6289500253824123</v>
      </c>
      <c r="BA1506" s="1" t="s">
        <v>852</v>
      </c>
      <c r="BD1506" s="3">
        <v>9.6289500253824123</v>
      </c>
      <c r="BE1506" s="1" t="s">
        <v>852</v>
      </c>
      <c r="BG1506" s="3">
        <v>9.6289500253824123</v>
      </c>
      <c r="BH1506" s="3">
        <v>10.8</v>
      </c>
      <c r="BI1506" s="1" t="s">
        <v>852</v>
      </c>
    </row>
    <row r="1507" spans="1:61" ht="9.6" customHeight="1">
      <c r="B1507" s="103" t="s">
        <v>677</v>
      </c>
      <c r="C1507" s="1" t="s">
        <v>288</v>
      </c>
      <c r="D1507" s="2"/>
      <c r="E1507" s="2"/>
      <c r="F1507" s="8"/>
      <c r="G1507" s="8"/>
      <c r="H1507" s="8"/>
      <c r="I1507" s="8"/>
      <c r="K1507" s="3"/>
      <c r="Q1507" s="3"/>
      <c r="T1507" s="3"/>
      <c r="W1507" s="3"/>
      <c r="AC1507" s="3"/>
      <c r="AD1507" s="24">
        <v>13</v>
      </c>
      <c r="AG1507" s="3">
        <v>13</v>
      </c>
      <c r="AI1507" s="3">
        <f>AG1507-AD1507</f>
        <v>0</v>
      </c>
      <c r="AJ1507" s="3">
        <v>13</v>
      </c>
      <c r="AL1507" s="3">
        <f>AJ1507-AG1507</f>
        <v>0</v>
      </c>
      <c r="AM1507" s="3">
        <v>13</v>
      </c>
      <c r="AO1507" s="3">
        <f>AM1507-AJ1507</f>
        <v>0</v>
      </c>
      <c r="AP1507" s="3">
        <v>13</v>
      </c>
      <c r="AS1507" s="3">
        <v>13</v>
      </c>
      <c r="AV1507" s="3">
        <v>13</v>
      </c>
      <c r="AZ1507" s="3">
        <v>8.9390709839297084</v>
      </c>
      <c r="BA1507" s="1" t="s">
        <v>852</v>
      </c>
      <c r="BD1507" s="3">
        <v>8.9390709839297084</v>
      </c>
      <c r="BE1507" s="1" t="s">
        <v>852</v>
      </c>
      <c r="BG1507" s="3">
        <v>8.9390709839297084</v>
      </c>
      <c r="BH1507" s="3">
        <v>11.1</v>
      </c>
      <c r="BI1507" s="1" t="s">
        <v>852</v>
      </c>
    </row>
    <row r="1508" spans="1:61">
      <c r="B1508" s="103" t="s">
        <v>677</v>
      </c>
      <c r="C1508" s="1" t="s">
        <v>873</v>
      </c>
      <c r="D1508" s="2"/>
      <c r="E1508" s="2"/>
      <c r="F1508" s="8"/>
      <c r="G1508" s="8"/>
      <c r="H1508" s="8"/>
      <c r="I1508" s="8"/>
      <c r="K1508" s="3"/>
      <c r="Q1508" s="3"/>
      <c r="T1508" s="3"/>
      <c r="W1508" s="3"/>
      <c r="AC1508" s="3"/>
      <c r="AI1508" s="3"/>
      <c r="AL1508" s="3"/>
      <c r="AO1508" s="3"/>
      <c r="AZ1508" s="3">
        <v>20.245014211141296</v>
      </c>
      <c r="BA1508" s="1" t="s">
        <v>852</v>
      </c>
      <c r="BD1508" s="3">
        <v>20.245014211141296</v>
      </c>
      <c r="BE1508" s="1" t="s">
        <v>852</v>
      </c>
      <c r="BG1508" s="3">
        <v>20.245014211141296</v>
      </c>
      <c r="BH1508" s="3">
        <v>21.5</v>
      </c>
      <c r="BI1508" s="1" t="s">
        <v>852</v>
      </c>
    </row>
    <row r="1509" spans="1:61">
      <c r="B1509" s="103" t="s">
        <v>677</v>
      </c>
      <c r="C1509" s="1" t="s">
        <v>876</v>
      </c>
      <c r="D1509" s="2"/>
      <c r="E1509" s="2"/>
      <c r="F1509" s="8"/>
      <c r="G1509" s="8"/>
      <c r="H1509" s="8"/>
      <c r="I1509" s="8"/>
      <c r="K1509" s="3"/>
      <c r="Q1509" s="3"/>
      <c r="T1509" s="3"/>
      <c r="W1509" s="3"/>
      <c r="AC1509" s="3"/>
      <c r="AI1509" s="3"/>
      <c r="AL1509" s="3"/>
      <c r="AO1509" s="3"/>
      <c r="AZ1509" s="3">
        <v>20.260026085834415</v>
      </c>
      <c r="BA1509" s="1" t="s">
        <v>852</v>
      </c>
      <c r="BD1509" s="3">
        <v>20.260026085834415</v>
      </c>
      <c r="BE1509" s="1" t="s">
        <v>852</v>
      </c>
      <c r="BG1509" s="3">
        <v>20.260026085834415</v>
      </c>
    </row>
    <row r="1510" spans="1:61">
      <c r="B1510" s="103" t="s">
        <v>677</v>
      </c>
      <c r="C1510" s="1" t="s">
        <v>877</v>
      </c>
      <c r="D1510" s="2"/>
      <c r="E1510" s="2"/>
      <c r="F1510" s="8"/>
      <c r="G1510" s="8"/>
      <c r="H1510" s="8"/>
      <c r="I1510" s="8"/>
      <c r="K1510" s="3"/>
      <c r="Q1510" s="3"/>
      <c r="T1510" s="3"/>
      <c r="W1510" s="3"/>
      <c r="AC1510" s="3"/>
      <c r="AI1510" s="3"/>
      <c r="AL1510" s="3"/>
      <c r="AO1510" s="3"/>
      <c r="AZ1510" s="3">
        <v>18.043272589483735</v>
      </c>
      <c r="BA1510" s="1" t="s">
        <v>852</v>
      </c>
      <c r="BD1510" s="3">
        <v>18.043272589483735</v>
      </c>
      <c r="BE1510" s="1" t="s">
        <v>852</v>
      </c>
      <c r="BG1510" s="3">
        <v>18.043272589483735</v>
      </c>
      <c r="BH1510" s="3">
        <v>19.100000000000001</v>
      </c>
      <c r="BI1510" s="1" t="s">
        <v>852</v>
      </c>
    </row>
    <row r="1511" spans="1:61">
      <c r="B1511" s="103" t="s">
        <v>677</v>
      </c>
      <c r="C1511" s="1" t="s">
        <v>1028</v>
      </c>
      <c r="D1511" s="2"/>
      <c r="E1511" s="2"/>
      <c r="F1511" s="8"/>
      <c r="G1511" s="8"/>
      <c r="H1511" s="8"/>
      <c r="I1511" s="8"/>
      <c r="K1511" s="3"/>
      <c r="Q1511" s="3"/>
      <c r="T1511" s="3"/>
      <c r="W1511" s="3"/>
      <c r="AC1511" s="3"/>
      <c r="AI1511" s="3"/>
      <c r="AL1511" s="3"/>
      <c r="AO1511" s="3"/>
      <c r="BH1511" s="3">
        <v>12</v>
      </c>
      <c r="BI1511" s="1" t="s">
        <v>852</v>
      </c>
    </row>
    <row r="1512" spans="1:61">
      <c r="B1512" s="103" t="s">
        <v>677</v>
      </c>
      <c r="C1512" s="1" t="s">
        <v>875</v>
      </c>
      <c r="D1512" s="2"/>
      <c r="E1512" s="2"/>
      <c r="F1512" s="8"/>
      <c r="G1512" s="8"/>
      <c r="H1512" s="8"/>
      <c r="I1512" s="8"/>
      <c r="K1512" s="3"/>
      <c r="Q1512" s="3"/>
      <c r="T1512" s="3"/>
      <c r="W1512" s="3"/>
      <c r="AC1512" s="3"/>
      <c r="AI1512" s="3"/>
      <c r="AL1512" s="3"/>
      <c r="AO1512" s="3"/>
      <c r="AZ1512" s="3">
        <v>13.806793091262096</v>
      </c>
      <c r="BA1512" s="1" t="s">
        <v>852</v>
      </c>
      <c r="BD1512" s="3">
        <v>13.806793091262096</v>
      </c>
      <c r="BE1512" s="1" t="s">
        <v>852</v>
      </c>
      <c r="BG1512" s="3">
        <v>13.806793091262096</v>
      </c>
    </row>
    <row r="1513" spans="1:61">
      <c r="B1513" s="103" t="s">
        <v>677</v>
      </c>
      <c r="C1513" s="1" t="s">
        <v>874</v>
      </c>
      <c r="D1513" s="2"/>
      <c r="E1513" s="2"/>
      <c r="F1513" s="8"/>
      <c r="G1513" s="8"/>
      <c r="H1513" s="8"/>
      <c r="I1513" s="8"/>
      <c r="K1513" s="3"/>
      <c r="Q1513" s="3"/>
      <c r="T1513" s="3"/>
      <c r="W1513" s="3"/>
      <c r="AC1513" s="3"/>
      <c r="AI1513" s="3"/>
      <c r="AL1513" s="3"/>
      <c r="AO1513" s="3"/>
      <c r="AZ1513" s="3">
        <v>16.670831013611824</v>
      </c>
      <c r="BA1513" s="1" t="s">
        <v>852</v>
      </c>
      <c r="BD1513" s="3">
        <v>16.670831013611824</v>
      </c>
      <c r="BE1513" s="1" t="s">
        <v>852</v>
      </c>
      <c r="BG1513" s="3">
        <v>16.670000000000002</v>
      </c>
      <c r="BH1513" s="3">
        <v>18.8</v>
      </c>
      <c r="BI1513" s="1" t="s">
        <v>852</v>
      </c>
    </row>
    <row r="1514" spans="1:61">
      <c r="B1514" s="103" t="s">
        <v>677</v>
      </c>
      <c r="C1514" s="1" t="s">
        <v>878</v>
      </c>
      <c r="D1514" s="2"/>
      <c r="E1514" s="2"/>
      <c r="F1514" s="8"/>
      <c r="G1514" s="8"/>
      <c r="H1514" s="8"/>
      <c r="I1514" s="8"/>
      <c r="K1514" s="3"/>
      <c r="Q1514" s="3"/>
      <c r="T1514" s="3"/>
      <c r="W1514" s="3"/>
      <c r="AC1514" s="3"/>
      <c r="AI1514" s="3"/>
      <c r="AL1514" s="3"/>
      <c r="AO1514" s="3"/>
      <c r="AZ1514" s="3">
        <v>30.870551382144615</v>
      </c>
      <c r="BA1514" s="1" t="s">
        <v>852</v>
      </c>
      <c r="BD1514" s="3">
        <v>30.870551382144615</v>
      </c>
      <c r="BE1514" s="1" t="s">
        <v>852</v>
      </c>
      <c r="BG1514" s="3">
        <v>30.870551382144615</v>
      </c>
      <c r="BH1514" s="3">
        <v>29.7</v>
      </c>
      <c r="BI1514" s="1" t="s">
        <v>852</v>
      </c>
    </row>
    <row r="1515" spans="1:61">
      <c r="A1515" s="6">
        <v>11</v>
      </c>
      <c r="B1515" s="103" t="s">
        <v>677</v>
      </c>
      <c r="C1515" s="1" t="s">
        <v>57</v>
      </c>
      <c r="D1515" s="2" t="s">
        <v>653</v>
      </c>
      <c r="E1515" s="2"/>
      <c r="F1515" s="8">
        <v>0</v>
      </c>
      <c r="G1515" s="8"/>
      <c r="H1515" s="8">
        <v>0</v>
      </c>
      <c r="I1515" s="8"/>
      <c r="J1515" s="1" t="s">
        <v>653</v>
      </c>
      <c r="P1515" s="1" t="s">
        <v>653</v>
      </c>
      <c r="R1515" s="2" t="s">
        <v>653</v>
      </c>
    </row>
    <row r="1516" spans="1:61">
      <c r="B1516" s="103" t="s">
        <v>677</v>
      </c>
      <c r="C1516" s="1" t="s">
        <v>1029</v>
      </c>
      <c r="D1516" s="2"/>
      <c r="E1516" s="2"/>
      <c r="F1516" s="8"/>
      <c r="G1516" s="8"/>
      <c r="H1516" s="8"/>
      <c r="I1516" s="8"/>
      <c r="R1516" s="2"/>
      <c r="BH1516" s="3">
        <v>16.3</v>
      </c>
      <c r="BI1516" s="1" t="s">
        <v>852</v>
      </c>
    </row>
    <row r="1517" spans="1:61">
      <c r="B1517" s="103" t="s">
        <v>677</v>
      </c>
      <c r="C1517" s="1" t="s">
        <v>287</v>
      </c>
      <c r="D1517" s="2"/>
      <c r="E1517" s="2"/>
      <c r="F1517" s="8"/>
      <c r="G1517" s="8"/>
      <c r="H1517" s="8"/>
      <c r="I1517" s="8"/>
      <c r="K1517" s="3"/>
      <c r="Q1517" s="3"/>
      <c r="T1517" s="3"/>
      <c r="W1517" s="3"/>
      <c r="AC1517" s="3"/>
      <c r="AD1517" s="24">
        <v>13</v>
      </c>
      <c r="AG1517" s="3">
        <v>13</v>
      </c>
      <c r="AI1517" s="3">
        <f>AG1517-AD1517</f>
        <v>0</v>
      </c>
      <c r="AJ1517" s="3">
        <v>13</v>
      </c>
      <c r="AL1517" s="3">
        <f>AJ1517-AG1517</f>
        <v>0</v>
      </c>
      <c r="AM1517" s="3">
        <v>13</v>
      </c>
      <c r="AO1517" s="3">
        <f>AM1517-AJ1517</f>
        <v>0</v>
      </c>
      <c r="AP1517" s="3">
        <v>13</v>
      </c>
      <c r="AS1517" s="3">
        <v>13</v>
      </c>
      <c r="AV1517" s="3">
        <v>13</v>
      </c>
      <c r="AZ1517" s="3">
        <v>10.208741985752237</v>
      </c>
      <c r="BA1517" s="1" t="s">
        <v>852</v>
      </c>
      <c r="BD1517" s="3">
        <v>10.208741985752237</v>
      </c>
      <c r="BE1517" s="1" t="s">
        <v>852</v>
      </c>
      <c r="BG1517" s="3">
        <v>10.208741985752237</v>
      </c>
    </row>
    <row r="1518" spans="1:61">
      <c r="B1518" s="103" t="s">
        <v>677</v>
      </c>
      <c r="C1518" s="1" t="s">
        <v>872</v>
      </c>
      <c r="D1518" s="2"/>
      <c r="E1518" s="2"/>
      <c r="F1518" s="8"/>
      <c r="G1518" s="8"/>
      <c r="H1518" s="8"/>
      <c r="I1518" s="8"/>
      <c r="K1518" s="3"/>
      <c r="Q1518" s="3"/>
      <c r="T1518" s="3"/>
      <c r="W1518" s="3"/>
      <c r="AC1518" s="3"/>
      <c r="AI1518" s="3"/>
      <c r="AL1518" s="3"/>
      <c r="AO1518" s="3"/>
      <c r="AZ1518" s="3">
        <v>224.45936052921718</v>
      </c>
      <c r="BA1518" s="1" t="s">
        <v>852</v>
      </c>
      <c r="BD1518" s="3">
        <v>224.45936052921718</v>
      </c>
      <c r="BE1518" s="1" t="s">
        <v>852</v>
      </c>
      <c r="BG1518" s="3">
        <v>224.45936052921718</v>
      </c>
      <c r="BH1518" s="3">
        <v>350</v>
      </c>
      <c r="BI1518" s="1" t="s">
        <v>852</v>
      </c>
    </row>
    <row r="1519" spans="1:61">
      <c r="A1519" s="6">
        <v>1</v>
      </c>
      <c r="B1519" s="103" t="s">
        <v>415</v>
      </c>
      <c r="C1519" s="1" t="s">
        <v>52</v>
      </c>
      <c r="D1519" s="2"/>
      <c r="E1519" s="2"/>
      <c r="F1519" s="8"/>
      <c r="G1519" s="8"/>
      <c r="H1519" s="8"/>
      <c r="I1519" s="8"/>
    </row>
    <row r="1520" spans="1:61">
      <c r="A1520" s="6">
        <v>3</v>
      </c>
      <c r="B1520" s="103" t="s">
        <v>415</v>
      </c>
      <c r="C1520" s="1" t="s">
        <v>54</v>
      </c>
      <c r="D1520" s="2"/>
      <c r="E1520" s="2"/>
      <c r="F1520" s="8"/>
      <c r="G1520" s="8"/>
      <c r="H1520" s="8"/>
      <c r="I1520" s="8"/>
    </row>
    <row r="1521" spans="1:61">
      <c r="A1521" s="6">
        <v>4</v>
      </c>
      <c r="B1521" s="103" t="s">
        <v>415</v>
      </c>
      <c r="C1521" s="1" t="s">
        <v>55</v>
      </c>
      <c r="D1521" s="2"/>
      <c r="E1521" s="2"/>
      <c r="F1521" s="8"/>
      <c r="G1521" s="8"/>
      <c r="H1521" s="8"/>
      <c r="I1521" s="8"/>
    </row>
    <row r="1522" spans="1:61">
      <c r="A1522" s="6">
        <v>5</v>
      </c>
      <c r="B1522" s="103" t="s">
        <v>415</v>
      </c>
      <c r="C1522" s="1" t="s">
        <v>56</v>
      </c>
      <c r="D1522" s="2"/>
      <c r="E1522" s="2"/>
      <c r="F1522" s="8"/>
      <c r="G1522" s="8"/>
      <c r="H1522" s="8"/>
      <c r="I1522" s="8"/>
    </row>
    <row r="1523" spans="1:61">
      <c r="A1523" s="6">
        <v>2</v>
      </c>
      <c r="B1523" s="103" t="s">
        <v>415</v>
      </c>
      <c r="C1523" s="1" t="s">
        <v>53</v>
      </c>
      <c r="D1523" s="2">
        <v>20</v>
      </c>
      <c r="E1523" s="2"/>
      <c r="F1523" s="8"/>
      <c r="G1523" s="8"/>
      <c r="H1523" s="8"/>
      <c r="I1523" s="8"/>
      <c r="M1523" s="3">
        <v>13</v>
      </c>
      <c r="O1523" s="3">
        <v>13</v>
      </c>
    </row>
    <row r="1524" spans="1:61">
      <c r="A1524" s="6">
        <v>12</v>
      </c>
      <c r="B1524" s="103" t="s">
        <v>415</v>
      </c>
      <c r="C1524" s="1" t="s">
        <v>594</v>
      </c>
      <c r="D1524" s="2">
        <v>15</v>
      </c>
      <c r="E1524" s="2"/>
      <c r="F1524" s="8"/>
      <c r="G1524" s="8"/>
      <c r="H1524" s="8"/>
      <c r="I1524" s="8"/>
      <c r="R1524" s="3">
        <v>13</v>
      </c>
      <c r="U1524" s="3">
        <v>7</v>
      </c>
      <c r="W1524" s="3">
        <f>U1524-R1524</f>
        <v>-6</v>
      </c>
      <c r="X1524" s="3">
        <v>14</v>
      </c>
      <c r="AA1524" s="3">
        <v>8</v>
      </c>
      <c r="AC1524" s="3">
        <f>AA1524-X1524</f>
        <v>-6</v>
      </c>
      <c r="AD1524" s="24">
        <v>10</v>
      </c>
      <c r="AF1524" s="24">
        <f>AD1524-AA1524</f>
        <v>2</v>
      </c>
      <c r="AG1524" s="3">
        <v>10</v>
      </c>
      <c r="AI1524" s="3">
        <f>AG1524-AD1524</f>
        <v>0</v>
      </c>
      <c r="AJ1524" s="3">
        <v>10</v>
      </c>
      <c r="AL1524" s="3">
        <f>AJ1524-AG1524</f>
        <v>0</v>
      </c>
      <c r="AM1524" s="3">
        <v>14.69</v>
      </c>
      <c r="AO1524" s="3">
        <f>AM1524-AJ1524</f>
        <v>4.6899999999999995</v>
      </c>
      <c r="AP1524" s="3">
        <v>15.38</v>
      </c>
      <c r="AS1524" s="3">
        <v>21.53</v>
      </c>
      <c r="AZ1524" s="3">
        <v>2.64</v>
      </c>
      <c r="BA1524" s="1" t="s">
        <v>852</v>
      </c>
      <c r="BD1524" s="3">
        <v>2.64</v>
      </c>
      <c r="BE1524" s="1" t="s">
        <v>852</v>
      </c>
      <c r="BH1524" s="3">
        <v>2.64</v>
      </c>
      <c r="BI1524" s="1" t="s">
        <v>852</v>
      </c>
    </row>
    <row r="1525" spans="1:61">
      <c r="A1525" s="6">
        <v>14</v>
      </c>
      <c r="B1525" s="103" t="s">
        <v>415</v>
      </c>
      <c r="C1525" s="1" t="s">
        <v>58</v>
      </c>
      <c r="D1525" s="2">
        <v>18</v>
      </c>
      <c r="E1525" s="2"/>
      <c r="F1525" s="8"/>
      <c r="G1525" s="8"/>
      <c r="H1525" s="8"/>
      <c r="I1525" s="8"/>
      <c r="M1525" s="3">
        <v>19</v>
      </c>
      <c r="O1525" s="3">
        <v>19</v>
      </c>
      <c r="R1525" s="3">
        <v>19</v>
      </c>
      <c r="U1525" s="3">
        <v>14</v>
      </c>
      <c r="W1525" s="3">
        <f>U1525-R1525</f>
        <v>-5</v>
      </c>
      <c r="X1525" s="3">
        <v>18</v>
      </c>
      <c r="AA1525" s="3">
        <v>19</v>
      </c>
      <c r="AC1525" s="3">
        <f>AA1525-X1525</f>
        <v>1</v>
      </c>
      <c r="AD1525" s="24">
        <v>20</v>
      </c>
      <c r="AF1525" s="24">
        <f>AD1525-AA1525</f>
        <v>1</v>
      </c>
      <c r="AG1525" s="3">
        <v>20</v>
      </c>
      <c r="AI1525" s="3">
        <f>AG1525-AD1525</f>
        <v>0</v>
      </c>
      <c r="AJ1525" s="3">
        <v>18</v>
      </c>
      <c r="AL1525" s="3">
        <f>AJ1525-AG1525</f>
        <v>-2</v>
      </c>
      <c r="AM1525" s="3">
        <v>25</v>
      </c>
      <c r="AO1525" s="3">
        <f>AM1525-AJ1525</f>
        <v>7</v>
      </c>
      <c r="AP1525" s="3">
        <v>15.15</v>
      </c>
      <c r="AS1525" s="3">
        <v>25.46</v>
      </c>
      <c r="AV1525" s="3">
        <v>17.87</v>
      </c>
      <c r="AZ1525" s="3">
        <v>17.46</v>
      </c>
      <c r="BA1525" s="1" t="s">
        <v>852</v>
      </c>
      <c r="BD1525" s="3">
        <v>17.46</v>
      </c>
      <c r="BE1525" s="1" t="s">
        <v>852</v>
      </c>
      <c r="BH1525" s="3">
        <v>17.46</v>
      </c>
      <c r="BI1525" s="1" t="s">
        <v>852</v>
      </c>
    </row>
    <row r="1526" spans="1:61">
      <c r="B1526" s="103" t="s">
        <v>415</v>
      </c>
      <c r="C1526" s="1" t="s">
        <v>857</v>
      </c>
      <c r="D1526" s="2"/>
      <c r="E1526" s="2"/>
      <c r="F1526" s="8"/>
      <c r="G1526" s="8"/>
      <c r="H1526" s="8"/>
      <c r="I1526" s="8"/>
      <c r="W1526" s="3"/>
      <c r="AC1526" s="3"/>
      <c r="AF1526" s="24"/>
      <c r="AI1526" s="3"/>
      <c r="AL1526" s="3"/>
      <c r="AO1526" s="3"/>
      <c r="AZ1526" s="3">
        <v>10</v>
      </c>
      <c r="BA1526" s="1" t="s">
        <v>852</v>
      </c>
      <c r="BD1526" s="3">
        <v>10</v>
      </c>
      <c r="BE1526" s="1" t="s">
        <v>852</v>
      </c>
      <c r="BH1526" s="3">
        <v>10</v>
      </c>
      <c r="BI1526" s="1" t="s">
        <v>852</v>
      </c>
    </row>
    <row r="1527" spans="1:61" ht="9.6" customHeight="1">
      <c r="B1527" s="103" t="s">
        <v>415</v>
      </c>
      <c r="C1527" s="1" t="s">
        <v>289</v>
      </c>
      <c r="D1527" s="2"/>
      <c r="E1527" s="2"/>
      <c r="F1527" s="8"/>
      <c r="G1527" s="8"/>
      <c r="H1527" s="8"/>
      <c r="I1527" s="8"/>
      <c r="AS1527" s="3">
        <v>33.99</v>
      </c>
      <c r="BH1527" s="3">
        <v>31.759</v>
      </c>
      <c r="BI1527" s="1" t="s">
        <v>852</v>
      </c>
    </row>
    <row r="1528" spans="1:61" ht="9.6" customHeight="1">
      <c r="B1528" s="103" t="s">
        <v>415</v>
      </c>
      <c r="C1528" s="1" t="s">
        <v>290</v>
      </c>
      <c r="D1528" s="2"/>
      <c r="E1528" s="2"/>
      <c r="F1528" s="8"/>
      <c r="G1528" s="8"/>
      <c r="H1528" s="8"/>
      <c r="I1528" s="8"/>
      <c r="BH1528" s="3">
        <v>14.996</v>
      </c>
      <c r="BI1528" s="1" t="s">
        <v>852</v>
      </c>
    </row>
    <row r="1529" spans="1:61" ht="9.6" customHeight="1">
      <c r="B1529" s="103" t="s">
        <v>415</v>
      </c>
      <c r="C1529" s="1" t="s">
        <v>64</v>
      </c>
      <c r="D1529" s="2"/>
      <c r="E1529" s="2"/>
      <c r="F1529" s="8"/>
      <c r="G1529" s="8"/>
      <c r="H1529" s="8"/>
      <c r="I1529" s="8"/>
      <c r="W1529" s="3"/>
      <c r="AA1529" s="3">
        <v>22</v>
      </c>
      <c r="AD1529" s="24">
        <v>24</v>
      </c>
      <c r="AF1529" s="24">
        <f>AD1529-AA1529</f>
        <v>2</v>
      </c>
      <c r="AG1529" s="3">
        <v>24</v>
      </c>
      <c r="AI1529" s="3">
        <f>AG1529-AD1529</f>
        <v>0</v>
      </c>
      <c r="AJ1529" s="3">
        <v>20</v>
      </c>
      <c r="AL1529" s="3">
        <f>AJ1529-AG1529</f>
        <v>-4</v>
      </c>
      <c r="AM1529" s="3">
        <v>24.8</v>
      </c>
      <c r="AO1529" s="3">
        <f>AM1529-AJ1529</f>
        <v>4.8000000000000007</v>
      </c>
      <c r="AP1529" s="3">
        <v>16.86</v>
      </c>
      <c r="AS1529" s="3">
        <v>16.59</v>
      </c>
      <c r="AV1529" s="3">
        <v>23.62</v>
      </c>
      <c r="AZ1529" s="3">
        <v>4.9400000000000004</v>
      </c>
      <c r="BA1529" s="1" t="s">
        <v>852</v>
      </c>
      <c r="BD1529" s="3">
        <v>4.9400000000000004</v>
      </c>
      <c r="BE1529" s="1" t="s">
        <v>852</v>
      </c>
      <c r="BH1529" s="3">
        <v>4.9400000000000004</v>
      </c>
      <c r="BI1529" s="1" t="s">
        <v>852</v>
      </c>
    </row>
    <row r="1530" spans="1:61">
      <c r="B1530" s="103" t="s">
        <v>415</v>
      </c>
      <c r="C1530" s="1" t="s">
        <v>286</v>
      </c>
      <c r="D1530" s="2"/>
      <c r="E1530" s="2"/>
      <c r="F1530" s="8"/>
      <c r="G1530" s="8"/>
      <c r="H1530" s="8"/>
      <c r="I1530" s="8"/>
      <c r="W1530" s="3"/>
      <c r="AI1530" s="3"/>
      <c r="AJ1530" s="3">
        <v>18</v>
      </c>
      <c r="AM1530" s="3">
        <v>21</v>
      </c>
      <c r="AO1530" s="3">
        <f>AM1530-AJ1530</f>
        <v>3</v>
      </c>
      <c r="AP1530" s="3">
        <v>12.85</v>
      </c>
      <c r="AS1530" s="3">
        <v>17.690000000000001</v>
      </c>
      <c r="AV1530" s="3">
        <v>26.78</v>
      </c>
      <c r="AZ1530" s="3">
        <v>6.51</v>
      </c>
      <c r="BA1530" s="1" t="s">
        <v>852</v>
      </c>
      <c r="BD1530" s="3">
        <v>6.51</v>
      </c>
      <c r="BE1530" s="1" t="s">
        <v>852</v>
      </c>
      <c r="BH1530" s="3">
        <v>6.51</v>
      </c>
      <c r="BI1530" s="1" t="s">
        <v>852</v>
      </c>
    </row>
    <row r="1531" spans="1:61">
      <c r="B1531" s="103" t="s">
        <v>415</v>
      </c>
      <c r="C1531" s="1" t="s">
        <v>288</v>
      </c>
      <c r="D1531" s="2"/>
      <c r="E1531" s="2"/>
      <c r="F1531" s="8"/>
      <c r="G1531" s="8"/>
      <c r="H1531" s="8"/>
      <c r="I1531" s="8"/>
      <c r="W1531" s="3"/>
      <c r="AD1531" s="24">
        <v>29</v>
      </c>
      <c r="AG1531" s="3">
        <v>29</v>
      </c>
      <c r="AI1531" s="3">
        <f>AG1531-AD1531</f>
        <v>0</v>
      </c>
      <c r="AJ1531" s="3">
        <v>26</v>
      </c>
      <c r="AL1531" s="3">
        <f>AJ1531-AG1531</f>
        <v>-3</v>
      </c>
      <c r="AM1531" s="3">
        <v>22.2</v>
      </c>
      <c r="AO1531" s="3">
        <f>AM1531-AJ1531</f>
        <v>-3.8000000000000007</v>
      </c>
      <c r="AP1531" s="3">
        <v>19.23</v>
      </c>
      <c r="AS1531" s="3">
        <v>18.46</v>
      </c>
      <c r="AV1531" s="3">
        <v>22.25</v>
      </c>
      <c r="AZ1531" s="3">
        <v>10.52</v>
      </c>
      <c r="BA1531" s="1" t="s">
        <v>852</v>
      </c>
      <c r="BD1531" s="3">
        <v>10.52</v>
      </c>
      <c r="BE1531" s="1" t="s">
        <v>852</v>
      </c>
      <c r="BH1531" s="3">
        <v>10.52</v>
      </c>
      <c r="BI1531" s="1" t="s">
        <v>852</v>
      </c>
    </row>
    <row r="1532" spans="1:61">
      <c r="B1532" s="103" t="s">
        <v>415</v>
      </c>
      <c r="C1532" s="1" t="s">
        <v>874</v>
      </c>
      <c r="D1532" s="2"/>
      <c r="E1532" s="2"/>
      <c r="F1532" s="8"/>
      <c r="G1532" s="8"/>
      <c r="H1532" s="8"/>
      <c r="I1532" s="8"/>
      <c r="AZ1532" s="3">
        <v>15.4</v>
      </c>
      <c r="BA1532" s="1" t="s">
        <v>852</v>
      </c>
    </row>
    <row r="1533" spans="1:61">
      <c r="A1533" s="6">
        <v>11</v>
      </c>
      <c r="B1533" s="103" t="s">
        <v>415</v>
      </c>
      <c r="C1533" s="1" t="s">
        <v>57</v>
      </c>
      <c r="D1533" s="2"/>
      <c r="E1533" s="2"/>
      <c r="F1533" s="8"/>
      <c r="G1533" s="8"/>
      <c r="H1533" s="8"/>
      <c r="I1533" s="8"/>
    </row>
    <row r="1534" spans="1:61">
      <c r="B1534" s="103" t="s">
        <v>415</v>
      </c>
      <c r="C1534" s="1" t="s">
        <v>287</v>
      </c>
      <c r="D1534" s="2"/>
      <c r="E1534" s="2"/>
      <c r="F1534" s="8"/>
      <c r="G1534" s="8"/>
      <c r="H1534" s="8"/>
      <c r="I1534" s="8"/>
      <c r="BH1534" s="3">
        <v>49.95</v>
      </c>
      <c r="BI1534" s="1" t="s">
        <v>852</v>
      </c>
    </row>
    <row r="1535" spans="1:61">
      <c r="A1535" s="6">
        <v>1</v>
      </c>
      <c r="B1535" s="103" t="s">
        <v>236</v>
      </c>
      <c r="C1535" s="1" t="s">
        <v>52</v>
      </c>
      <c r="D1535" s="113" t="s">
        <v>649</v>
      </c>
      <c r="E1535" s="113"/>
      <c r="F1535" s="8">
        <v>9.5</v>
      </c>
      <c r="G1535" s="8"/>
      <c r="H1535" s="8">
        <v>9.5</v>
      </c>
      <c r="I1535" s="8">
        <f>H1535-D1535</f>
        <v>-45103.5</v>
      </c>
      <c r="J1535" s="1" t="s">
        <v>86</v>
      </c>
      <c r="K1535" s="3"/>
      <c r="AQ1535" s="1" t="s">
        <v>285</v>
      </c>
    </row>
    <row r="1536" spans="1:61">
      <c r="A1536" s="6">
        <v>3</v>
      </c>
      <c r="B1536" s="103" t="s">
        <v>236</v>
      </c>
      <c r="C1536" s="1" t="s">
        <v>54</v>
      </c>
      <c r="D1536" s="113"/>
      <c r="E1536" s="113"/>
      <c r="F1536" s="8">
        <v>0</v>
      </c>
      <c r="G1536" s="8"/>
      <c r="H1536" s="8">
        <v>0</v>
      </c>
      <c r="I1536" s="8"/>
      <c r="AQ1536" s="1" t="s">
        <v>285</v>
      </c>
    </row>
    <row r="1537" spans="1:61">
      <c r="A1537" s="6">
        <v>4</v>
      </c>
      <c r="B1537" s="103" t="s">
        <v>236</v>
      </c>
      <c r="C1537" s="1" t="s">
        <v>55</v>
      </c>
      <c r="D1537" s="113"/>
      <c r="E1537" s="113"/>
      <c r="F1537" s="8">
        <v>0</v>
      </c>
      <c r="G1537" s="8"/>
      <c r="H1537" s="8">
        <v>0</v>
      </c>
      <c r="I1537" s="8"/>
      <c r="AQ1537" s="1" t="s">
        <v>285</v>
      </c>
    </row>
    <row r="1538" spans="1:61">
      <c r="A1538" s="6">
        <v>5</v>
      </c>
      <c r="B1538" s="103" t="s">
        <v>236</v>
      </c>
      <c r="C1538" s="1" t="s">
        <v>56</v>
      </c>
      <c r="D1538" s="113"/>
      <c r="E1538" s="113"/>
      <c r="F1538" s="8">
        <v>0</v>
      </c>
      <c r="G1538" s="8"/>
      <c r="H1538" s="8">
        <v>0</v>
      </c>
      <c r="I1538" s="8"/>
      <c r="AQ1538" s="1" t="s">
        <v>285</v>
      </c>
    </row>
    <row r="1539" spans="1:61">
      <c r="A1539" s="6">
        <v>2</v>
      </c>
      <c r="B1539" s="103" t="s">
        <v>236</v>
      </c>
      <c r="C1539" s="1" t="s">
        <v>53</v>
      </c>
      <c r="D1539" s="113" t="s">
        <v>650</v>
      </c>
      <c r="E1539" s="113"/>
      <c r="F1539" s="8">
        <v>5.25</v>
      </c>
      <c r="G1539" s="8"/>
      <c r="H1539" s="8">
        <v>5.25</v>
      </c>
      <c r="I1539" s="10">
        <f>H1539-D1539</f>
        <v>-45075.75</v>
      </c>
      <c r="J1539" s="1" t="s">
        <v>87</v>
      </c>
      <c r="K1539" s="3"/>
      <c r="M1539" s="3">
        <v>9.64</v>
      </c>
      <c r="O1539" s="3">
        <v>9.64</v>
      </c>
      <c r="P1539" s="1" t="s">
        <v>713</v>
      </c>
      <c r="Q1539" s="3">
        <f>O1539-H1539</f>
        <v>4.3900000000000006</v>
      </c>
      <c r="R1539" s="3">
        <v>9.64</v>
      </c>
      <c r="S1539" s="1" t="s">
        <v>713</v>
      </c>
      <c r="T1539" s="3">
        <f>R1539-O1539</f>
        <v>0</v>
      </c>
      <c r="U1539" s="3">
        <v>8.8350000000000009</v>
      </c>
      <c r="V1539" s="1" t="s">
        <v>239</v>
      </c>
      <c r="W1539" s="3">
        <f>U1539-R1539</f>
        <v>-0.80499999999999972</v>
      </c>
      <c r="X1539" s="3">
        <v>8.0399999999999991</v>
      </c>
      <c r="Z1539" s="3">
        <f>X1539-U1539</f>
        <v>-0.79500000000000171</v>
      </c>
      <c r="AQ1539" s="1" t="s">
        <v>285</v>
      </c>
    </row>
    <row r="1540" spans="1:61">
      <c r="A1540" s="6">
        <v>12</v>
      </c>
      <c r="B1540" s="103" t="s">
        <v>236</v>
      </c>
      <c r="C1540" s="1" t="s">
        <v>594</v>
      </c>
      <c r="D1540" s="113" t="s">
        <v>650</v>
      </c>
      <c r="E1540" s="113"/>
      <c r="F1540" s="8">
        <v>5.25</v>
      </c>
      <c r="G1540" s="8"/>
      <c r="H1540" s="8">
        <v>5.25</v>
      </c>
      <c r="I1540" s="8">
        <f>H1540-D1540</f>
        <v>-45075.75</v>
      </c>
      <c r="J1540" s="1" t="s">
        <v>87</v>
      </c>
      <c r="K1540" s="3"/>
      <c r="M1540" s="3">
        <v>9.64</v>
      </c>
      <c r="O1540" s="3">
        <v>9.64</v>
      </c>
      <c r="P1540" s="1" t="s">
        <v>713</v>
      </c>
      <c r="Q1540" s="3">
        <f>O1540-H1540</f>
        <v>4.3900000000000006</v>
      </c>
      <c r="R1540" s="3">
        <v>9.5</v>
      </c>
      <c r="S1540" s="1" t="s">
        <v>463</v>
      </c>
      <c r="T1540" s="3">
        <f>R1540-O1540</f>
        <v>-0.14000000000000057</v>
      </c>
      <c r="U1540" s="3">
        <v>8.8350000000000009</v>
      </c>
      <c r="V1540" s="1" t="s">
        <v>239</v>
      </c>
      <c r="W1540" s="3">
        <f>U1540-R1540</f>
        <v>-0.66499999999999915</v>
      </c>
      <c r="X1540" s="3">
        <v>10.130000000000001</v>
      </c>
      <c r="Z1540" s="3">
        <f>X1540-U1540</f>
        <v>1.2949999999999999</v>
      </c>
      <c r="AA1540" s="3">
        <v>8.625</v>
      </c>
      <c r="AB1540" s="1" t="s">
        <v>691</v>
      </c>
      <c r="AC1540" s="3">
        <f>AA1540-X1540</f>
        <v>-1.5050000000000008</v>
      </c>
      <c r="AD1540" s="24">
        <v>8.25</v>
      </c>
      <c r="AF1540" s="24">
        <f>AD1540-AA1540</f>
        <v>-0.375</v>
      </c>
      <c r="AG1540" s="3">
        <v>8</v>
      </c>
      <c r="AI1540" s="3">
        <f>AG1540-AD1540</f>
        <v>-0.25</v>
      </c>
      <c r="AJ1540" s="3">
        <v>8</v>
      </c>
      <c r="AL1540" s="3">
        <f>AJ1540-AG1540</f>
        <v>0</v>
      </c>
      <c r="AM1540" s="3">
        <v>8</v>
      </c>
      <c r="AO1540" s="3">
        <f>AM1540-AJ1540</f>
        <v>0</v>
      </c>
      <c r="AQ1540" s="1" t="s">
        <v>285</v>
      </c>
      <c r="AS1540" s="3">
        <v>8</v>
      </c>
      <c r="AV1540" s="3">
        <v>8</v>
      </c>
      <c r="AY1540" s="3">
        <v>8</v>
      </c>
      <c r="AZ1540" s="3">
        <v>9.27</v>
      </c>
      <c r="BC1540" s="3">
        <v>9.27</v>
      </c>
      <c r="BD1540" s="3">
        <v>9.93</v>
      </c>
      <c r="BE1540" s="1" t="s">
        <v>852</v>
      </c>
      <c r="BG1540" s="3">
        <v>9.93</v>
      </c>
      <c r="BH1540" s="3">
        <v>13.02</v>
      </c>
      <c r="BI1540" s="1" t="s">
        <v>852</v>
      </c>
    </row>
    <row r="1541" spans="1:61">
      <c r="A1541" s="6">
        <v>14</v>
      </c>
      <c r="B1541" s="103" t="s">
        <v>236</v>
      </c>
      <c r="C1541" s="1" t="s">
        <v>58</v>
      </c>
      <c r="D1541" s="113" t="s">
        <v>652</v>
      </c>
      <c r="E1541" s="113"/>
      <c r="F1541" s="8">
        <v>11</v>
      </c>
      <c r="G1541" s="8"/>
      <c r="H1541" s="8">
        <v>11</v>
      </c>
      <c r="I1541" s="8">
        <f>H1541-D1541</f>
        <v>-45257</v>
      </c>
      <c r="J1541" s="1" t="s">
        <v>89</v>
      </c>
      <c r="K1541" s="3"/>
      <c r="L1541" s="1" t="s">
        <v>92</v>
      </c>
      <c r="M1541" s="3">
        <v>20</v>
      </c>
      <c r="O1541" s="3">
        <v>20</v>
      </c>
      <c r="P1541" s="1" t="s">
        <v>714</v>
      </c>
      <c r="Q1541" s="3">
        <f>O1541-H1541</f>
        <v>9</v>
      </c>
      <c r="R1541" s="3">
        <v>13.63</v>
      </c>
      <c r="T1541" s="3">
        <f>R1541-O1541</f>
        <v>-6.3699999999999992</v>
      </c>
      <c r="U1541" s="3">
        <v>15.18</v>
      </c>
      <c r="W1541" s="3">
        <f>U1541-R1541</f>
        <v>1.5499999999999989</v>
      </c>
      <c r="X1541" s="3">
        <v>21.31</v>
      </c>
      <c r="Z1541" s="3">
        <f>X1541-U1541</f>
        <v>6.129999999999999</v>
      </c>
      <c r="AA1541" s="3">
        <v>15</v>
      </c>
      <c r="AC1541" s="3">
        <f>AA1541-X1541</f>
        <v>-6.3099999999999987</v>
      </c>
      <c r="AD1541" s="24">
        <v>15</v>
      </c>
      <c r="AF1541" s="24">
        <f>AD1541-AA1541</f>
        <v>0</v>
      </c>
      <c r="AG1541" s="3">
        <v>15</v>
      </c>
      <c r="AI1541" s="3">
        <f>AG1541-AD1541</f>
        <v>0</v>
      </c>
      <c r="AJ1541" s="3">
        <v>15</v>
      </c>
      <c r="AL1541" s="3">
        <f>AJ1541-AG1541</f>
        <v>0</v>
      </c>
      <c r="AM1541" s="3">
        <v>15</v>
      </c>
      <c r="AO1541" s="3">
        <f>AM1541-AJ1541</f>
        <v>0</v>
      </c>
      <c r="AQ1541" s="1" t="s">
        <v>285</v>
      </c>
      <c r="AS1541" s="3">
        <v>15</v>
      </c>
      <c r="AV1541" s="3">
        <v>15</v>
      </c>
      <c r="AY1541" s="3">
        <v>15</v>
      </c>
      <c r="AZ1541" s="3">
        <v>8.74</v>
      </c>
      <c r="BC1541" s="3">
        <v>8.74</v>
      </c>
      <c r="BD1541" s="3">
        <v>13.7</v>
      </c>
      <c r="BE1541" s="1" t="s">
        <v>852</v>
      </c>
      <c r="BG1541" s="3">
        <v>13.7</v>
      </c>
      <c r="BH1541" s="3">
        <v>15.51</v>
      </c>
      <c r="BI1541" s="1" t="s">
        <v>852</v>
      </c>
    </row>
    <row r="1542" spans="1:61">
      <c r="B1542" s="103" t="s">
        <v>236</v>
      </c>
      <c r="C1542" s="1" t="s">
        <v>857</v>
      </c>
      <c r="D1542" s="113"/>
      <c r="E1542" s="113"/>
      <c r="F1542" s="8"/>
      <c r="G1542" s="8"/>
      <c r="H1542" s="8"/>
      <c r="I1542" s="8"/>
      <c r="K1542" s="3"/>
      <c r="Q1542" s="3"/>
      <c r="T1542" s="3"/>
      <c r="W1542" s="3"/>
      <c r="AC1542" s="3"/>
      <c r="AF1542" s="24"/>
      <c r="AI1542" s="3"/>
      <c r="AL1542" s="3"/>
      <c r="AO1542" s="3"/>
      <c r="BH1542" s="3">
        <v>18.52</v>
      </c>
      <c r="BI1542" s="1" t="s">
        <v>852</v>
      </c>
    </row>
    <row r="1543" spans="1:61">
      <c r="B1543" s="103" t="s">
        <v>236</v>
      </c>
      <c r="C1543" s="1" t="s">
        <v>289</v>
      </c>
      <c r="D1543" s="113"/>
      <c r="E1543" s="113"/>
      <c r="F1543" s="8"/>
      <c r="G1543" s="8"/>
      <c r="H1543" s="8"/>
      <c r="I1543" s="8"/>
      <c r="K1543" s="3"/>
      <c r="Q1543" s="3"/>
      <c r="R1543" s="3">
        <v>16.079999999999998</v>
      </c>
      <c r="T1543" s="3"/>
      <c r="U1543" s="3">
        <v>16.079999999999998</v>
      </c>
      <c r="W1543" s="3">
        <f>U1543-R1543</f>
        <v>0</v>
      </c>
      <c r="X1543" s="3">
        <v>16.079999999999998</v>
      </c>
      <c r="Z1543" s="3">
        <f>X1543-U1543</f>
        <v>0</v>
      </c>
      <c r="AA1543" s="3">
        <v>7.08</v>
      </c>
      <c r="AC1543" s="3">
        <f>AA1543-X1543</f>
        <v>-8.9999999999999982</v>
      </c>
      <c r="AD1543" s="24">
        <v>7</v>
      </c>
      <c r="AF1543" s="24">
        <f>AD1543-AA1543</f>
        <v>-8.0000000000000071E-2</v>
      </c>
      <c r="AG1543" s="3">
        <v>22</v>
      </c>
      <c r="AI1543" s="3">
        <f>AG1543-AD1543</f>
        <v>15</v>
      </c>
      <c r="AJ1543" s="3">
        <v>22</v>
      </c>
      <c r="AL1543" s="3">
        <f>AJ1543-AG1543</f>
        <v>0</v>
      </c>
      <c r="AM1543" s="3">
        <v>22</v>
      </c>
      <c r="AO1543" s="3">
        <f>AM1543-AJ1543</f>
        <v>0</v>
      </c>
      <c r="AQ1543" s="1" t="s">
        <v>285</v>
      </c>
      <c r="AS1543" s="3">
        <v>22</v>
      </c>
      <c r="AV1543" s="3">
        <v>22</v>
      </c>
      <c r="AY1543" s="3">
        <v>22</v>
      </c>
      <c r="AZ1543" s="3">
        <v>24.17</v>
      </c>
      <c r="BC1543" s="3">
        <v>24.17</v>
      </c>
      <c r="BD1543" s="3">
        <v>5.17</v>
      </c>
      <c r="BE1543" s="1" t="s">
        <v>852</v>
      </c>
      <c r="BG1543" s="2">
        <v>5.17</v>
      </c>
      <c r="BI1543" s="1" t="s">
        <v>862</v>
      </c>
    </row>
    <row r="1544" spans="1:61">
      <c r="B1544" s="103" t="s">
        <v>236</v>
      </c>
      <c r="C1544" s="1" t="s">
        <v>290</v>
      </c>
      <c r="D1544" s="113"/>
      <c r="E1544" s="113"/>
      <c r="F1544" s="8"/>
      <c r="G1544" s="8"/>
      <c r="H1544" s="8"/>
      <c r="I1544" s="8"/>
      <c r="K1544" s="3"/>
      <c r="Q1544" s="3"/>
      <c r="T1544" s="3"/>
      <c r="W1544" s="3"/>
      <c r="AC1544" s="3"/>
      <c r="AF1544" s="24"/>
      <c r="AI1544" s="3"/>
      <c r="AL1544" s="3"/>
      <c r="AO1544" s="3"/>
      <c r="BH1544" s="3">
        <v>16.04</v>
      </c>
      <c r="BI1544" s="1" t="s">
        <v>852</v>
      </c>
    </row>
    <row r="1545" spans="1:61" ht="9.6" customHeight="1">
      <c r="B1545" s="103" t="s">
        <v>236</v>
      </c>
      <c r="C1545" s="1" t="s">
        <v>64</v>
      </c>
      <c r="D1545" s="113"/>
      <c r="E1545" s="113"/>
      <c r="F1545" s="8"/>
      <c r="G1545" s="8"/>
      <c r="H1545" s="8"/>
      <c r="I1545" s="8"/>
      <c r="K1545" s="3"/>
      <c r="Q1545" s="3"/>
      <c r="T1545" s="3"/>
      <c r="U1545" s="3">
        <v>15.18</v>
      </c>
      <c r="X1545" s="3">
        <v>24.37</v>
      </c>
      <c r="Z1545" s="3">
        <f>X1545-U1545</f>
        <v>9.1900000000000013</v>
      </c>
      <c r="AA1545" s="3">
        <v>21.3</v>
      </c>
      <c r="AC1545" s="3">
        <f>AA1545-X1545</f>
        <v>-3.0700000000000003</v>
      </c>
      <c r="AD1545" s="24">
        <v>21.3</v>
      </c>
      <c r="AF1545" s="24">
        <f>AD1545-AA1545</f>
        <v>0</v>
      </c>
      <c r="AG1545" s="3">
        <v>21</v>
      </c>
      <c r="AI1545" s="3">
        <f>AG1545-AD1545</f>
        <v>-0.30000000000000071</v>
      </c>
      <c r="AJ1545" s="3">
        <v>21</v>
      </c>
      <c r="AL1545" s="3">
        <f>AJ1545-AG1545</f>
        <v>0</v>
      </c>
      <c r="AM1545" s="3">
        <v>21</v>
      </c>
      <c r="AO1545" s="3">
        <f>AM1545-AJ1545</f>
        <v>0</v>
      </c>
      <c r="AQ1545" s="1" t="s">
        <v>285</v>
      </c>
      <c r="AS1545" s="3">
        <v>21</v>
      </c>
      <c r="AV1545" s="3">
        <v>21</v>
      </c>
      <c r="AY1545" s="3">
        <v>21</v>
      </c>
      <c r="AZ1545" s="3">
        <v>15.8</v>
      </c>
      <c r="BC1545" s="3">
        <v>15.8</v>
      </c>
      <c r="BD1545" s="3">
        <v>17.59</v>
      </c>
      <c r="BE1545" s="1" t="s">
        <v>852</v>
      </c>
      <c r="BG1545" s="3">
        <v>17.59</v>
      </c>
      <c r="BH1545" s="3">
        <v>19.43</v>
      </c>
      <c r="BI1545" s="1" t="s">
        <v>852</v>
      </c>
    </row>
    <row r="1546" spans="1:61">
      <c r="B1546" s="103" t="s">
        <v>236</v>
      </c>
      <c r="C1546" s="1" t="s">
        <v>855</v>
      </c>
      <c r="D1546" s="113"/>
      <c r="E1546" s="113"/>
      <c r="F1546" s="8"/>
      <c r="G1546" s="8"/>
      <c r="H1546" s="8"/>
      <c r="I1546" s="8"/>
      <c r="K1546" s="3"/>
      <c r="Q1546" s="3"/>
      <c r="T1546" s="3"/>
      <c r="AC1546" s="3"/>
      <c r="AF1546" s="24"/>
      <c r="AI1546" s="3"/>
      <c r="AL1546" s="3"/>
      <c r="AO1546" s="3"/>
      <c r="BD1546" s="3">
        <v>14.91</v>
      </c>
      <c r="BE1546" s="1" t="s">
        <v>852</v>
      </c>
      <c r="BG1546" s="3">
        <v>14.91</v>
      </c>
      <c r="BH1546" s="3">
        <v>0</v>
      </c>
      <c r="BI1546" s="1" t="s">
        <v>852</v>
      </c>
    </row>
    <row r="1547" spans="1:61">
      <c r="B1547" s="103" t="s">
        <v>236</v>
      </c>
      <c r="C1547" s="1" t="s">
        <v>286</v>
      </c>
      <c r="D1547" s="113"/>
      <c r="E1547" s="113"/>
      <c r="F1547" s="8"/>
      <c r="G1547" s="8"/>
      <c r="H1547" s="8"/>
      <c r="I1547" s="8"/>
      <c r="K1547" s="3"/>
      <c r="Q1547" s="3"/>
      <c r="R1547" s="3">
        <v>12.58</v>
      </c>
      <c r="T1547" s="3"/>
      <c r="U1547" s="3">
        <v>10.84</v>
      </c>
      <c r="W1547" s="3">
        <f>U1547-R1547</f>
        <v>-1.7400000000000002</v>
      </c>
      <c r="X1547" s="3">
        <v>24.37</v>
      </c>
      <c r="Z1547" s="3">
        <f>X1547-U1547</f>
        <v>13.530000000000001</v>
      </c>
      <c r="AA1547" s="3">
        <v>22.15</v>
      </c>
      <c r="AC1547" s="3">
        <f>AA1547-X1547</f>
        <v>-2.2200000000000024</v>
      </c>
      <c r="AD1547" s="24">
        <v>22.15</v>
      </c>
      <c r="AF1547" s="24">
        <f>AD1547-AA1547</f>
        <v>0</v>
      </c>
      <c r="AG1547" s="3">
        <v>22</v>
      </c>
      <c r="AI1547" s="3">
        <f>AG1547-AD1547</f>
        <v>-0.14999999999999858</v>
      </c>
      <c r="AJ1547" s="3">
        <v>22</v>
      </c>
      <c r="AL1547" s="3">
        <f>AJ1547-AG1547</f>
        <v>0</v>
      </c>
      <c r="AM1547" s="3">
        <v>22</v>
      </c>
      <c r="AO1547" s="3">
        <f>AM1547-AJ1547</f>
        <v>0</v>
      </c>
      <c r="AQ1547" s="1" t="s">
        <v>285</v>
      </c>
      <c r="AS1547" s="3">
        <v>22</v>
      </c>
      <c r="AV1547" s="3">
        <v>22</v>
      </c>
      <c r="AY1547" s="3">
        <v>22</v>
      </c>
      <c r="AZ1547" s="3">
        <v>13.33</v>
      </c>
      <c r="BC1547" s="3">
        <v>13.33</v>
      </c>
      <c r="BD1547" s="3">
        <v>16.420000000000002</v>
      </c>
      <c r="BE1547" s="1" t="s">
        <v>852</v>
      </c>
      <c r="BG1547" s="3">
        <v>16.420000000000002</v>
      </c>
      <c r="BH1547" s="3">
        <v>21.47</v>
      </c>
      <c r="BI1547" s="1" t="s">
        <v>852</v>
      </c>
    </row>
    <row r="1548" spans="1:61">
      <c r="B1548" s="103" t="s">
        <v>236</v>
      </c>
      <c r="C1548" s="1" t="s">
        <v>288</v>
      </c>
      <c r="D1548" s="113"/>
      <c r="E1548" s="113"/>
      <c r="F1548" s="8"/>
      <c r="G1548" s="8"/>
      <c r="H1548" s="8"/>
      <c r="I1548" s="8"/>
      <c r="K1548" s="3"/>
      <c r="Q1548" s="3"/>
      <c r="R1548" s="3">
        <v>12.58</v>
      </c>
      <c r="T1548" s="3"/>
      <c r="U1548" s="3">
        <v>27.32</v>
      </c>
      <c r="W1548" s="3">
        <f>U1548-R1548</f>
        <v>14.74</v>
      </c>
      <c r="X1548" s="3">
        <v>24.37</v>
      </c>
      <c r="Z1548" s="3">
        <f>X1548-U1548</f>
        <v>-2.9499999999999993</v>
      </c>
      <c r="AA1548" s="3">
        <v>21.3</v>
      </c>
      <c r="AC1548" s="3">
        <f>AA1548-X1548</f>
        <v>-3.0700000000000003</v>
      </c>
      <c r="AD1548" s="24">
        <v>21.3</v>
      </c>
      <c r="AF1548" s="24">
        <f>AD1548-AA1548</f>
        <v>0</v>
      </c>
      <c r="AG1548" s="3">
        <v>21</v>
      </c>
      <c r="AI1548" s="3">
        <f>AG1548-AD1548</f>
        <v>-0.30000000000000071</v>
      </c>
      <c r="AJ1548" s="3">
        <v>21</v>
      </c>
      <c r="AL1548" s="3">
        <f>AJ1548-AG1548</f>
        <v>0</v>
      </c>
      <c r="AM1548" s="3">
        <v>21</v>
      </c>
      <c r="AO1548" s="3">
        <f>AM1548-AJ1548</f>
        <v>0</v>
      </c>
      <c r="AQ1548" s="1" t="s">
        <v>285</v>
      </c>
      <c r="AS1548" s="3">
        <v>21</v>
      </c>
      <c r="AV1548" s="3">
        <v>21</v>
      </c>
      <c r="AY1548" s="3">
        <v>21</v>
      </c>
      <c r="AZ1548" s="3">
        <v>13.33</v>
      </c>
      <c r="BC1548" s="3">
        <v>13.33</v>
      </c>
      <c r="BD1548" s="3">
        <v>16.420000000000002</v>
      </c>
      <c r="BE1548" s="1" t="s">
        <v>852</v>
      </c>
      <c r="BG1548" s="3">
        <v>16.420000000000002</v>
      </c>
      <c r="BH1548" s="3">
        <v>18.760000000000002</v>
      </c>
      <c r="BI1548" s="1" t="s">
        <v>852</v>
      </c>
    </row>
    <row r="1549" spans="1:61">
      <c r="A1549" s="6">
        <v>11</v>
      </c>
      <c r="B1549" s="103" t="s">
        <v>236</v>
      </c>
      <c r="C1549" s="1" t="s">
        <v>57</v>
      </c>
      <c r="D1549" s="113" t="s">
        <v>651</v>
      </c>
      <c r="E1549" s="113"/>
      <c r="F1549" s="8">
        <v>13.5</v>
      </c>
      <c r="G1549" s="8"/>
      <c r="H1549" s="8">
        <v>13.5</v>
      </c>
      <c r="I1549" s="8">
        <f>H1549-D1549</f>
        <v>-42325.5</v>
      </c>
      <c r="J1549" s="1" t="s">
        <v>88</v>
      </c>
      <c r="K1549" s="3"/>
      <c r="M1549" s="3">
        <v>13.5</v>
      </c>
      <c r="O1549" s="3">
        <v>13.5</v>
      </c>
      <c r="P1549" s="1" t="s">
        <v>88</v>
      </c>
      <c r="Q1549" s="3">
        <f>O1549-H1549</f>
        <v>0</v>
      </c>
      <c r="AQ1549" s="1" t="s">
        <v>285</v>
      </c>
    </row>
    <row r="1550" spans="1:61">
      <c r="B1550" s="103" t="s">
        <v>236</v>
      </c>
      <c r="C1550" s="1" t="s">
        <v>287</v>
      </c>
      <c r="D1550" s="113"/>
      <c r="E1550" s="113"/>
      <c r="F1550" s="8"/>
      <c r="G1550" s="8"/>
      <c r="H1550" s="8"/>
      <c r="I1550" s="8"/>
      <c r="K1550" s="3"/>
      <c r="Q1550" s="3"/>
      <c r="BH1550" s="3">
        <v>16.04</v>
      </c>
      <c r="BI1550" s="1" t="s">
        <v>852</v>
      </c>
    </row>
    <row r="1551" spans="1:61">
      <c r="A1551" s="6">
        <v>1</v>
      </c>
      <c r="B1551" s="103" t="s">
        <v>183</v>
      </c>
      <c r="C1551" s="1" t="s">
        <v>52</v>
      </c>
      <c r="D1551" s="113"/>
      <c r="E1551" s="113"/>
      <c r="F1551" s="8"/>
      <c r="G1551" s="8"/>
      <c r="H1551" s="8"/>
      <c r="I1551" s="8"/>
      <c r="K1551" s="3"/>
    </row>
    <row r="1552" spans="1:61">
      <c r="A1552" s="6">
        <v>3</v>
      </c>
      <c r="B1552" s="103" t="s">
        <v>183</v>
      </c>
      <c r="C1552" s="1" t="s">
        <v>54</v>
      </c>
      <c r="D1552" s="113"/>
      <c r="E1552" s="113"/>
      <c r="F1552" s="8"/>
      <c r="G1552" s="8"/>
      <c r="H1552" s="8"/>
      <c r="I1552" s="8"/>
      <c r="K1552" s="3"/>
    </row>
    <row r="1553" spans="1:61">
      <c r="A1553" s="6">
        <v>4</v>
      </c>
      <c r="B1553" s="103" t="s">
        <v>183</v>
      </c>
      <c r="C1553" s="1" t="s">
        <v>55</v>
      </c>
      <c r="D1553" s="113"/>
      <c r="E1553" s="113"/>
      <c r="F1553" s="8"/>
      <c r="G1553" s="8"/>
      <c r="H1553" s="8"/>
      <c r="I1553" s="8"/>
      <c r="K1553" s="3"/>
    </row>
    <row r="1554" spans="1:61">
      <c r="A1554" s="6">
        <v>5</v>
      </c>
      <c r="B1554" s="103" t="s">
        <v>183</v>
      </c>
      <c r="C1554" s="1" t="s">
        <v>56</v>
      </c>
      <c r="D1554" s="113"/>
      <c r="E1554" s="113"/>
      <c r="F1554" s="8"/>
      <c r="G1554" s="8"/>
      <c r="H1554" s="8"/>
      <c r="I1554" s="8"/>
      <c r="K1554" s="3"/>
    </row>
    <row r="1555" spans="1:61">
      <c r="A1555" s="6">
        <v>2</v>
      </c>
      <c r="B1555" s="103" t="s">
        <v>183</v>
      </c>
      <c r="C1555" s="1" t="s">
        <v>53</v>
      </c>
      <c r="D1555" s="113"/>
      <c r="E1555" s="113"/>
      <c r="F1555" s="8"/>
      <c r="G1555" s="8"/>
      <c r="H1555" s="8"/>
      <c r="I1555" s="8"/>
      <c r="K1555" s="3"/>
      <c r="M1555" s="3">
        <v>10</v>
      </c>
      <c r="O1555" s="3">
        <v>10</v>
      </c>
      <c r="Q1555" s="3"/>
      <c r="R1555" s="3">
        <v>1</v>
      </c>
      <c r="T1555" s="3">
        <f>R1555-O1555</f>
        <v>-9</v>
      </c>
      <c r="U1555" s="3">
        <v>10</v>
      </c>
      <c r="W1555" s="3">
        <f>U1555-R1555</f>
        <v>9</v>
      </c>
    </row>
    <row r="1556" spans="1:61">
      <c r="A1556" s="6">
        <v>12</v>
      </c>
      <c r="B1556" s="103" t="s">
        <v>183</v>
      </c>
      <c r="C1556" s="1" t="s">
        <v>594</v>
      </c>
      <c r="D1556" s="113"/>
      <c r="E1556" s="113"/>
      <c r="F1556" s="8"/>
      <c r="G1556" s="8"/>
      <c r="H1556" s="8"/>
      <c r="I1556" s="8"/>
      <c r="K1556" s="3"/>
      <c r="M1556" s="3">
        <v>4.5</v>
      </c>
      <c r="O1556" s="3">
        <v>4.5</v>
      </c>
      <c r="Q1556" s="3"/>
      <c r="R1556" s="3">
        <v>4.5</v>
      </c>
      <c r="T1556" s="3">
        <f>R1556-O1556</f>
        <v>0</v>
      </c>
      <c r="U1556" s="3">
        <v>5.5</v>
      </c>
      <c r="W1556" s="3">
        <f>U1556-R1556</f>
        <v>1</v>
      </c>
      <c r="X1556" s="3">
        <v>8</v>
      </c>
      <c r="Z1556" s="3">
        <f>X1556-U1556</f>
        <v>2.5</v>
      </c>
      <c r="AD1556" s="24">
        <v>7.8</v>
      </c>
      <c r="AG1556" s="3">
        <v>8.3000000000000007</v>
      </c>
      <c r="AI1556" s="3">
        <f>AG1556-AD1556</f>
        <v>0.50000000000000089</v>
      </c>
      <c r="AJ1556" s="3">
        <v>6.3</v>
      </c>
      <c r="AL1556" s="3">
        <f>AJ1556-AG1556</f>
        <v>-2.0000000000000009</v>
      </c>
      <c r="AM1556" s="3">
        <v>6.7</v>
      </c>
      <c r="AO1556" s="3">
        <f>AM1556-AJ1556</f>
        <v>0.40000000000000036</v>
      </c>
      <c r="AP1556" s="3">
        <v>6.6</v>
      </c>
      <c r="AS1556" s="3">
        <v>7.1</v>
      </c>
      <c r="AV1556" s="3">
        <v>8.8000000000000007</v>
      </c>
      <c r="AZ1556" s="3">
        <v>8.1999999999999993</v>
      </c>
      <c r="BA1556" s="1" t="s">
        <v>852</v>
      </c>
      <c r="BD1556" s="3">
        <v>7.6</v>
      </c>
      <c r="BE1556" s="1" t="s">
        <v>852</v>
      </c>
      <c r="BH1556" s="3">
        <v>10.199999999999999</v>
      </c>
      <c r="BI1556" s="1" t="s">
        <v>852</v>
      </c>
    </row>
    <row r="1557" spans="1:61">
      <c r="A1557" s="6">
        <v>14</v>
      </c>
      <c r="B1557" s="103" t="s">
        <v>183</v>
      </c>
      <c r="C1557" s="1" t="s">
        <v>58</v>
      </c>
      <c r="D1557" s="113"/>
      <c r="E1557" s="113"/>
      <c r="F1557" s="8"/>
      <c r="G1557" s="8"/>
      <c r="H1557" s="8"/>
      <c r="I1557" s="8"/>
      <c r="K1557" s="3"/>
      <c r="M1557" s="3">
        <v>12</v>
      </c>
      <c r="O1557" s="3">
        <v>12</v>
      </c>
      <c r="Q1557" s="3"/>
      <c r="R1557" s="3">
        <v>8.5</v>
      </c>
      <c r="T1557" s="3">
        <f>R1557-O1557</f>
        <v>-3.5</v>
      </c>
      <c r="U1557" s="3">
        <v>6.5</v>
      </c>
      <c r="W1557" s="3">
        <f>U1557-R1557</f>
        <v>-2</v>
      </c>
      <c r="X1557" s="3">
        <v>12.7</v>
      </c>
      <c r="Z1557" s="3">
        <f>X1557-U1557</f>
        <v>6.1999999999999993</v>
      </c>
      <c r="AA1557" s="3">
        <v>12</v>
      </c>
      <c r="AC1557" s="3">
        <f>AA1557-X1557</f>
        <v>-0.69999999999999929</v>
      </c>
      <c r="AD1557" s="24">
        <v>12.11</v>
      </c>
      <c r="AG1557" s="3">
        <v>9.1</v>
      </c>
      <c r="AI1557" s="3">
        <f>AG1557-AD1557</f>
        <v>-3.01</v>
      </c>
      <c r="AJ1557" s="3">
        <v>6.3</v>
      </c>
      <c r="AL1557" s="3">
        <f>AJ1557-AG1557</f>
        <v>-2.8</v>
      </c>
      <c r="AM1557" s="3">
        <v>6.7</v>
      </c>
      <c r="AO1557" s="3">
        <f>AM1557-AJ1557</f>
        <v>0.40000000000000036</v>
      </c>
      <c r="AP1557" s="3">
        <v>6.6</v>
      </c>
      <c r="AS1557" s="3">
        <v>7.5</v>
      </c>
      <c r="AV1557" s="3">
        <v>9.5</v>
      </c>
      <c r="AZ1557" s="3">
        <v>8.1999999999999993</v>
      </c>
      <c r="BA1557" s="1" t="s">
        <v>852</v>
      </c>
      <c r="BD1557" s="3">
        <v>7.9</v>
      </c>
      <c r="BE1557" s="1" t="s">
        <v>852</v>
      </c>
      <c r="BH1557" s="3">
        <v>9.06</v>
      </c>
      <c r="BI1557" s="1" t="s">
        <v>852</v>
      </c>
    </row>
    <row r="1558" spans="1:61">
      <c r="B1558" s="103" t="s">
        <v>183</v>
      </c>
      <c r="C1558" s="1" t="s">
        <v>857</v>
      </c>
      <c r="D1558" s="113"/>
      <c r="E1558" s="113"/>
      <c r="F1558" s="8"/>
      <c r="G1558" s="8"/>
      <c r="H1558" s="8"/>
      <c r="I1558" s="8"/>
      <c r="K1558" s="3"/>
      <c r="Q1558" s="3"/>
      <c r="T1558" s="3"/>
      <c r="W1558" s="3"/>
      <c r="AC1558" s="3"/>
      <c r="AI1558" s="3"/>
      <c r="AL1558" s="3"/>
      <c r="AO1558" s="3"/>
      <c r="AZ1558" s="3">
        <v>21.72</v>
      </c>
      <c r="BA1558" s="1" t="s">
        <v>852</v>
      </c>
      <c r="BD1558" s="3">
        <v>18.399999999999999</v>
      </c>
      <c r="BE1558" s="1" t="s">
        <v>852</v>
      </c>
    </row>
    <row r="1559" spans="1:61" ht="9.6" customHeight="1">
      <c r="B1559" s="103" t="s">
        <v>183</v>
      </c>
      <c r="C1559" s="1" t="s">
        <v>289</v>
      </c>
      <c r="D1559" s="113"/>
      <c r="E1559" s="113"/>
      <c r="F1559" s="8"/>
      <c r="G1559" s="8"/>
      <c r="H1559" s="8"/>
      <c r="I1559" s="8"/>
      <c r="K1559" s="3"/>
      <c r="Q1559" s="3"/>
      <c r="S1559" s="1" t="s">
        <v>411</v>
      </c>
      <c r="V1559" s="1" t="s">
        <v>383</v>
      </c>
      <c r="AA1559" s="3">
        <v>15.4</v>
      </c>
    </row>
    <row r="1560" spans="1:61">
      <c r="B1560" s="103" t="s">
        <v>183</v>
      </c>
      <c r="C1560" s="1" t="s">
        <v>64</v>
      </c>
      <c r="D1560" s="113"/>
      <c r="E1560" s="113"/>
      <c r="F1560" s="8"/>
      <c r="G1560" s="8"/>
      <c r="H1560" s="8"/>
      <c r="I1560" s="8"/>
      <c r="K1560" s="3"/>
      <c r="Q1560" s="3"/>
      <c r="R1560" s="3">
        <v>12.4</v>
      </c>
      <c r="T1560" s="3"/>
      <c r="U1560" s="3">
        <v>8.4</v>
      </c>
      <c r="W1560" s="3">
        <f>U1560-R1560</f>
        <v>-4</v>
      </c>
      <c r="X1560" s="3">
        <v>16</v>
      </c>
      <c r="Z1560" s="3">
        <f>X1560-U1560</f>
        <v>7.6</v>
      </c>
      <c r="AA1560" s="3">
        <v>13.8</v>
      </c>
      <c r="AC1560" s="3">
        <f>AA1560-X1560</f>
        <v>-2.1999999999999993</v>
      </c>
      <c r="AD1560" s="24">
        <v>13</v>
      </c>
      <c r="AG1560" s="3">
        <v>10.8</v>
      </c>
      <c r="AI1560" s="3">
        <f>AG1560-AD1560</f>
        <v>-2.1999999999999993</v>
      </c>
      <c r="AJ1560" s="3">
        <v>7</v>
      </c>
      <c r="AL1560" s="3">
        <f>AJ1560-AG1560</f>
        <v>-3.8000000000000007</v>
      </c>
      <c r="AM1560" s="3">
        <v>8.3000000000000007</v>
      </c>
      <c r="AO1560" s="3">
        <f>AM1560-AJ1560</f>
        <v>1.3000000000000007</v>
      </c>
      <c r="AP1560" s="3">
        <v>7.5</v>
      </c>
      <c r="AS1560" s="3">
        <v>9.5</v>
      </c>
      <c r="AV1560" s="3">
        <v>13</v>
      </c>
      <c r="AZ1560" s="3">
        <v>10.5</v>
      </c>
      <c r="BA1560" s="1" t="s">
        <v>852</v>
      </c>
      <c r="BD1560" s="3">
        <v>8.5</v>
      </c>
      <c r="BE1560" s="1" t="s">
        <v>852</v>
      </c>
      <c r="BH1560" s="3">
        <v>8.4</v>
      </c>
      <c r="BI1560" s="1" t="s">
        <v>852</v>
      </c>
    </row>
    <row r="1561" spans="1:61">
      <c r="B1561" s="103" t="s">
        <v>183</v>
      </c>
      <c r="C1561" s="1" t="s">
        <v>855</v>
      </c>
      <c r="D1561" s="113"/>
      <c r="E1561" s="113"/>
      <c r="F1561" s="8"/>
      <c r="G1561" s="8"/>
      <c r="H1561" s="8"/>
      <c r="I1561" s="8"/>
      <c r="K1561" s="3"/>
      <c r="Q1561" s="3"/>
      <c r="T1561" s="3"/>
      <c r="W1561" s="3"/>
      <c r="AC1561" s="3"/>
      <c r="AI1561" s="3"/>
      <c r="AL1561" s="3"/>
      <c r="AO1561" s="3"/>
      <c r="BH1561" s="3">
        <v>9.3000000000000007</v>
      </c>
      <c r="BI1561" s="1" t="s">
        <v>852</v>
      </c>
    </row>
    <row r="1562" spans="1:61">
      <c r="B1562" s="103" t="s">
        <v>183</v>
      </c>
      <c r="C1562" s="1" t="s">
        <v>286</v>
      </c>
      <c r="D1562" s="113"/>
      <c r="E1562" s="113"/>
      <c r="F1562" s="8"/>
      <c r="G1562" s="8"/>
      <c r="H1562" s="8"/>
      <c r="I1562" s="8"/>
      <c r="K1562" s="3"/>
      <c r="Q1562" s="3"/>
      <c r="R1562" s="3">
        <v>12.6</v>
      </c>
      <c r="T1562" s="3"/>
      <c r="U1562" s="3">
        <v>8.8000000000000007</v>
      </c>
      <c r="W1562" s="3">
        <f>U1562-R1562</f>
        <v>-3.7999999999999989</v>
      </c>
      <c r="X1562" s="3">
        <v>15.2</v>
      </c>
      <c r="Z1562" s="3">
        <f>X1562-U1562</f>
        <v>6.3999999999999986</v>
      </c>
      <c r="AA1562" s="3">
        <v>16</v>
      </c>
      <c r="AC1562" s="3">
        <f>AA1562-X1562</f>
        <v>0.80000000000000071</v>
      </c>
      <c r="AD1562" s="24">
        <v>15.6</v>
      </c>
      <c r="AG1562" s="3">
        <v>11</v>
      </c>
      <c r="AI1562" s="3">
        <f>AG1562-AD1562</f>
        <v>-4.5999999999999996</v>
      </c>
      <c r="AJ1562" s="3">
        <v>7</v>
      </c>
      <c r="AL1562" s="3">
        <f>AJ1562-AG1562</f>
        <v>-4</v>
      </c>
      <c r="AM1562" s="3">
        <v>7.9</v>
      </c>
      <c r="AO1562" s="3">
        <f>AM1562-AJ1562</f>
        <v>0.90000000000000036</v>
      </c>
      <c r="AP1562" s="3">
        <v>7</v>
      </c>
      <c r="AS1562" s="3">
        <v>9.1999999999999993</v>
      </c>
      <c r="AV1562" s="3">
        <v>11.5</v>
      </c>
      <c r="AZ1562" s="3">
        <v>10.9</v>
      </c>
      <c r="BA1562" s="1" t="s">
        <v>852</v>
      </c>
      <c r="BD1562" s="3">
        <v>9.3000000000000007</v>
      </c>
      <c r="BE1562" s="1" t="s">
        <v>852</v>
      </c>
    </row>
    <row r="1563" spans="1:61">
      <c r="B1563" s="103" t="s">
        <v>183</v>
      </c>
      <c r="C1563" s="1" t="s">
        <v>288</v>
      </c>
      <c r="D1563" s="113"/>
      <c r="E1563" s="113"/>
      <c r="F1563" s="8"/>
      <c r="G1563" s="8"/>
      <c r="H1563" s="8"/>
      <c r="I1563" s="8"/>
      <c r="K1563" s="3"/>
      <c r="Q1563" s="3"/>
      <c r="R1563" s="3">
        <v>13.2</v>
      </c>
      <c r="T1563" s="3"/>
      <c r="U1563" s="3">
        <v>8.6999999999999993</v>
      </c>
      <c r="W1563" s="3">
        <f>U1563-R1563</f>
        <v>-4.5</v>
      </c>
      <c r="X1563" s="3">
        <v>15.2</v>
      </c>
      <c r="Z1563" s="3">
        <f>X1563-U1563</f>
        <v>6.5</v>
      </c>
      <c r="AA1563" s="3">
        <v>14.5</v>
      </c>
      <c r="AC1563" s="3">
        <f>AA1563-X1563</f>
        <v>-0.69999999999999929</v>
      </c>
      <c r="AD1563" s="24">
        <v>14.4</v>
      </c>
      <c r="AG1563" s="3">
        <v>10.4</v>
      </c>
      <c r="AI1563" s="3">
        <f>AG1563-AD1563</f>
        <v>-4</v>
      </c>
      <c r="AJ1563" s="3">
        <v>7</v>
      </c>
      <c r="AL1563" s="3">
        <f>AJ1563-AG1563</f>
        <v>-3.4000000000000004</v>
      </c>
      <c r="AM1563" s="3">
        <v>7.9</v>
      </c>
      <c r="AO1563" s="3">
        <f>AM1563-AJ1563</f>
        <v>0.90000000000000036</v>
      </c>
      <c r="AP1563" s="3">
        <v>7.2</v>
      </c>
      <c r="AS1563" s="3">
        <v>9.4</v>
      </c>
      <c r="AV1563" s="3">
        <v>12.5</v>
      </c>
      <c r="AZ1563" s="3">
        <v>10.9</v>
      </c>
      <c r="BA1563" s="1" t="s">
        <v>852</v>
      </c>
      <c r="BD1563" s="3">
        <v>8.8000000000000007</v>
      </c>
      <c r="BE1563" s="1" t="s">
        <v>852</v>
      </c>
      <c r="BH1563" s="3">
        <v>9.0299999999999994</v>
      </c>
      <c r="BI1563" s="1" t="s">
        <v>852</v>
      </c>
    </row>
    <row r="1564" spans="1:61">
      <c r="A1564" s="6">
        <v>11</v>
      </c>
      <c r="B1564" s="103" t="s">
        <v>183</v>
      </c>
      <c r="C1564" s="1" t="s">
        <v>57</v>
      </c>
      <c r="D1564" s="113"/>
      <c r="E1564" s="113"/>
      <c r="F1564" s="8"/>
      <c r="G1564" s="8"/>
      <c r="H1564" s="8"/>
      <c r="I1564" s="8"/>
      <c r="K1564" s="3"/>
      <c r="M1564" s="3">
        <v>19</v>
      </c>
      <c r="O1564" s="3">
        <v>19</v>
      </c>
      <c r="Q1564" s="3"/>
      <c r="R1564" s="3">
        <v>16.3</v>
      </c>
      <c r="T1564" s="3">
        <f>R1564-O1564</f>
        <v>-2.6999999999999993</v>
      </c>
    </row>
    <row r="1565" spans="1:61">
      <c r="B1565" s="103" t="s">
        <v>183</v>
      </c>
      <c r="C1565" s="1" t="s">
        <v>287</v>
      </c>
      <c r="D1565" s="113"/>
      <c r="E1565" s="113"/>
      <c r="F1565" s="8"/>
      <c r="G1565" s="8"/>
      <c r="H1565" s="8"/>
      <c r="I1565" s="8"/>
      <c r="K1565" s="3"/>
      <c r="Q1565" s="3"/>
      <c r="R1565" s="3">
        <v>16.8</v>
      </c>
      <c r="T1565" s="3"/>
      <c r="U1565" s="3">
        <v>17</v>
      </c>
      <c r="W1565" s="3">
        <f>U1565-R1565</f>
        <v>0.19999999999999929</v>
      </c>
      <c r="AA1565" s="3">
        <v>17</v>
      </c>
      <c r="AD1565" s="24">
        <v>16.899999999999999</v>
      </c>
      <c r="AS1565" s="3">
        <v>14</v>
      </c>
      <c r="AZ1565" s="3">
        <v>11.4</v>
      </c>
      <c r="BA1565" s="1" t="s">
        <v>852</v>
      </c>
    </row>
    <row r="1566" spans="1:61">
      <c r="A1566" s="6">
        <v>1</v>
      </c>
      <c r="B1566" s="1" t="s">
        <v>237</v>
      </c>
      <c r="C1566" s="1" t="s">
        <v>52</v>
      </c>
      <c r="D1566" s="113"/>
      <c r="E1566" s="113"/>
      <c r="F1566" s="8">
        <v>0</v>
      </c>
      <c r="G1566" s="8"/>
      <c r="H1566" s="8">
        <v>0</v>
      </c>
      <c r="I1566" s="8"/>
      <c r="M1566" s="3">
        <v>8.6999999999999993</v>
      </c>
      <c r="O1566" s="3">
        <v>8.6999999999999993</v>
      </c>
      <c r="Q1566" s="3"/>
      <c r="BA1566" s="1" t="s">
        <v>285</v>
      </c>
      <c r="BE1566" s="1" t="s">
        <v>285</v>
      </c>
      <c r="BI1566" s="1" t="s">
        <v>285</v>
      </c>
    </row>
    <row r="1567" spans="1:61">
      <c r="A1567" s="6">
        <v>3</v>
      </c>
      <c r="B1567" s="1" t="s">
        <v>237</v>
      </c>
      <c r="C1567" s="1" t="s">
        <v>54</v>
      </c>
      <c r="D1567" s="113"/>
      <c r="E1567" s="113"/>
      <c r="F1567" s="8">
        <v>0</v>
      </c>
      <c r="G1567" s="8"/>
      <c r="H1567" s="8">
        <v>0</v>
      </c>
      <c r="I1567" s="8"/>
      <c r="BA1567" s="1" t="s">
        <v>285</v>
      </c>
      <c r="BE1567" s="1" t="s">
        <v>285</v>
      </c>
      <c r="BI1567" s="1" t="s">
        <v>285</v>
      </c>
    </row>
    <row r="1568" spans="1:61">
      <c r="A1568" s="6">
        <v>4</v>
      </c>
      <c r="B1568" s="1" t="s">
        <v>237</v>
      </c>
      <c r="C1568" s="1" t="s">
        <v>55</v>
      </c>
      <c r="D1568" s="113"/>
      <c r="E1568" s="113"/>
      <c r="F1568" s="8">
        <v>0</v>
      </c>
      <c r="G1568" s="8"/>
      <c r="H1568" s="8">
        <v>0</v>
      </c>
      <c r="I1568" s="8"/>
      <c r="BA1568" s="1" t="s">
        <v>285</v>
      </c>
      <c r="BE1568" s="1" t="s">
        <v>285</v>
      </c>
      <c r="BI1568" s="1" t="s">
        <v>285</v>
      </c>
    </row>
    <row r="1569" spans="1:61">
      <c r="A1569" s="6">
        <v>5</v>
      </c>
      <c r="B1569" s="1" t="s">
        <v>237</v>
      </c>
      <c r="C1569" s="1" t="s">
        <v>56</v>
      </c>
      <c r="D1569" s="113"/>
      <c r="E1569" s="113"/>
      <c r="F1569" s="8">
        <v>0</v>
      </c>
      <c r="G1569" s="8"/>
      <c r="H1569" s="8">
        <v>0</v>
      </c>
      <c r="I1569" s="8"/>
      <c r="BA1569" s="1" t="s">
        <v>285</v>
      </c>
      <c r="BE1569" s="1" t="s">
        <v>285</v>
      </c>
      <c r="BI1569" s="1" t="s">
        <v>285</v>
      </c>
    </row>
    <row r="1570" spans="1:61">
      <c r="A1570" s="6">
        <v>2</v>
      </c>
      <c r="B1570" s="1" t="s">
        <v>237</v>
      </c>
      <c r="C1570" s="1" t="s">
        <v>53</v>
      </c>
      <c r="D1570" s="113"/>
      <c r="E1570" s="113"/>
      <c r="F1570" s="8">
        <v>13.3</v>
      </c>
      <c r="G1570" s="8"/>
      <c r="H1570" s="8">
        <v>13.3</v>
      </c>
      <c r="I1570" s="8"/>
      <c r="L1570" s="1" t="s">
        <v>529</v>
      </c>
      <c r="M1570" s="3">
        <v>14.5</v>
      </c>
      <c r="O1570" s="3">
        <v>14.5</v>
      </c>
      <c r="Q1570" s="3">
        <f>O1570-H1570</f>
        <v>1.1999999999999993</v>
      </c>
      <c r="BA1570" s="1" t="s">
        <v>285</v>
      </c>
      <c r="BE1570" s="1" t="s">
        <v>285</v>
      </c>
      <c r="BI1570" s="1" t="s">
        <v>285</v>
      </c>
    </row>
    <row r="1571" spans="1:61">
      <c r="B1571" s="1" t="s">
        <v>237</v>
      </c>
      <c r="C1571" s="1" t="s">
        <v>158</v>
      </c>
      <c r="D1571" s="113"/>
      <c r="E1571" s="113"/>
      <c r="F1571" s="8"/>
      <c r="G1571" s="8"/>
      <c r="H1571" s="8"/>
      <c r="I1571" s="8"/>
      <c r="Q1571" s="3"/>
      <c r="T1571" s="3"/>
      <c r="W1571" s="3"/>
      <c r="X1571" s="3">
        <v>3</v>
      </c>
      <c r="BA1571" s="1" t="s">
        <v>285</v>
      </c>
      <c r="BE1571" s="1" t="s">
        <v>285</v>
      </c>
      <c r="BI1571" s="1" t="s">
        <v>285</v>
      </c>
    </row>
    <row r="1572" spans="1:61">
      <c r="B1572" s="1" t="s">
        <v>237</v>
      </c>
      <c r="C1572" s="1" t="s">
        <v>595</v>
      </c>
      <c r="D1572" s="113"/>
      <c r="E1572" s="113"/>
      <c r="F1572" s="8"/>
      <c r="G1572" s="8"/>
      <c r="H1572" s="8"/>
      <c r="I1572" s="8"/>
      <c r="Q1572" s="3"/>
      <c r="R1572" s="3">
        <v>3.3</v>
      </c>
      <c r="T1572" s="3"/>
      <c r="U1572" s="3">
        <v>2.8</v>
      </c>
      <c r="W1572" s="3">
        <f>U1572-R1572</f>
        <v>-0.5</v>
      </c>
      <c r="X1572" s="3">
        <v>2.7</v>
      </c>
      <c r="Z1572" s="3">
        <f>X1572-U1572</f>
        <v>-9.9999999999999645E-2</v>
      </c>
      <c r="AA1572" s="3">
        <v>2.88</v>
      </c>
      <c r="AC1572" s="3">
        <f>AA1572-X1572</f>
        <v>0.17999999999999972</v>
      </c>
      <c r="AD1572" s="24">
        <v>2.61</v>
      </c>
      <c r="AG1572" s="3">
        <v>3.75</v>
      </c>
      <c r="AI1572" s="3">
        <f>AG1572-AD1572</f>
        <v>1.1400000000000001</v>
      </c>
      <c r="BA1572" s="1" t="s">
        <v>285</v>
      </c>
      <c r="BE1572" s="1" t="s">
        <v>285</v>
      </c>
      <c r="BI1572" s="1" t="s">
        <v>285</v>
      </c>
    </row>
    <row r="1573" spans="1:61">
      <c r="B1573" s="1" t="s">
        <v>237</v>
      </c>
      <c r="C1573" s="1" t="s">
        <v>700</v>
      </c>
      <c r="D1573" s="113"/>
      <c r="E1573" s="113"/>
      <c r="F1573" s="8"/>
      <c r="G1573" s="8"/>
      <c r="H1573" s="8"/>
      <c r="I1573" s="8"/>
      <c r="Q1573" s="3"/>
      <c r="T1573" s="3"/>
      <c r="W1573" s="3"/>
      <c r="X1573" s="3">
        <v>3</v>
      </c>
      <c r="AA1573" s="3">
        <v>3</v>
      </c>
      <c r="AC1573" s="3">
        <f>AA1573-X1573</f>
        <v>0</v>
      </c>
      <c r="AD1573" s="24">
        <v>4.08</v>
      </c>
      <c r="AG1573" s="3">
        <v>4.3099999999999996</v>
      </c>
      <c r="AJ1573" s="3">
        <v>4.3099999999999996</v>
      </c>
      <c r="AM1573" s="3">
        <v>3.68</v>
      </c>
      <c r="AP1573" s="3">
        <v>4.05</v>
      </c>
      <c r="AS1573" s="3">
        <v>3.68</v>
      </c>
      <c r="AV1573" s="3">
        <v>3.65</v>
      </c>
      <c r="BA1573" s="1" t="s">
        <v>285</v>
      </c>
      <c r="BE1573" s="1" t="s">
        <v>285</v>
      </c>
      <c r="BI1573" s="1" t="s">
        <v>285</v>
      </c>
    </row>
    <row r="1574" spans="1:61">
      <c r="A1574" s="6">
        <v>12</v>
      </c>
      <c r="B1574" s="1" t="s">
        <v>237</v>
      </c>
      <c r="C1574" s="1" t="s">
        <v>594</v>
      </c>
      <c r="D1574" s="113"/>
      <c r="E1574" s="113"/>
      <c r="F1574" s="8">
        <v>4</v>
      </c>
      <c r="G1574" s="8"/>
      <c r="H1574" s="8">
        <v>4</v>
      </c>
      <c r="I1574" s="8"/>
      <c r="M1574" s="3">
        <v>3.9</v>
      </c>
      <c r="O1574" s="3">
        <v>3.9</v>
      </c>
      <c r="Q1574" s="3">
        <f>O1574-H1574</f>
        <v>-0.10000000000000009</v>
      </c>
      <c r="R1574" s="3">
        <v>4.8</v>
      </c>
      <c r="T1574" s="3">
        <f>R1574-O1574</f>
        <v>0.89999999999999991</v>
      </c>
      <c r="U1574" s="3">
        <v>4.4000000000000004</v>
      </c>
      <c r="W1574" s="3">
        <f>U1574-R1574</f>
        <v>-0.39999999999999947</v>
      </c>
      <c r="X1574" s="3">
        <v>7.6</v>
      </c>
      <c r="Z1574" s="3">
        <f>X1574-U1574</f>
        <v>3.1999999999999993</v>
      </c>
      <c r="AA1574" s="3">
        <v>7.65</v>
      </c>
      <c r="AC1574" s="3">
        <f>AA1574-X1574</f>
        <v>5.0000000000000711E-2</v>
      </c>
      <c r="AD1574" s="24">
        <v>5.36</v>
      </c>
      <c r="AG1574" s="3">
        <v>5.66</v>
      </c>
      <c r="AI1574" s="3">
        <f>AG1574-AD1574</f>
        <v>0.29999999999999982</v>
      </c>
      <c r="AJ1574" s="3">
        <v>5.66</v>
      </c>
      <c r="AL1574" s="3">
        <f>AJ1574-AG1574</f>
        <v>0</v>
      </c>
      <c r="AM1574" s="3">
        <v>4.7300000000000004</v>
      </c>
      <c r="AO1574" s="3">
        <f>AM1574-AJ1574</f>
        <v>-0.92999999999999972</v>
      </c>
      <c r="AP1574" s="3">
        <v>5.2</v>
      </c>
      <c r="AS1574" s="3">
        <v>7.78</v>
      </c>
      <c r="AV1574" s="3">
        <v>7.7</v>
      </c>
      <c r="BA1574" s="1" t="s">
        <v>285</v>
      </c>
      <c r="BE1574" s="1" t="s">
        <v>285</v>
      </c>
      <c r="BI1574" s="1" t="s">
        <v>285</v>
      </c>
    </row>
    <row r="1575" spans="1:61">
      <c r="A1575" s="6">
        <v>14</v>
      </c>
      <c r="B1575" s="1" t="s">
        <v>237</v>
      </c>
      <c r="C1575" s="1" t="s">
        <v>58</v>
      </c>
      <c r="D1575" s="113"/>
      <c r="E1575" s="113"/>
      <c r="F1575" s="8">
        <v>8</v>
      </c>
      <c r="G1575" s="8"/>
      <c r="H1575" s="8">
        <v>8</v>
      </c>
      <c r="I1575" s="8"/>
      <c r="M1575" s="3">
        <v>7.3</v>
      </c>
      <c r="O1575" s="3">
        <v>7.3</v>
      </c>
      <c r="Q1575" s="3">
        <f>O1575-H1575</f>
        <v>-0.70000000000000018</v>
      </c>
      <c r="R1575" s="3">
        <v>8</v>
      </c>
      <c r="T1575" s="3">
        <f>R1575-O1575</f>
        <v>0.70000000000000018</v>
      </c>
      <c r="U1575" s="3">
        <v>8.8000000000000007</v>
      </c>
      <c r="W1575" s="3">
        <f>U1575-R1575</f>
        <v>0.80000000000000071</v>
      </c>
      <c r="X1575" s="3">
        <v>22.5</v>
      </c>
      <c r="Z1575" s="3">
        <f>X1575-U1575</f>
        <v>13.7</v>
      </c>
      <c r="AA1575" s="3">
        <v>16.5</v>
      </c>
      <c r="AC1575" s="3">
        <f>AA1575-X1575</f>
        <v>-6</v>
      </c>
      <c r="AD1575" s="24">
        <v>10.48</v>
      </c>
      <c r="AG1575" s="3">
        <v>12.84</v>
      </c>
      <c r="AI1575" s="3">
        <f>AG1575-AD1575</f>
        <v>2.3599999999999994</v>
      </c>
      <c r="AJ1575" s="3">
        <v>12.84</v>
      </c>
      <c r="AL1575" s="3">
        <f>AJ1575-AG1575</f>
        <v>0</v>
      </c>
      <c r="AM1575" s="3">
        <v>7.37</v>
      </c>
      <c r="AO1575" s="3">
        <f>AM1575-AJ1575</f>
        <v>-5.47</v>
      </c>
      <c r="AP1575" s="3">
        <v>8.11</v>
      </c>
      <c r="AS1575" s="3">
        <v>15.26</v>
      </c>
      <c r="AV1575" s="3">
        <v>12.5</v>
      </c>
      <c r="BA1575" s="1" t="s">
        <v>285</v>
      </c>
      <c r="BE1575" s="1" t="s">
        <v>285</v>
      </c>
      <c r="BI1575" s="1" t="s">
        <v>285</v>
      </c>
    </row>
    <row r="1576" spans="1:61">
      <c r="B1576" s="1" t="s">
        <v>237</v>
      </c>
      <c r="C1576" s="1" t="s">
        <v>607</v>
      </c>
      <c r="D1576" s="113"/>
      <c r="E1576" s="113"/>
      <c r="F1576" s="8"/>
      <c r="G1576" s="8"/>
      <c r="H1576" s="8"/>
      <c r="I1576" s="8"/>
      <c r="Q1576" s="3"/>
      <c r="T1576" s="3"/>
      <c r="W1576" s="3"/>
      <c r="AC1576" s="3"/>
      <c r="AG1576" s="3">
        <v>61.57</v>
      </c>
      <c r="AJ1576" s="3">
        <v>61.57</v>
      </c>
      <c r="BA1576" s="1" t="s">
        <v>285</v>
      </c>
      <c r="BE1576" s="1" t="s">
        <v>285</v>
      </c>
      <c r="BI1576" s="1" t="s">
        <v>285</v>
      </c>
    </row>
    <row r="1577" spans="1:61">
      <c r="B1577" s="1" t="s">
        <v>237</v>
      </c>
      <c r="C1577" s="1" t="s">
        <v>289</v>
      </c>
      <c r="D1577" s="113"/>
      <c r="E1577" s="113"/>
      <c r="F1577" s="8"/>
      <c r="G1577" s="8"/>
      <c r="H1577" s="8"/>
      <c r="I1577" s="8"/>
      <c r="Q1577" s="3"/>
      <c r="R1577" s="3">
        <v>43.8</v>
      </c>
      <c r="T1577" s="3"/>
      <c r="U1577" s="3">
        <v>43.8</v>
      </c>
      <c r="W1577" s="3">
        <f>U1577-R1577</f>
        <v>0</v>
      </c>
      <c r="X1577" s="3">
        <v>61</v>
      </c>
      <c r="Z1577" s="3">
        <f>X1577-U1577</f>
        <v>17.200000000000003</v>
      </c>
      <c r="AD1577" s="24">
        <v>26.79</v>
      </c>
      <c r="AG1577" s="3">
        <v>26.6</v>
      </c>
      <c r="AI1577" s="3">
        <f>AG1577-AD1577</f>
        <v>-0.18999999999999773</v>
      </c>
      <c r="AJ1577" s="3">
        <v>26.6</v>
      </c>
      <c r="AL1577" s="3">
        <f>AJ1577-AG1577</f>
        <v>0</v>
      </c>
      <c r="AM1577" s="3">
        <v>24.21</v>
      </c>
      <c r="AO1577" s="3">
        <f>AM1577-AJ1577</f>
        <v>-2.3900000000000006</v>
      </c>
      <c r="AP1577" s="3">
        <v>26.63</v>
      </c>
      <c r="AS1577" s="3">
        <v>24.21</v>
      </c>
      <c r="AV1577" s="3">
        <v>23.96</v>
      </c>
      <c r="BA1577" s="1" t="s">
        <v>285</v>
      </c>
      <c r="BE1577" s="1" t="s">
        <v>285</v>
      </c>
      <c r="BI1577" s="1" t="s">
        <v>285</v>
      </c>
    </row>
    <row r="1578" spans="1:61">
      <c r="B1578" s="1" t="s">
        <v>237</v>
      </c>
      <c r="C1578" s="1" t="s">
        <v>160</v>
      </c>
      <c r="D1578" s="113"/>
      <c r="E1578" s="113"/>
      <c r="F1578" s="8"/>
      <c r="G1578" s="8"/>
      <c r="H1578" s="8"/>
      <c r="I1578" s="8"/>
      <c r="Q1578" s="3"/>
      <c r="R1578" s="3">
        <v>4.5</v>
      </c>
      <c r="U1578" s="3">
        <v>3.5</v>
      </c>
      <c r="W1578" s="3">
        <f>U1578-R1578</f>
        <v>-1</v>
      </c>
      <c r="X1578" s="3">
        <v>3</v>
      </c>
      <c r="Z1578" s="3">
        <f>X1578-U1578</f>
        <v>-0.5</v>
      </c>
      <c r="BA1578" s="1" t="s">
        <v>285</v>
      </c>
      <c r="BE1578" s="1" t="s">
        <v>285</v>
      </c>
      <c r="BI1578" s="1" t="s">
        <v>285</v>
      </c>
    </row>
    <row r="1579" spans="1:61">
      <c r="B1579" s="1" t="s">
        <v>237</v>
      </c>
      <c r="C1579" s="1" t="s">
        <v>74</v>
      </c>
      <c r="D1579" s="113"/>
      <c r="E1579" s="113"/>
      <c r="F1579" s="8"/>
      <c r="G1579" s="8"/>
      <c r="H1579" s="8"/>
      <c r="I1579" s="8"/>
      <c r="Q1579" s="3"/>
      <c r="T1579" s="3"/>
      <c r="W1579" s="3"/>
      <c r="X1579" s="3">
        <v>2.6</v>
      </c>
      <c r="BA1579" s="1" t="s">
        <v>285</v>
      </c>
      <c r="BE1579" s="1" t="s">
        <v>285</v>
      </c>
      <c r="BI1579" s="1" t="s">
        <v>285</v>
      </c>
    </row>
    <row r="1580" spans="1:61">
      <c r="B1580" s="1" t="s">
        <v>237</v>
      </c>
      <c r="C1580" s="1" t="s">
        <v>64</v>
      </c>
      <c r="D1580" s="113"/>
      <c r="E1580" s="113"/>
      <c r="F1580" s="8"/>
      <c r="G1580" s="8"/>
      <c r="H1580" s="8"/>
      <c r="I1580" s="8"/>
      <c r="Q1580" s="3"/>
      <c r="R1580" s="3">
        <v>12.3</v>
      </c>
      <c r="T1580" s="3"/>
      <c r="U1580" s="3">
        <v>8.23</v>
      </c>
      <c r="W1580" s="3">
        <f>U1580-R1580</f>
        <v>-4.07</v>
      </c>
      <c r="X1580" s="3">
        <v>20</v>
      </c>
      <c r="Z1580" s="3">
        <f>X1580-U1580</f>
        <v>11.77</v>
      </c>
      <c r="AA1580" s="3">
        <v>21.8</v>
      </c>
      <c r="AC1580" s="3">
        <f>AA1580-X1580</f>
        <v>1.8000000000000007</v>
      </c>
      <c r="AD1580" s="24">
        <v>10.72</v>
      </c>
      <c r="AG1580" s="3">
        <v>13.57</v>
      </c>
      <c r="AI1580" s="3">
        <f>AG1580-AD1580</f>
        <v>2.8499999999999996</v>
      </c>
      <c r="AJ1580" s="3">
        <v>13.57</v>
      </c>
      <c r="AL1580" s="3">
        <f>AJ1580-AG1580</f>
        <v>0</v>
      </c>
      <c r="AM1580" s="3">
        <v>10</v>
      </c>
      <c r="AO1580" s="3">
        <f>AM1580-AJ1580</f>
        <v>-3.5700000000000003</v>
      </c>
      <c r="AP1580" s="3">
        <v>11</v>
      </c>
      <c r="AS1580" s="3">
        <v>14.31</v>
      </c>
      <c r="AV1580" s="3">
        <v>11.98</v>
      </c>
      <c r="BA1580" s="1" t="s">
        <v>285</v>
      </c>
      <c r="BE1580" s="1" t="s">
        <v>285</v>
      </c>
      <c r="BI1580" s="1" t="s">
        <v>285</v>
      </c>
    </row>
    <row r="1581" spans="1:61">
      <c r="B1581" s="1" t="s">
        <v>237</v>
      </c>
      <c r="C1581" s="1" t="s">
        <v>286</v>
      </c>
      <c r="D1581" s="113"/>
      <c r="E1581" s="113"/>
      <c r="F1581" s="8"/>
      <c r="G1581" s="8"/>
      <c r="H1581" s="8"/>
      <c r="I1581" s="8"/>
      <c r="Q1581" s="3"/>
      <c r="R1581" s="3">
        <v>15</v>
      </c>
      <c r="T1581" s="3"/>
      <c r="U1581" s="3">
        <v>8</v>
      </c>
      <c r="W1581" s="3">
        <f>U1581-R1581</f>
        <v>-7</v>
      </c>
      <c r="X1581" s="3">
        <v>22.2</v>
      </c>
      <c r="Z1581" s="3">
        <f>X1581-U1581</f>
        <v>14.2</v>
      </c>
      <c r="AA1581" s="3">
        <v>14.7</v>
      </c>
      <c r="AC1581" s="3">
        <f>AA1581-X1581</f>
        <v>-7.5</v>
      </c>
      <c r="AD1581" s="24">
        <v>16.309999999999999</v>
      </c>
      <c r="AG1581" s="3">
        <v>17.22</v>
      </c>
      <c r="AI1581" s="3">
        <f>AG1581-AD1581</f>
        <v>0.91000000000000014</v>
      </c>
      <c r="AJ1581" s="3">
        <v>17.22</v>
      </c>
      <c r="AL1581" s="3">
        <f>AJ1581-AG1581</f>
        <v>0</v>
      </c>
      <c r="AM1581" s="3">
        <v>14.73</v>
      </c>
      <c r="AO1581" s="3">
        <f>AM1581-AJ1581</f>
        <v>-2.4899999999999984</v>
      </c>
      <c r="AP1581" s="3">
        <v>16.2</v>
      </c>
      <c r="AS1581" s="3">
        <v>15.26</v>
      </c>
      <c r="AV1581" s="3">
        <v>13.02</v>
      </c>
      <c r="BA1581" s="1" t="s">
        <v>285</v>
      </c>
      <c r="BE1581" s="1" t="s">
        <v>285</v>
      </c>
      <c r="BI1581" s="1" t="s">
        <v>285</v>
      </c>
    </row>
    <row r="1582" spans="1:61">
      <c r="B1582" s="1" t="s">
        <v>237</v>
      </c>
      <c r="C1582" s="1" t="s">
        <v>288</v>
      </c>
      <c r="D1582" s="113"/>
      <c r="E1582" s="113"/>
      <c r="F1582" s="8"/>
      <c r="G1582" s="8"/>
      <c r="H1582" s="8"/>
      <c r="I1582" s="8"/>
      <c r="Q1582" s="3"/>
      <c r="R1582" s="3">
        <v>15</v>
      </c>
      <c r="T1582" s="3"/>
      <c r="U1582" s="3">
        <v>9</v>
      </c>
      <c r="W1582" s="3">
        <f>U1582-R1582</f>
        <v>-6</v>
      </c>
      <c r="X1582" s="3">
        <v>22.2</v>
      </c>
      <c r="Z1582" s="3">
        <f>X1582-U1582</f>
        <v>13.2</v>
      </c>
      <c r="AA1582" s="3">
        <v>14.1</v>
      </c>
      <c r="AC1582" s="3">
        <f>AA1582-X1582</f>
        <v>-8.1</v>
      </c>
      <c r="AD1582" s="24">
        <v>10.72</v>
      </c>
      <c r="AG1582" s="3">
        <v>13.27</v>
      </c>
      <c r="AI1582" s="3">
        <f>AG1582-AD1582</f>
        <v>2.5499999999999989</v>
      </c>
      <c r="AJ1582" s="3">
        <v>13.27</v>
      </c>
      <c r="AL1582" s="3">
        <f>AJ1582-AG1582</f>
        <v>0</v>
      </c>
      <c r="AM1582" s="3">
        <v>9.68</v>
      </c>
      <c r="AO1582" s="3">
        <f>AM1582-AJ1582</f>
        <v>-3.59</v>
      </c>
      <c r="AP1582" s="3">
        <v>10.65</v>
      </c>
      <c r="AS1582" s="3">
        <v>15.26</v>
      </c>
      <c r="AV1582" s="3">
        <v>13.02</v>
      </c>
      <c r="BA1582" s="1" t="s">
        <v>285</v>
      </c>
      <c r="BE1582" s="1" t="s">
        <v>285</v>
      </c>
      <c r="BI1582" s="1" t="s">
        <v>285</v>
      </c>
    </row>
    <row r="1583" spans="1:61">
      <c r="A1583" s="6">
        <v>11</v>
      </c>
      <c r="B1583" s="1" t="s">
        <v>237</v>
      </c>
      <c r="C1583" s="1" t="s">
        <v>57</v>
      </c>
      <c r="D1583" s="113"/>
      <c r="E1583" s="113"/>
      <c r="F1583" s="8">
        <v>31</v>
      </c>
      <c r="G1583" s="8"/>
      <c r="H1583" s="8">
        <v>31</v>
      </c>
      <c r="I1583" s="8"/>
      <c r="L1583" s="1" t="s">
        <v>443</v>
      </c>
      <c r="BA1583" s="1" t="s">
        <v>285</v>
      </c>
      <c r="BE1583" s="1" t="s">
        <v>285</v>
      </c>
      <c r="BI1583" s="1" t="s">
        <v>285</v>
      </c>
    </row>
    <row r="1584" spans="1:61">
      <c r="B1584" s="1" t="s">
        <v>237</v>
      </c>
      <c r="C1584" s="1" t="s">
        <v>287</v>
      </c>
      <c r="D1584" s="113"/>
      <c r="E1584" s="113"/>
      <c r="F1584" s="8"/>
      <c r="G1584" s="8"/>
      <c r="H1584" s="8"/>
      <c r="I1584" s="8"/>
      <c r="Q1584" s="3"/>
      <c r="T1584" s="3"/>
      <c r="W1584" s="3"/>
      <c r="X1584" s="3">
        <v>20</v>
      </c>
      <c r="AA1584" s="3">
        <v>20</v>
      </c>
      <c r="AC1584" s="3">
        <f>AA1584-X1584</f>
        <v>0</v>
      </c>
      <c r="AD1584" s="24">
        <v>20</v>
      </c>
      <c r="AG1584" s="3">
        <v>22.55</v>
      </c>
      <c r="AI1584" s="3">
        <f>AG1584-AD1584</f>
        <v>2.5500000000000007</v>
      </c>
      <c r="AJ1584" s="3">
        <v>22.55</v>
      </c>
      <c r="AL1584" s="3">
        <f>AJ1584-AG1584</f>
        <v>0</v>
      </c>
      <c r="BA1584" s="1" t="s">
        <v>285</v>
      </c>
      <c r="BE1584" s="1" t="s">
        <v>285</v>
      </c>
      <c r="BI1584" s="1" t="s">
        <v>285</v>
      </c>
    </row>
    <row r="1585" spans="1:60" ht="9.6" customHeight="1">
      <c r="A1585" s="6">
        <v>1</v>
      </c>
      <c r="B1585" s="1" t="s">
        <v>96</v>
      </c>
      <c r="C1585" s="1" t="s">
        <v>52</v>
      </c>
      <c r="D1585" s="1" t="s">
        <v>285</v>
      </c>
      <c r="E1585" s="1"/>
      <c r="AB1585" s="1" t="s">
        <v>285</v>
      </c>
      <c r="AE1585" s="1" t="s">
        <v>285</v>
      </c>
      <c r="AK1585" s="1" t="s">
        <v>285</v>
      </c>
      <c r="AN1585" s="1" t="s">
        <v>285</v>
      </c>
      <c r="AQ1585" s="1" t="s">
        <v>285</v>
      </c>
      <c r="AT1585" s="1" t="s">
        <v>285</v>
      </c>
      <c r="AW1585" s="1" t="s">
        <v>285</v>
      </c>
      <c r="BE1585" s="1" t="s">
        <v>285</v>
      </c>
    </row>
    <row r="1586" spans="1:60">
      <c r="A1586" s="6">
        <v>3</v>
      </c>
      <c r="B1586" s="1" t="s">
        <v>96</v>
      </c>
      <c r="C1586" s="1" t="s">
        <v>54</v>
      </c>
      <c r="D1586" s="1" t="s">
        <v>285</v>
      </c>
      <c r="E1586" s="1"/>
      <c r="AB1586" s="1" t="s">
        <v>285</v>
      </c>
      <c r="AE1586" s="1" t="s">
        <v>285</v>
      </c>
      <c r="AK1586" s="1" t="s">
        <v>285</v>
      </c>
      <c r="AN1586" s="1" t="s">
        <v>285</v>
      </c>
      <c r="AQ1586" s="1" t="s">
        <v>285</v>
      </c>
      <c r="AT1586" s="1" t="s">
        <v>285</v>
      </c>
      <c r="AW1586" s="1" t="s">
        <v>285</v>
      </c>
      <c r="BE1586" s="1" t="s">
        <v>285</v>
      </c>
    </row>
    <row r="1587" spans="1:60">
      <c r="A1587" s="6">
        <v>4</v>
      </c>
      <c r="B1587" s="1" t="s">
        <v>96</v>
      </c>
      <c r="C1587" s="1" t="s">
        <v>55</v>
      </c>
      <c r="D1587" s="1" t="s">
        <v>285</v>
      </c>
      <c r="E1587" s="1"/>
      <c r="AB1587" s="1" t="s">
        <v>285</v>
      </c>
      <c r="AE1587" s="1" t="s">
        <v>285</v>
      </c>
      <c r="AK1587" s="1" t="s">
        <v>285</v>
      </c>
      <c r="AN1587" s="1" t="s">
        <v>285</v>
      </c>
      <c r="AQ1587" s="1" t="s">
        <v>285</v>
      </c>
      <c r="AT1587" s="1" t="s">
        <v>285</v>
      </c>
      <c r="AW1587" s="1" t="s">
        <v>285</v>
      </c>
      <c r="BE1587" s="1" t="s">
        <v>285</v>
      </c>
    </row>
    <row r="1588" spans="1:60">
      <c r="A1588" s="6">
        <v>5</v>
      </c>
      <c r="B1588" s="1" t="s">
        <v>96</v>
      </c>
      <c r="C1588" s="1" t="s">
        <v>56</v>
      </c>
      <c r="D1588" s="1" t="s">
        <v>285</v>
      </c>
      <c r="E1588" s="1"/>
      <c r="AB1588" s="1" t="s">
        <v>285</v>
      </c>
      <c r="AE1588" s="1" t="s">
        <v>285</v>
      </c>
      <c r="AK1588" s="1" t="s">
        <v>285</v>
      </c>
      <c r="AN1588" s="1" t="s">
        <v>285</v>
      </c>
      <c r="AQ1588" s="1" t="s">
        <v>285</v>
      </c>
      <c r="AT1588" s="1" t="s">
        <v>285</v>
      </c>
      <c r="AW1588" s="1" t="s">
        <v>285</v>
      </c>
      <c r="BE1588" s="1" t="s">
        <v>285</v>
      </c>
    </row>
    <row r="1589" spans="1:60">
      <c r="A1589" s="6">
        <v>2</v>
      </c>
      <c r="B1589" s="1" t="s">
        <v>96</v>
      </c>
      <c r="C1589" s="1" t="s">
        <v>53</v>
      </c>
      <c r="D1589" s="1" t="s">
        <v>285</v>
      </c>
      <c r="E1589" s="1"/>
      <c r="F1589" s="9">
        <v>5.9</v>
      </c>
      <c r="H1589" s="9">
        <v>5.9</v>
      </c>
      <c r="M1589" s="3">
        <v>5.9</v>
      </c>
      <c r="O1589" s="3">
        <v>5.9</v>
      </c>
      <c r="Q1589" s="3">
        <f>O1589-H1589</f>
        <v>0</v>
      </c>
      <c r="R1589" s="3">
        <v>1.3</v>
      </c>
      <c r="T1589" s="3">
        <f>R1589-O1589</f>
        <v>-4.6000000000000005</v>
      </c>
      <c r="U1589" s="3">
        <v>1.3</v>
      </c>
      <c r="W1589" s="3">
        <f>U1589-R1589</f>
        <v>0</v>
      </c>
      <c r="X1589" s="3">
        <v>16.7</v>
      </c>
      <c r="Z1589" s="3">
        <f>X1589-U1589</f>
        <v>15.399999999999999</v>
      </c>
      <c r="AB1589" s="1" t="s">
        <v>285</v>
      </c>
      <c r="AE1589" s="1" t="s">
        <v>285</v>
      </c>
      <c r="AK1589" s="1" t="s">
        <v>285</v>
      </c>
      <c r="AN1589" s="1" t="s">
        <v>285</v>
      </c>
      <c r="AQ1589" s="1" t="s">
        <v>285</v>
      </c>
      <c r="AT1589" s="1" t="s">
        <v>285</v>
      </c>
      <c r="AW1589" s="1" t="s">
        <v>285</v>
      </c>
      <c r="BE1589" s="1" t="s">
        <v>285</v>
      </c>
    </row>
    <row r="1590" spans="1:60">
      <c r="A1590" s="6">
        <v>12</v>
      </c>
      <c r="B1590" s="1" t="s">
        <v>96</v>
      </c>
      <c r="C1590" s="1" t="s">
        <v>594</v>
      </c>
      <c r="D1590" s="1" t="s">
        <v>285</v>
      </c>
      <c r="E1590" s="1"/>
      <c r="F1590" s="9">
        <v>4.9000000000000004</v>
      </c>
      <c r="H1590" s="9">
        <v>4.9000000000000004</v>
      </c>
      <c r="M1590" s="3">
        <v>4.9000000000000004</v>
      </c>
      <c r="O1590" s="3">
        <v>4.9000000000000004</v>
      </c>
      <c r="Q1590" s="3">
        <f>O1590-H1590</f>
        <v>0</v>
      </c>
      <c r="R1590" s="3">
        <v>40.6</v>
      </c>
      <c r="T1590" s="3">
        <f>R1590-O1590</f>
        <v>35.700000000000003</v>
      </c>
      <c r="U1590" s="3">
        <v>78.599999999999994</v>
      </c>
      <c r="W1590" s="3">
        <f>U1590-R1590</f>
        <v>37.999999999999993</v>
      </c>
      <c r="X1590" s="3">
        <v>13.3</v>
      </c>
      <c r="Z1590" s="3">
        <f>X1590-U1590</f>
        <v>-65.3</v>
      </c>
      <c r="AB1590" s="1" t="s">
        <v>285</v>
      </c>
      <c r="AE1590" s="1" t="s">
        <v>285</v>
      </c>
      <c r="AG1590" s="3">
        <v>12.4</v>
      </c>
      <c r="AK1590" s="1" t="s">
        <v>285</v>
      </c>
      <c r="AN1590" s="1" t="s">
        <v>285</v>
      </c>
      <c r="AQ1590" s="1" t="s">
        <v>285</v>
      </c>
      <c r="AT1590" s="1" t="s">
        <v>285</v>
      </c>
      <c r="AW1590" s="1" t="s">
        <v>285</v>
      </c>
      <c r="AY1590" s="3">
        <v>7.4</v>
      </c>
      <c r="AZ1590" s="3">
        <v>7.4</v>
      </c>
      <c r="BC1590" s="3">
        <v>39.6</v>
      </c>
      <c r="BD1590" s="3">
        <v>18.899999999999999</v>
      </c>
      <c r="BE1590" s="1" t="s">
        <v>285</v>
      </c>
      <c r="BG1590" s="3">
        <v>28</v>
      </c>
      <c r="BH1590" s="3">
        <v>21</v>
      </c>
    </row>
    <row r="1591" spans="1:60">
      <c r="A1591" s="6">
        <v>14</v>
      </c>
      <c r="B1591" s="1" t="s">
        <v>96</v>
      </c>
      <c r="C1591" s="1" t="s">
        <v>58</v>
      </c>
      <c r="D1591" s="1" t="s">
        <v>285</v>
      </c>
      <c r="E1591" s="1"/>
      <c r="F1591" s="9">
        <v>9.1199999999999992</v>
      </c>
      <c r="H1591" s="9">
        <v>9.1199999999999992</v>
      </c>
      <c r="M1591" s="3">
        <v>9.1199999999999992</v>
      </c>
      <c r="O1591" s="3">
        <v>9.1199999999999992</v>
      </c>
      <c r="Q1591" s="3">
        <f>O1591-H1591</f>
        <v>0</v>
      </c>
      <c r="R1591" s="3">
        <v>20.45</v>
      </c>
      <c r="T1591" s="3">
        <f>R1591-O1591</f>
        <v>11.33</v>
      </c>
      <c r="U1591" s="3">
        <v>20.45</v>
      </c>
      <c r="W1591" s="3">
        <f>U1591-R1591</f>
        <v>0</v>
      </c>
      <c r="X1591" s="3">
        <v>14.2</v>
      </c>
      <c r="Z1591" s="3">
        <f>X1591-U1591</f>
        <v>-6.25</v>
      </c>
      <c r="AB1591" s="1" t="s">
        <v>285</v>
      </c>
      <c r="AE1591" s="1" t="s">
        <v>285</v>
      </c>
      <c r="AK1591" s="1" t="s">
        <v>285</v>
      </c>
      <c r="AN1591" s="1" t="s">
        <v>285</v>
      </c>
      <c r="AQ1591" s="1" t="s">
        <v>285</v>
      </c>
      <c r="AT1591" s="1" t="s">
        <v>285</v>
      </c>
      <c r="AW1591" s="1" t="s">
        <v>285</v>
      </c>
      <c r="AY1591" s="3">
        <v>13.43</v>
      </c>
      <c r="AZ1591" s="3">
        <v>13.43</v>
      </c>
      <c r="BE1591" s="1" t="s">
        <v>285</v>
      </c>
      <c r="BG1591" s="3">
        <v>43</v>
      </c>
      <c r="BH1591" s="3">
        <v>43</v>
      </c>
    </row>
    <row r="1592" spans="1:60">
      <c r="B1592" s="1" t="s">
        <v>96</v>
      </c>
      <c r="C1592" s="1" t="s">
        <v>289</v>
      </c>
      <c r="D1592" s="1"/>
      <c r="E1592" s="1"/>
      <c r="Q1592" s="3"/>
      <c r="T1592" s="3"/>
      <c r="W1592" s="3"/>
      <c r="X1592" s="3">
        <v>13.8</v>
      </c>
      <c r="AB1592" s="1" t="s">
        <v>285</v>
      </c>
      <c r="AE1592" s="1" t="s">
        <v>285</v>
      </c>
      <c r="AK1592" s="1" t="s">
        <v>285</v>
      </c>
      <c r="AN1592" s="1" t="s">
        <v>285</v>
      </c>
      <c r="AQ1592" s="1" t="s">
        <v>285</v>
      </c>
      <c r="AT1592" s="1" t="s">
        <v>285</v>
      </c>
      <c r="AW1592" s="1" t="s">
        <v>285</v>
      </c>
      <c r="AY1592" s="3">
        <v>31.5</v>
      </c>
      <c r="AZ1592" s="3">
        <v>31.5</v>
      </c>
      <c r="BE1592" s="1" t="s">
        <v>285</v>
      </c>
    </row>
    <row r="1593" spans="1:60">
      <c r="B1593" s="1" t="s">
        <v>96</v>
      </c>
      <c r="C1593" s="1" t="s">
        <v>290</v>
      </c>
      <c r="D1593" s="1"/>
      <c r="E1593" s="1"/>
      <c r="Q1593" s="3"/>
      <c r="T1593" s="3"/>
      <c r="W1593" s="3"/>
      <c r="AY1593" s="3">
        <v>66.69</v>
      </c>
      <c r="AZ1593" s="3">
        <v>66.69</v>
      </c>
      <c r="BE1593" s="1" t="s">
        <v>285</v>
      </c>
    </row>
    <row r="1594" spans="1:60">
      <c r="B1594" s="1" t="s">
        <v>96</v>
      </c>
      <c r="C1594" s="1" t="s">
        <v>64</v>
      </c>
      <c r="D1594" s="1"/>
      <c r="E1594" s="1"/>
      <c r="Q1594" s="3"/>
      <c r="T1594" s="3"/>
      <c r="W1594" s="3"/>
      <c r="X1594" s="3">
        <v>19.3</v>
      </c>
      <c r="AB1594" s="1" t="s">
        <v>285</v>
      </c>
      <c r="AE1594" s="1" t="s">
        <v>285</v>
      </c>
      <c r="AK1594" s="1" t="s">
        <v>285</v>
      </c>
      <c r="AN1594" s="1" t="s">
        <v>285</v>
      </c>
      <c r="AQ1594" s="1" t="s">
        <v>285</v>
      </c>
      <c r="AT1594" s="1" t="s">
        <v>285</v>
      </c>
      <c r="AW1594" s="1" t="s">
        <v>285</v>
      </c>
      <c r="AY1594" s="3">
        <v>14.52</v>
      </c>
      <c r="AZ1594" s="3">
        <v>14.52</v>
      </c>
      <c r="BE1594" s="1" t="s">
        <v>285</v>
      </c>
      <c r="BG1594" s="3">
        <v>45.7</v>
      </c>
      <c r="BH1594" s="3">
        <v>45.7</v>
      </c>
    </row>
    <row r="1595" spans="1:60">
      <c r="B1595" s="1" t="s">
        <v>96</v>
      </c>
      <c r="C1595" s="1" t="s">
        <v>855</v>
      </c>
      <c r="D1595" s="1"/>
      <c r="E1595" s="1"/>
      <c r="Q1595" s="3"/>
      <c r="T1595" s="3"/>
      <c r="W1595" s="3"/>
      <c r="BG1595" s="3">
        <v>45.71</v>
      </c>
      <c r="BH1595" s="3">
        <v>45.7</v>
      </c>
    </row>
    <row r="1596" spans="1:60" ht="9.6" customHeight="1">
      <c r="B1596" s="1" t="s">
        <v>96</v>
      </c>
      <c r="C1596" s="1" t="s">
        <v>865</v>
      </c>
      <c r="D1596" s="1"/>
      <c r="E1596" s="1"/>
      <c r="Q1596" s="3"/>
      <c r="T1596" s="3"/>
      <c r="W1596" s="3"/>
      <c r="AY1596" s="3">
        <v>15.6</v>
      </c>
      <c r="AZ1596" s="3">
        <v>15.6</v>
      </c>
      <c r="BE1596" s="1" t="s">
        <v>285</v>
      </c>
      <c r="BG1596" s="3">
        <v>45.7</v>
      </c>
      <c r="BH1596" s="3">
        <v>45.7</v>
      </c>
    </row>
    <row r="1597" spans="1:60">
      <c r="B1597" s="1" t="s">
        <v>96</v>
      </c>
      <c r="C1597" s="1" t="s">
        <v>866</v>
      </c>
      <c r="D1597" s="1"/>
      <c r="E1597" s="1"/>
      <c r="Q1597" s="3"/>
      <c r="T1597" s="3"/>
      <c r="W1597" s="3"/>
      <c r="AY1597" s="3">
        <v>15.6</v>
      </c>
      <c r="AZ1597" s="3">
        <v>15.6</v>
      </c>
      <c r="BE1597" s="1" t="s">
        <v>285</v>
      </c>
      <c r="BG1597" s="3">
        <v>45.7</v>
      </c>
      <c r="BH1597" s="3">
        <v>45.7</v>
      </c>
    </row>
    <row r="1598" spans="1:60">
      <c r="A1598" s="6">
        <v>11</v>
      </c>
      <c r="B1598" s="1" t="s">
        <v>96</v>
      </c>
      <c r="C1598" s="1" t="s">
        <v>57</v>
      </c>
      <c r="D1598" s="1" t="s">
        <v>285</v>
      </c>
      <c r="E1598" s="1"/>
      <c r="F1598" s="9">
        <v>15.2</v>
      </c>
      <c r="H1598" s="9">
        <v>15.2</v>
      </c>
      <c r="M1598" s="3">
        <v>15.2</v>
      </c>
      <c r="O1598" s="3">
        <v>15.2</v>
      </c>
      <c r="Q1598" s="3">
        <f>O1598-H1598</f>
        <v>0</v>
      </c>
      <c r="R1598" s="3">
        <v>0.6</v>
      </c>
      <c r="T1598" s="3">
        <f>R1598-O1598</f>
        <v>-14.6</v>
      </c>
      <c r="U1598" s="3">
        <v>0.6</v>
      </c>
      <c r="W1598" s="3">
        <f>U1598-R1598</f>
        <v>0</v>
      </c>
      <c r="AB1598" s="1" t="s">
        <v>285</v>
      </c>
      <c r="AE1598" s="1" t="s">
        <v>285</v>
      </c>
      <c r="AK1598" s="1" t="s">
        <v>285</v>
      </c>
      <c r="AN1598" s="1" t="s">
        <v>285</v>
      </c>
      <c r="AQ1598" s="1" t="s">
        <v>285</v>
      </c>
      <c r="AT1598" s="1" t="s">
        <v>285</v>
      </c>
      <c r="AW1598" s="1" t="s">
        <v>285</v>
      </c>
      <c r="BE1598" s="1" t="s">
        <v>285</v>
      </c>
    </row>
    <row r="1599" spans="1:60">
      <c r="B1599" s="1" t="s">
        <v>96</v>
      </c>
      <c r="C1599" s="1" t="s">
        <v>287</v>
      </c>
      <c r="D1599" s="1"/>
      <c r="E1599" s="1"/>
      <c r="Q1599" s="3"/>
      <c r="T1599" s="3"/>
      <c r="W1599" s="3"/>
      <c r="AY1599" s="3">
        <v>13.4</v>
      </c>
      <c r="AZ1599" s="3">
        <v>13.4</v>
      </c>
      <c r="BE1599" s="1" t="s">
        <v>285</v>
      </c>
      <c r="BG1599" s="3">
        <v>47</v>
      </c>
      <c r="BH1599" s="3">
        <v>47</v>
      </c>
    </row>
    <row r="1600" spans="1:60">
      <c r="A1600" s="6">
        <v>1</v>
      </c>
      <c r="B1600" s="1" t="s">
        <v>97</v>
      </c>
      <c r="C1600" s="1" t="s">
        <v>52</v>
      </c>
      <c r="D1600" s="1"/>
      <c r="E1600" s="1"/>
      <c r="M1600" s="3">
        <v>0</v>
      </c>
      <c r="O1600" s="3">
        <v>0</v>
      </c>
      <c r="S1600" s="1" t="s">
        <v>285</v>
      </c>
      <c r="V1600" s="1" t="s">
        <v>285</v>
      </c>
      <c r="Y1600" s="1" t="s">
        <v>285</v>
      </c>
      <c r="AH1600" s="1" t="s">
        <v>285</v>
      </c>
    </row>
    <row r="1601" spans="1:61">
      <c r="A1601" s="6">
        <v>3</v>
      </c>
      <c r="B1601" s="1" t="s">
        <v>97</v>
      </c>
      <c r="C1601" s="1" t="s">
        <v>54</v>
      </c>
      <c r="D1601" s="1"/>
      <c r="E1601" s="1"/>
      <c r="M1601" s="3">
        <v>0</v>
      </c>
      <c r="O1601" s="3">
        <v>0</v>
      </c>
      <c r="S1601" s="1" t="s">
        <v>285</v>
      </c>
      <c r="V1601" s="1" t="s">
        <v>285</v>
      </c>
      <c r="Y1601" s="1" t="s">
        <v>285</v>
      </c>
      <c r="AH1601" s="1" t="s">
        <v>285</v>
      </c>
    </row>
    <row r="1602" spans="1:61">
      <c r="A1602" s="6">
        <v>4</v>
      </c>
      <c r="B1602" s="1" t="s">
        <v>97</v>
      </c>
      <c r="C1602" s="1" t="s">
        <v>55</v>
      </c>
      <c r="D1602" s="1"/>
      <c r="E1602" s="1"/>
      <c r="M1602" s="3">
        <v>0</v>
      </c>
      <c r="O1602" s="3">
        <v>0</v>
      </c>
      <c r="S1602" s="1" t="s">
        <v>285</v>
      </c>
      <c r="V1602" s="1" t="s">
        <v>285</v>
      </c>
      <c r="Y1602" s="1" t="s">
        <v>285</v>
      </c>
      <c r="AH1602" s="1" t="s">
        <v>285</v>
      </c>
    </row>
    <row r="1603" spans="1:61">
      <c r="A1603" s="6">
        <v>5</v>
      </c>
      <c r="B1603" s="1" t="s">
        <v>97</v>
      </c>
      <c r="C1603" s="1" t="s">
        <v>56</v>
      </c>
      <c r="D1603" s="1"/>
      <c r="E1603" s="1"/>
      <c r="M1603" s="3">
        <v>0</v>
      </c>
      <c r="O1603" s="3">
        <v>0</v>
      </c>
      <c r="S1603" s="1" t="s">
        <v>285</v>
      </c>
      <c r="V1603" s="1" t="s">
        <v>285</v>
      </c>
      <c r="Y1603" s="1" t="s">
        <v>285</v>
      </c>
      <c r="AH1603" s="1" t="s">
        <v>285</v>
      </c>
    </row>
    <row r="1604" spans="1:61">
      <c r="A1604" s="6">
        <v>2</v>
      </c>
      <c r="B1604" s="1" t="s">
        <v>97</v>
      </c>
      <c r="C1604" s="1" t="s">
        <v>53</v>
      </c>
      <c r="D1604" s="1"/>
      <c r="E1604" s="1"/>
      <c r="M1604" s="3">
        <v>0</v>
      </c>
      <c r="O1604" s="3">
        <v>0</v>
      </c>
      <c r="S1604" s="1" t="s">
        <v>285</v>
      </c>
      <c r="V1604" s="1" t="s">
        <v>285</v>
      </c>
      <c r="Y1604" s="1" t="s">
        <v>285</v>
      </c>
      <c r="AH1604" s="1" t="s">
        <v>285</v>
      </c>
    </row>
    <row r="1605" spans="1:61">
      <c r="A1605" s="6">
        <v>12</v>
      </c>
      <c r="B1605" s="1" t="s">
        <v>97</v>
      </c>
      <c r="C1605" s="1" t="s">
        <v>594</v>
      </c>
      <c r="D1605" s="1"/>
      <c r="E1605" s="1"/>
      <c r="M1605" s="3">
        <v>3</v>
      </c>
      <c r="O1605" s="3">
        <v>3</v>
      </c>
      <c r="Q1605" s="3"/>
      <c r="S1605" s="1" t="s">
        <v>285</v>
      </c>
      <c r="V1605" s="1" t="s">
        <v>285</v>
      </c>
      <c r="Y1605" s="1" t="s">
        <v>285</v>
      </c>
      <c r="AA1605" s="3">
        <v>3.9</v>
      </c>
      <c r="AD1605" s="24">
        <v>3.02</v>
      </c>
      <c r="AH1605" s="1" t="s">
        <v>285</v>
      </c>
      <c r="AJ1605" s="3">
        <v>2.2999999999999998</v>
      </c>
      <c r="AM1605" s="3">
        <v>2.97</v>
      </c>
      <c r="AO1605" s="3">
        <f>AM1605-AJ1605</f>
        <v>0.67000000000000037</v>
      </c>
      <c r="AP1605" s="3">
        <v>3</v>
      </c>
      <c r="AS1605" s="3">
        <v>4.3</v>
      </c>
      <c r="AV1605" s="3">
        <v>4.3</v>
      </c>
      <c r="AZ1605" s="3">
        <v>4.7</v>
      </c>
      <c r="BA1605" s="1" t="s">
        <v>852</v>
      </c>
      <c r="BC1605" s="3">
        <v>4.7</v>
      </c>
      <c r="BD1605" s="3">
        <v>4.99</v>
      </c>
      <c r="BE1605" s="1" t="s">
        <v>852</v>
      </c>
      <c r="BG1605" s="3">
        <v>4.99</v>
      </c>
      <c r="BH1605" s="3">
        <v>6.04</v>
      </c>
      <c r="BI1605" s="1" t="s">
        <v>852</v>
      </c>
    </row>
    <row r="1606" spans="1:61">
      <c r="A1606" s="6">
        <v>14</v>
      </c>
      <c r="B1606" s="1" t="s">
        <v>97</v>
      </c>
      <c r="C1606" s="1" t="s">
        <v>58</v>
      </c>
      <c r="D1606" s="1"/>
      <c r="E1606" s="1"/>
      <c r="M1606" s="3">
        <v>7.5</v>
      </c>
      <c r="O1606" s="3">
        <v>7.5</v>
      </c>
      <c r="Q1606" s="3"/>
      <c r="S1606" s="1" t="s">
        <v>285</v>
      </c>
      <c r="V1606" s="1" t="s">
        <v>285</v>
      </c>
      <c r="Y1606" s="1" t="s">
        <v>285</v>
      </c>
      <c r="AD1606" s="24">
        <v>3</v>
      </c>
      <c r="AH1606" s="1" t="s">
        <v>285</v>
      </c>
      <c r="AJ1606" s="3">
        <v>3.8</v>
      </c>
      <c r="AM1606" s="3">
        <v>2.97</v>
      </c>
      <c r="AO1606" s="3">
        <f>AM1606-AJ1606</f>
        <v>-0.82999999999999963</v>
      </c>
      <c r="AP1606" s="3">
        <v>3</v>
      </c>
      <c r="AS1606" s="3">
        <v>6.7</v>
      </c>
      <c r="AV1606" s="3">
        <v>6.7</v>
      </c>
      <c r="AZ1606" s="3">
        <v>6.5</v>
      </c>
      <c r="BA1606" s="1" t="s">
        <v>852</v>
      </c>
      <c r="BC1606" s="3">
        <v>6.5</v>
      </c>
      <c r="BD1606" s="3">
        <v>7.88</v>
      </c>
      <c r="BE1606" s="1" t="s">
        <v>852</v>
      </c>
      <c r="BG1606" s="3">
        <v>7.88</v>
      </c>
      <c r="BH1606" s="3">
        <v>7.19</v>
      </c>
      <c r="BI1606" s="1" t="s">
        <v>852</v>
      </c>
    </row>
    <row r="1607" spans="1:61">
      <c r="B1607" s="1" t="s">
        <v>97</v>
      </c>
      <c r="C1607" s="1" t="s">
        <v>857</v>
      </c>
      <c r="D1607" s="1"/>
      <c r="E1607" s="1"/>
      <c r="AO1607" s="3"/>
      <c r="AZ1607" s="3">
        <v>18.7</v>
      </c>
      <c r="BA1607" s="1" t="s">
        <v>852</v>
      </c>
      <c r="BC1607" s="3">
        <v>18.7</v>
      </c>
      <c r="BD1607" s="3">
        <v>18.57</v>
      </c>
      <c r="BE1607" s="1" t="s">
        <v>852</v>
      </c>
      <c r="BG1607" s="3">
        <v>18.57</v>
      </c>
      <c r="BH1607" s="3">
        <v>8.11</v>
      </c>
      <c r="BI1607" s="1" t="s">
        <v>852</v>
      </c>
    </row>
    <row r="1608" spans="1:61">
      <c r="B1608" s="1" t="s">
        <v>97</v>
      </c>
      <c r="C1608" s="1" t="s">
        <v>64</v>
      </c>
      <c r="D1608" s="1"/>
      <c r="E1608" s="1"/>
      <c r="Q1608" s="3"/>
      <c r="AA1608" s="3">
        <v>8</v>
      </c>
      <c r="AD1608" s="24">
        <v>3.2</v>
      </c>
      <c r="AH1608" s="1" t="s">
        <v>285</v>
      </c>
      <c r="AJ1608" s="3">
        <v>3.8</v>
      </c>
      <c r="AM1608" s="3">
        <v>2.97</v>
      </c>
      <c r="AO1608" s="3">
        <f>AM1608-AJ1608</f>
        <v>-0.82999999999999963</v>
      </c>
      <c r="AP1608" s="3">
        <v>3.1</v>
      </c>
      <c r="AS1608" s="3">
        <v>9.8000000000000007</v>
      </c>
      <c r="AV1608" s="3">
        <v>9.8000000000000007</v>
      </c>
      <c r="AZ1608" s="3">
        <v>13.3</v>
      </c>
      <c r="BA1608" s="1" t="s">
        <v>852</v>
      </c>
      <c r="BC1608" s="3">
        <v>13.3</v>
      </c>
      <c r="BD1608" s="3">
        <v>8.85</v>
      </c>
      <c r="BE1608" s="1" t="s">
        <v>852</v>
      </c>
      <c r="BG1608" s="3">
        <v>8.85</v>
      </c>
      <c r="BH1608" s="3">
        <v>11.23</v>
      </c>
      <c r="BI1608" s="1" t="s">
        <v>852</v>
      </c>
    </row>
    <row r="1609" spans="1:61">
      <c r="B1609" s="1" t="s">
        <v>97</v>
      </c>
      <c r="C1609" s="1" t="s">
        <v>286</v>
      </c>
      <c r="D1609" s="1"/>
      <c r="E1609" s="1"/>
      <c r="AD1609" s="24">
        <v>3.2</v>
      </c>
      <c r="AH1609" s="1" t="s">
        <v>285</v>
      </c>
      <c r="AJ1609" s="3">
        <v>3.8</v>
      </c>
      <c r="AM1609" s="3">
        <v>3.12</v>
      </c>
      <c r="AO1609" s="3">
        <f>AM1609-AJ1609</f>
        <v>-0.67999999999999972</v>
      </c>
      <c r="AP1609" s="3">
        <v>3.1</v>
      </c>
      <c r="AS1609" s="3">
        <v>11.4</v>
      </c>
      <c r="AV1609" s="3">
        <v>11.4</v>
      </c>
      <c r="AZ1609" s="3">
        <v>13.3</v>
      </c>
      <c r="BA1609" s="1" t="s">
        <v>852</v>
      </c>
      <c r="BC1609" s="3">
        <v>13.3</v>
      </c>
      <c r="BD1609" s="3">
        <v>13.21</v>
      </c>
      <c r="BE1609" s="1" t="s">
        <v>852</v>
      </c>
      <c r="BG1609" s="3">
        <v>13.21</v>
      </c>
      <c r="BH1609" s="3">
        <v>8.66</v>
      </c>
      <c r="BI1609" s="1" t="s">
        <v>852</v>
      </c>
    </row>
    <row r="1610" spans="1:61">
      <c r="B1610" s="1" t="s">
        <v>97</v>
      </c>
      <c r="C1610" s="1" t="s">
        <v>288</v>
      </c>
      <c r="D1610" s="1"/>
      <c r="E1610" s="1"/>
      <c r="Q1610" s="3"/>
      <c r="AA1610" s="3">
        <v>8</v>
      </c>
      <c r="AD1610" s="24">
        <v>3.2</v>
      </c>
      <c r="AH1610" s="1" t="s">
        <v>285</v>
      </c>
      <c r="AJ1610" s="3">
        <v>3.8</v>
      </c>
      <c r="AM1610" s="3">
        <v>3.12</v>
      </c>
      <c r="AO1610" s="3">
        <f>AM1610-AJ1610</f>
        <v>-0.67999999999999972</v>
      </c>
      <c r="AP1610" s="3">
        <v>3.1</v>
      </c>
      <c r="AS1610" s="3">
        <v>11.4</v>
      </c>
      <c r="AV1610" s="3">
        <v>11.4</v>
      </c>
      <c r="AZ1610" s="3">
        <v>11.2</v>
      </c>
      <c r="BA1610" s="1" t="s">
        <v>852</v>
      </c>
      <c r="BC1610" s="3">
        <v>11.2</v>
      </c>
      <c r="BD1610" s="3">
        <v>8.93</v>
      </c>
      <c r="BE1610" s="1" t="s">
        <v>852</v>
      </c>
      <c r="BG1610" s="3">
        <v>8.93</v>
      </c>
      <c r="BH1610" s="3">
        <v>8.1999999999999993</v>
      </c>
      <c r="BI1610" s="1" t="s">
        <v>852</v>
      </c>
    </row>
    <row r="1611" spans="1:61">
      <c r="A1611" s="6">
        <v>11</v>
      </c>
      <c r="B1611" s="1" t="s">
        <v>97</v>
      </c>
      <c r="C1611" s="1" t="s">
        <v>57</v>
      </c>
      <c r="D1611" s="1"/>
      <c r="E1611" s="1"/>
      <c r="M1611" s="3">
        <v>0</v>
      </c>
      <c r="O1611" s="3">
        <v>0</v>
      </c>
      <c r="S1611" s="1" t="s">
        <v>285</v>
      </c>
      <c r="V1611" s="1" t="s">
        <v>285</v>
      </c>
      <c r="Y1611" s="1" t="s">
        <v>285</v>
      </c>
      <c r="AH1611" s="1" t="s">
        <v>285</v>
      </c>
    </row>
    <row r="1612" spans="1:61">
      <c r="B1612" s="1" t="s">
        <v>97</v>
      </c>
      <c r="C1612" s="1" t="s">
        <v>287</v>
      </c>
      <c r="D1612" s="1"/>
      <c r="E1612" s="1"/>
      <c r="AD1612" s="24">
        <v>3.2</v>
      </c>
      <c r="AH1612" s="1" t="s">
        <v>285</v>
      </c>
      <c r="AJ1612" s="3">
        <v>3.8</v>
      </c>
      <c r="AM1612" s="3">
        <v>3.12</v>
      </c>
      <c r="AO1612" s="3">
        <f>AM1612-AJ1612</f>
        <v>-0.67999999999999972</v>
      </c>
      <c r="AP1612" s="3">
        <v>3.1</v>
      </c>
    </row>
    <row r="1613" spans="1:61">
      <c r="A1613" s="6">
        <v>1</v>
      </c>
      <c r="B1613" s="103" t="s">
        <v>98</v>
      </c>
      <c r="C1613" s="1" t="s">
        <v>52</v>
      </c>
      <c r="D1613" s="113" t="s">
        <v>685</v>
      </c>
      <c r="E1613" s="113"/>
      <c r="F1613" s="8">
        <v>0</v>
      </c>
      <c r="G1613" s="8"/>
      <c r="H1613" s="8">
        <v>0</v>
      </c>
      <c r="I1613" s="8"/>
      <c r="M1613" s="3">
        <v>0</v>
      </c>
      <c r="O1613" s="3">
        <v>0</v>
      </c>
      <c r="AE1613" s="1" t="s">
        <v>285</v>
      </c>
    </row>
    <row r="1614" spans="1:61">
      <c r="A1614" s="6">
        <v>3</v>
      </c>
      <c r="B1614" s="103" t="s">
        <v>98</v>
      </c>
      <c r="C1614" s="1" t="s">
        <v>54</v>
      </c>
      <c r="D1614" s="113" t="s">
        <v>685</v>
      </c>
      <c r="E1614" s="113"/>
      <c r="F1614" s="8">
        <v>0</v>
      </c>
      <c r="G1614" s="8"/>
      <c r="H1614" s="8">
        <v>0</v>
      </c>
      <c r="I1614" s="8"/>
      <c r="M1614" s="3">
        <v>0</v>
      </c>
      <c r="O1614" s="3">
        <v>0</v>
      </c>
      <c r="AE1614" s="1" t="s">
        <v>285</v>
      </c>
    </row>
    <row r="1615" spans="1:61">
      <c r="A1615" s="6">
        <v>4</v>
      </c>
      <c r="B1615" s="103" t="s">
        <v>98</v>
      </c>
      <c r="C1615" s="1" t="s">
        <v>55</v>
      </c>
      <c r="D1615" s="113" t="s">
        <v>685</v>
      </c>
      <c r="E1615" s="113"/>
      <c r="F1615" s="8">
        <v>0</v>
      </c>
      <c r="G1615" s="8"/>
      <c r="H1615" s="8">
        <v>0</v>
      </c>
      <c r="I1615" s="8"/>
      <c r="M1615" s="3">
        <v>0</v>
      </c>
      <c r="O1615" s="3">
        <v>0</v>
      </c>
      <c r="AE1615" s="1" t="s">
        <v>285</v>
      </c>
    </row>
    <row r="1616" spans="1:61">
      <c r="A1616" s="6">
        <v>5</v>
      </c>
      <c r="B1616" s="103" t="s">
        <v>98</v>
      </c>
      <c r="C1616" s="1" t="s">
        <v>56</v>
      </c>
      <c r="D1616" s="113" t="s">
        <v>685</v>
      </c>
      <c r="E1616" s="113"/>
      <c r="F1616" s="8">
        <v>0</v>
      </c>
      <c r="G1616" s="8"/>
      <c r="H1616" s="8">
        <v>0</v>
      </c>
      <c r="I1616" s="8"/>
      <c r="M1616" s="3">
        <v>0</v>
      </c>
      <c r="O1616" s="3">
        <v>0</v>
      </c>
      <c r="AE1616" s="1" t="s">
        <v>285</v>
      </c>
    </row>
    <row r="1617" spans="1:60">
      <c r="A1617" s="6">
        <v>2</v>
      </c>
      <c r="B1617" s="103" t="s">
        <v>98</v>
      </c>
      <c r="C1617" s="1" t="s">
        <v>53</v>
      </c>
      <c r="D1617" s="113" t="s">
        <v>219</v>
      </c>
      <c r="E1617" s="113"/>
      <c r="F1617" s="8">
        <v>5</v>
      </c>
      <c r="G1617" s="8"/>
      <c r="H1617" s="8">
        <v>5</v>
      </c>
      <c r="I1617" s="8">
        <f>H1617-D1617</f>
        <v>-0.12999999999999989</v>
      </c>
      <c r="K1617" s="3"/>
      <c r="M1617" s="3">
        <v>0</v>
      </c>
      <c r="O1617" s="3">
        <v>0</v>
      </c>
      <c r="Q1617" s="3"/>
      <c r="AE1617" s="1" t="s">
        <v>285</v>
      </c>
    </row>
    <row r="1618" spans="1:60">
      <c r="B1618" s="103" t="s">
        <v>98</v>
      </c>
      <c r="C1618" s="1" t="s">
        <v>595</v>
      </c>
      <c r="D1618" s="113"/>
      <c r="E1618" s="113"/>
      <c r="F1618" s="8"/>
      <c r="G1618" s="8"/>
      <c r="H1618" s="8"/>
      <c r="K1618" s="3"/>
      <c r="M1618" s="3">
        <v>5.2</v>
      </c>
      <c r="O1618" s="3">
        <v>5.2</v>
      </c>
      <c r="Q1618" s="3"/>
      <c r="U1618" s="3">
        <v>5.6</v>
      </c>
      <c r="AE1618" s="1" t="s">
        <v>285</v>
      </c>
      <c r="AM1618" s="3">
        <v>6.35</v>
      </c>
    </row>
    <row r="1619" spans="1:60">
      <c r="B1619" s="103" t="s">
        <v>98</v>
      </c>
      <c r="C1619" s="1" t="s">
        <v>700</v>
      </c>
      <c r="D1619" s="113"/>
      <c r="E1619" s="113"/>
      <c r="F1619" s="8"/>
      <c r="G1619" s="8"/>
      <c r="H1619" s="8"/>
      <c r="K1619" s="3"/>
      <c r="Q1619" s="3"/>
      <c r="AM1619" s="3">
        <v>6.35</v>
      </c>
    </row>
    <row r="1620" spans="1:60" ht="10.8" customHeight="1">
      <c r="B1620" s="103" t="s">
        <v>98</v>
      </c>
      <c r="C1620" s="1" t="s">
        <v>596</v>
      </c>
      <c r="D1620" s="113"/>
      <c r="E1620" s="113"/>
      <c r="F1620" s="8"/>
      <c r="G1620" s="8"/>
      <c r="H1620" s="8"/>
      <c r="K1620" s="3"/>
      <c r="Q1620" s="3"/>
      <c r="AA1620" s="3">
        <v>6.25</v>
      </c>
      <c r="AE1620" s="1" t="s">
        <v>285</v>
      </c>
    </row>
    <row r="1621" spans="1:60">
      <c r="A1621" s="6">
        <v>12</v>
      </c>
      <c r="B1621" s="103" t="s">
        <v>98</v>
      </c>
      <c r="C1621" s="1" t="s">
        <v>594</v>
      </c>
      <c r="D1621" s="113" t="s">
        <v>220</v>
      </c>
      <c r="E1621" s="113"/>
      <c r="F1621" s="8">
        <v>3.67</v>
      </c>
      <c r="G1621" s="8"/>
      <c r="H1621" s="8">
        <v>3.67</v>
      </c>
      <c r="I1621" s="8">
        <f>H1621-D1621</f>
        <v>-0.12999999999999989</v>
      </c>
      <c r="K1621" s="3"/>
      <c r="M1621" s="3">
        <v>3.11</v>
      </c>
      <c r="O1621" s="3">
        <v>3.11</v>
      </c>
      <c r="Q1621" s="3">
        <f>O1621-H1621</f>
        <v>-0.56000000000000005</v>
      </c>
      <c r="R1621" s="3">
        <v>3.11</v>
      </c>
      <c r="T1621" s="3">
        <f>R1621-O1621</f>
        <v>0</v>
      </c>
      <c r="U1621" s="3">
        <v>3.62</v>
      </c>
      <c r="W1621" s="3">
        <f>U1621-R1621</f>
        <v>0.51000000000000023</v>
      </c>
      <c r="X1621" s="3">
        <v>5.8</v>
      </c>
      <c r="AA1621" s="3">
        <v>4.5999999999999996</v>
      </c>
      <c r="AC1621" s="3">
        <f>AA1621-X1621</f>
        <v>-1.2000000000000002</v>
      </c>
      <c r="AE1621" s="1" t="s">
        <v>285</v>
      </c>
      <c r="AG1621" s="3">
        <v>5.71</v>
      </c>
      <c r="AJ1621" s="3">
        <v>110.2</v>
      </c>
      <c r="AL1621" s="3">
        <f>AJ1621-AG1621</f>
        <v>104.49000000000001</v>
      </c>
      <c r="AM1621" s="3">
        <v>12.49</v>
      </c>
      <c r="AO1621" s="3">
        <f>AM1621-AJ1621</f>
        <v>-97.710000000000008</v>
      </c>
      <c r="AP1621" s="3">
        <v>13.38</v>
      </c>
      <c r="AS1621" s="3">
        <v>14.2</v>
      </c>
      <c r="AV1621" s="3">
        <v>15</v>
      </c>
      <c r="AZ1621" s="3">
        <v>15</v>
      </c>
      <c r="BD1621" s="3">
        <v>15</v>
      </c>
      <c r="BH1621" s="3">
        <v>17</v>
      </c>
    </row>
    <row r="1622" spans="1:60">
      <c r="A1622" s="6">
        <v>14</v>
      </c>
      <c r="B1622" s="103" t="s">
        <v>98</v>
      </c>
      <c r="C1622" s="1" t="s">
        <v>58</v>
      </c>
      <c r="D1622" s="113" t="s">
        <v>221</v>
      </c>
      <c r="E1622" s="113"/>
      <c r="F1622" s="8">
        <v>7.73</v>
      </c>
      <c r="G1622" s="8"/>
      <c r="H1622" s="8">
        <v>7.73</v>
      </c>
      <c r="I1622" s="9">
        <f>H1622-D1622</f>
        <v>-1.5399999999999991</v>
      </c>
      <c r="K1622" s="3"/>
      <c r="M1622" s="3">
        <v>8.34</v>
      </c>
      <c r="O1622" s="3">
        <v>8.34</v>
      </c>
      <c r="Q1622" s="3">
        <f>O1622-H1622</f>
        <v>0.60999999999999943</v>
      </c>
      <c r="R1622" s="3">
        <v>8.34</v>
      </c>
      <c r="T1622" s="3">
        <f>R1622-O1622</f>
        <v>0</v>
      </c>
      <c r="U1622" s="3">
        <v>8.1300000000000008</v>
      </c>
      <c r="W1622" s="3">
        <f>U1622-R1622</f>
        <v>-0.20999999999999908</v>
      </c>
      <c r="X1622" s="3">
        <v>8.67</v>
      </c>
      <c r="AA1622" s="3">
        <v>11.05</v>
      </c>
      <c r="AC1622" s="3">
        <f>AA1622-X1622</f>
        <v>2.3800000000000008</v>
      </c>
      <c r="AE1622" s="1" t="s">
        <v>285</v>
      </c>
      <c r="AG1622" s="3">
        <v>5.99</v>
      </c>
      <c r="AJ1622" s="3">
        <v>65.7</v>
      </c>
      <c r="AL1622" s="3">
        <f>AJ1622-AG1622</f>
        <v>59.71</v>
      </c>
      <c r="AM1622" s="3">
        <v>7.49</v>
      </c>
      <c r="AO1622" s="3">
        <f>AM1622-AJ1622</f>
        <v>-58.21</v>
      </c>
      <c r="AP1622" s="3">
        <v>8.32</v>
      </c>
      <c r="AS1622" s="3">
        <v>9</v>
      </c>
      <c r="AV1622" s="3">
        <v>10</v>
      </c>
      <c r="AZ1622" s="3">
        <v>10</v>
      </c>
      <c r="BD1622" s="3">
        <v>10</v>
      </c>
      <c r="BH1622" s="3">
        <v>12</v>
      </c>
    </row>
    <row r="1623" spans="1:60">
      <c r="B1623" s="103" t="s">
        <v>98</v>
      </c>
      <c r="C1623" s="1" t="s">
        <v>289</v>
      </c>
      <c r="D1623" s="113"/>
      <c r="E1623" s="113"/>
      <c r="F1623" s="8"/>
      <c r="G1623" s="8"/>
      <c r="H1623" s="8"/>
      <c r="K1623" s="3"/>
      <c r="M1623" s="3">
        <v>9.6</v>
      </c>
      <c r="O1623" s="3">
        <v>9.6</v>
      </c>
      <c r="Q1623" s="3"/>
      <c r="AE1623" s="1" t="s">
        <v>285</v>
      </c>
      <c r="AG1623" s="3">
        <v>5.97</v>
      </c>
      <c r="AM1623" s="3">
        <v>7.49</v>
      </c>
      <c r="AP1623" s="3">
        <v>7.5</v>
      </c>
      <c r="AS1623" s="3">
        <v>8</v>
      </c>
      <c r="AV1623" s="3">
        <v>9</v>
      </c>
    </row>
    <row r="1624" spans="1:60">
      <c r="B1624" s="103" t="s">
        <v>98</v>
      </c>
      <c r="C1624" s="1" t="s">
        <v>290</v>
      </c>
      <c r="D1624" s="113"/>
      <c r="E1624" s="113"/>
      <c r="F1624" s="8"/>
      <c r="G1624" s="8"/>
      <c r="H1624" s="8"/>
      <c r="K1624" s="3"/>
      <c r="Q1624" s="3"/>
      <c r="AJ1624" s="3">
        <v>156.25</v>
      </c>
      <c r="AM1624" s="3">
        <v>9.24</v>
      </c>
      <c r="AO1624" s="3">
        <f>AM1624-AJ1624</f>
        <v>-147.01</v>
      </c>
      <c r="AP1624" s="3">
        <v>10</v>
      </c>
      <c r="AS1624" s="3">
        <v>11</v>
      </c>
      <c r="AV1624" s="3">
        <v>12</v>
      </c>
      <c r="AZ1624" s="3">
        <v>12</v>
      </c>
      <c r="BD1624" s="3">
        <v>12</v>
      </c>
    </row>
    <row r="1625" spans="1:60" ht="9" customHeight="1">
      <c r="B1625" s="103" t="s">
        <v>98</v>
      </c>
      <c r="C1625" s="1" t="s">
        <v>64</v>
      </c>
      <c r="D1625" s="113"/>
      <c r="E1625" s="113"/>
      <c r="F1625" s="8"/>
      <c r="G1625" s="8"/>
      <c r="H1625" s="8"/>
      <c r="K1625" s="3"/>
      <c r="M1625" s="3">
        <v>6.5</v>
      </c>
      <c r="O1625" s="3">
        <v>6.5</v>
      </c>
      <c r="Q1625" s="3"/>
      <c r="U1625" s="3">
        <v>10.9</v>
      </c>
      <c r="X1625" s="3">
        <v>11.2</v>
      </c>
      <c r="AA1625" s="3">
        <v>10.9</v>
      </c>
      <c r="AC1625" s="3">
        <f>AA1625-X1625</f>
        <v>-0.29999999999999893</v>
      </c>
      <c r="AE1625" s="1" t="s">
        <v>285</v>
      </c>
      <c r="AG1625" s="3">
        <v>7.03</v>
      </c>
      <c r="AJ1625" s="3">
        <v>85.4</v>
      </c>
      <c r="AL1625" s="3">
        <f>AJ1625-AG1625</f>
        <v>78.37</v>
      </c>
      <c r="AM1625" s="3">
        <v>13.49</v>
      </c>
      <c r="AO1625" s="3">
        <f>AM1625-AJ1625</f>
        <v>-71.910000000000011</v>
      </c>
      <c r="AP1625" s="3">
        <v>14.59</v>
      </c>
      <c r="AS1625" s="3">
        <v>15</v>
      </c>
      <c r="AV1625" s="3">
        <v>16</v>
      </c>
      <c r="AZ1625" s="3">
        <v>16</v>
      </c>
      <c r="BD1625" s="3">
        <v>16</v>
      </c>
      <c r="BH1625" s="3">
        <v>18</v>
      </c>
    </row>
    <row r="1626" spans="1:60" ht="9" customHeight="1">
      <c r="B1626" s="103" t="s">
        <v>98</v>
      </c>
      <c r="C1626" s="1" t="s">
        <v>855</v>
      </c>
      <c r="D1626" s="113"/>
      <c r="E1626" s="113"/>
      <c r="F1626" s="8"/>
      <c r="G1626" s="8"/>
      <c r="H1626" s="8"/>
      <c r="K1626" s="3"/>
      <c r="Q1626" s="3"/>
      <c r="AC1626" s="3"/>
      <c r="AL1626" s="3"/>
      <c r="AO1626" s="3"/>
      <c r="BH1626" s="3">
        <v>14</v>
      </c>
    </row>
    <row r="1627" spans="1:60">
      <c r="B1627" s="103" t="s">
        <v>98</v>
      </c>
      <c r="C1627" s="1" t="s">
        <v>286</v>
      </c>
      <c r="D1627" s="113"/>
      <c r="E1627" s="113"/>
      <c r="F1627" s="8"/>
      <c r="G1627" s="8"/>
      <c r="H1627" s="8"/>
      <c r="K1627" s="3"/>
      <c r="M1627" s="3">
        <v>7.45</v>
      </c>
      <c r="O1627" s="3">
        <v>7.45</v>
      </c>
      <c r="Q1627" s="3"/>
      <c r="U1627" s="3">
        <v>10.69</v>
      </c>
      <c r="X1627" s="3">
        <v>10.85</v>
      </c>
      <c r="AA1627" s="3">
        <v>11.05</v>
      </c>
      <c r="AC1627" s="3">
        <f>AA1627-X1627</f>
        <v>0.20000000000000107</v>
      </c>
      <c r="AE1627" s="1" t="s">
        <v>285</v>
      </c>
      <c r="AG1627" s="3">
        <v>7.64</v>
      </c>
      <c r="AJ1627" s="3">
        <v>83.6</v>
      </c>
      <c r="AL1627" s="3">
        <f>AJ1627-AG1627</f>
        <v>75.959999999999994</v>
      </c>
      <c r="AM1627" s="3">
        <v>9</v>
      </c>
      <c r="AO1627" s="3">
        <f>AM1627-AJ1627</f>
        <v>-74.599999999999994</v>
      </c>
      <c r="AP1627" s="3">
        <v>10.39</v>
      </c>
      <c r="AS1627" s="3">
        <v>11</v>
      </c>
      <c r="AV1627" s="3">
        <v>12</v>
      </c>
      <c r="AZ1627" s="3">
        <v>12</v>
      </c>
      <c r="BD1627" s="3">
        <v>12</v>
      </c>
      <c r="BH1627" s="3">
        <v>13</v>
      </c>
    </row>
    <row r="1628" spans="1:60">
      <c r="B1628" s="103" t="s">
        <v>98</v>
      </c>
      <c r="C1628" s="1" t="s">
        <v>288</v>
      </c>
      <c r="D1628" s="113"/>
      <c r="E1628" s="113"/>
      <c r="F1628" s="8"/>
      <c r="G1628" s="8"/>
      <c r="H1628" s="8"/>
      <c r="K1628" s="3"/>
      <c r="M1628" s="3">
        <v>6.8</v>
      </c>
      <c r="O1628" s="3">
        <v>6.8</v>
      </c>
      <c r="Q1628" s="3"/>
      <c r="U1628" s="3">
        <v>10.15</v>
      </c>
      <c r="X1628" s="3">
        <v>10.65</v>
      </c>
      <c r="AA1628" s="3">
        <v>11.65</v>
      </c>
      <c r="AC1628" s="3">
        <f>AA1628-X1628</f>
        <v>1</v>
      </c>
      <c r="AE1628" s="1" t="s">
        <v>285</v>
      </c>
      <c r="AG1628" s="3">
        <v>7.31</v>
      </c>
      <c r="AJ1628" s="3">
        <v>76.7</v>
      </c>
      <c r="AL1628" s="3">
        <f>AJ1628-AG1628</f>
        <v>69.39</v>
      </c>
      <c r="AM1628" s="3">
        <v>12.99</v>
      </c>
      <c r="AO1628" s="3">
        <f>AM1628-AJ1628</f>
        <v>-63.71</v>
      </c>
      <c r="AP1628" s="3">
        <v>13.59</v>
      </c>
      <c r="AS1628" s="3">
        <v>14</v>
      </c>
      <c r="AV1628" s="3">
        <v>15</v>
      </c>
      <c r="AZ1628" s="3">
        <v>15</v>
      </c>
      <c r="BD1628" s="3">
        <v>15</v>
      </c>
      <c r="BH1628" s="3">
        <v>15</v>
      </c>
    </row>
    <row r="1629" spans="1:60">
      <c r="A1629" s="6">
        <v>11</v>
      </c>
      <c r="B1629" s="103" t="s">
        <v>98</v>
      </c>
      <c r="C1629" s="1" t="s">
        <v>57</v>
      </c>
      <c r="D1629" s="113" t="s">
        <v>685</v>
      </c>
      <c r="E1629" s="113"/>
      <c r="F1629" s="8">
        <v>0</v>
      </c>
      <c r="G1629" s="8"/>
      <c r="H1629" s="8">
        <v>0</v>
      </c>
      <c r="I1629" s="8"/>
      <c r="M1629" s="3">
        <v>0</v>
      </c>
      <c r="O1629" s="3">
        <v>0</v>
      </c>
      <c r="X1629" s="3">
        <v>3.5</v>
      </c>
      <c r="AE1629" s="1" t="s">
        <v>285</v>
      </c>
    </row>
    <row r="1630" spans="1:60">
      <c r="B1630" s="103" t="s">
        <v>98</v>
      </c>
      <c r="C1630" s="1" t="s">
        <v>287</v>
      </c>
      <c r="D1630" s="113"/>
      <c r="E1630" s="113"/>
      <c r="F1630" s="8"/>
      <c r="G1630" s="8"/>
      <c r="H1630" s="8"/>
      <c r="K1630" s="3"/>
      <c r="M1630" s="3">
        <v>7</v>
      </c>
      <c r="O1630" s="3">
        <v>7</v>
      </c>
      <c r="Q1630" s="3"/>
      <c r="U1630" s="3">
        <v>9.14</v>
      </c>
      <c r="X1630" s="3">
        <v>9.35</v>
      </c>
      <c r="AE1630" s="1" t="s">
        <v>285</v>
      </c>
      <c r="AG1630" s="3">
        <v>7.3</v>
      </c>
      <c r="AM1630" s="3">
        <v>7.95</v>
      </c>
      <c r="AP1630" s="3">
        <v>9</v>
      </c>
      <c r="AS1630" s="3">
        <v>10</v>
      </c>
      <c r="AV1630" s="3">
        <v>12</v>
      </c>
      <c r="AZ1630" s="3">
        <v>12</v>
      </c>
      <c r="BD1630" s="3">
        <v>12</v>
      </c>
    </row>
    <row r="1631" spans="1:60">
      <c r="A1631" s="6">
        <v>1</v>
      </c>
      <c r="B1631" s="103" t="s">
        <v>772</v>
      </c>
      <c r="C1631" s="1" t="s">
        <v>52</v>
      </c>
      <c r="D1631" s="113"/>
      <c r="E1631" s="113"/>
      <c r="F1631" s="8">
        <v>0</v>
      </c>
      <c r="G1631" s="8"/>
      <c r="H1631" s="8">
        <v>0</v>
      </c>
      <c r="I1631" s="8"/>
      <c r="K1631" s="3"/>
      <c r="S1631" s="1" t="s">
        <v>285</v>
      </c>
      <c r="V1631" s="1" t="s">
        <v>285</v>
      </c>
    </row>
    <row r="1632" spans="1:60">
      <c r="A1632" s="6">
        <v>3</v>
      </c>
      <c r="B1632" s="103" t="s">
        <v>772</v>
      </c>
      <c r="C1632" s="1" t="s">
        <v>54</v>
      </c>
      <c r="D1632" s="113"/>
      <c r="E1632" s="113"/>
      <c r="F1632" s="8">
        <v>0</v>
      </c>
      <c r="G1632" s="8"/>
      <c r="H1632" s="8">
        <v>0</v>
      </c>
      <c r="I1632" s="8"/>
      <c r="K1632" s="3"/>
      <c r="S1632" s="1" t="s">
        <v>285</v>
      </c>
      <c r="V1632" s="1" t="s">
        <v>285</v>
      </c>
    </row>
    <row r="1633" spans="1:61">
      <c r="A1633" s="6">
        <v>4</v>
      </c>
      <c r="B1633" s="103" t="s">
        <v>772</v>
      </c>
      <c r="C1633" s="1" t="s">
        <v>55</v>
      </c>
      <c r="D1633" s="113"/>
      <c r="E1633" s="113"/>
      <c r="F1633" s="8">
        <v>0</v>
      </c>
      <c r="G1633" s="8"/>
      <c r="H1633" s="8">
        <v>0</v>
      </c>
      <c r="I1633" s="8"/>
      <c r="K1633" s="3"/>
      <c r="S1633" s="1" t="s">
        <v>285</v>
      </c>
      <c r="V1633" s="1" t="s">
        <v>285</v>
      </c>
    </row>
    <row r="1634" spans="1:61">
      <c r="A1634" s="6">
        <v>5</v>
      </c>
      <c r="B1634" s="103" t="s">
        <v>772</v>
      </c>
      <c r="C1634" s="1" t="s">
        <v>56</v>
      </c>
      <c r="D1634" s="113"/>
      <c r="E1634" s="113"/>
      <c r="F1634" s="8">
        <v>0</v>
      </c>
      <c r="G1634" s="8"/>
      <c r="H1634" s="8">
        <v>0</v>
      </c>
      <c r="I1634" s="8"/>
      <c r="K1634" s="3"/>
      <c r="S1634" s="1" t="s">
        <v>285</v>
      </c>
      <c r="V1634" s="1" t="s">
        <v>285</v>
      </c>
    </row>
    <row r="1635" spans="1:61">
      <c r="A1635" s="6">
        <v>2</v>
      </c>
      <c r="B1635" s="103" t="s">
        <v>772</v>
      </c>
      <c r="C1635" s="1" t="s">
        <v>53</v>
      </c>
      <c r="D1635" s="113"/>
      <c r="E1635" s="113"/>
      <c r="F1635" s="8">
        <v>0</v>
      </c>
      <c r="G1635" s="8"/>
      <c r="H1635" s="8">
        <v>0</v>
      </c>
      <c r="I1635" s="8"/>
      <c r="K1635" s="3"/>
      <c r="S1635" s="1" t="s">
        <v>285</v>
      </c>
      <c r="V1635" s="1" t="s">
        <v>285</v>
      </c>
    </row>
    <row r="1636" spans="1:61">
      <c r="A1636" s="6">
        <v>12</v>
      </c>
      <c r="B1636" s="103" t="s">
        <v>772</v>
      </c>
      <c r="C1636" s="1" t="s">
        <v>594</v>
      </c>
      <c r="D1636" s="113"/>
      <c r="E1636" s="113"/>
      <c r="F1636" s="8">
        <v>0</v>
      </c>
      <c r="G1636" s="8"/>
      <c r="H1636" s="8">
        <v>0</v>
      </c>
      <c r="I1636" s="8"/>
      <c r="K1636" s="3"/>
      <c r="S1636" s="1" t="s">
        <v>285</v>
      </c>
      <c r="V1636" s="1" t="s">
        <v>285</v>
      </c>
      <c r="X1636" s="3">
        <v>160.91999999999999</v>
      </c>
      <c r="AA1636" s="3">
        <v>160.91999999999999</v>
      </c>
      <c r="AC1636" s="3">
        <f>AA1636-X1636</f>
        <v>0</v>
      </c>
      <c r="AD1636" s="24">
        <v>160.91999999999999</v>
      </c>
      <c r="AG1636" s="3">
        <v>160.91999999999999</v>
      </c>
      <c r="AI1636" s="3">
        <f>AG1636-AD1636</f>
        <v>0</v>
      </c>
      <c r="AM1636" s="3">
        <v>25.7</v>
      </c>
      <c r="AP1636" s="3">
        <v>22</v>
      </c>
      <c r="AS1636" s="3">
        <v>22</v>
      </c>
      <c r="AV1636" s="3">
        <v>22</v>
      </c>
      <c r="AZ1636" s="3">
        <v>22</v>
      </c>
      <c r="BA1636" s="1" t="s">
        <v>852</v>
      </c>
      <c r="BD1636" s="3">
        <v>26</v>
      </c>
      <c r="BE1636" s="1" t="s">
        <v>852</v>
      </c>
      <c r="BG1636" s="3">
        <v>26</v>
      </c>
      <c r="BH1636" s="3">
        <v>0</v>
      </c>
      <c r="BI1636" s="1" t="s">
        <v>852</v>
      </c>
    </row>
    <row r="1637" spans="1:61">
      <c r="A1637" s="6">
        <v>14</v>
      </c>
      <c r="B1637" s="103" t="s">
        <v>772</v>
      </c>
      <c r="C1637" s="1" t="s">
        <v>58</v>
      </c>
      <c r="D1637" s="113"/>
      <c r="E1637" s="113"/>
      <c r="F1637" s="8">
        <v>0</v>
      </c>
      <c r="G1637" s="8"/>
      <c r="H1637" s="8">
        <v>0</v>
      </c>
      <c r="I1637" s="8"/>
      <c r="K1637" s="3"/>
      <c r="S1637" s="1" t="s">
        <v>285</v>
      </c>
      <c r="V1637" s="1" t="s">
        <v>285</v>
      </c>
      <c r="AA1637" s="3">
        <v>208.9</v>
      </c>
      <c r="AD1637" s="24">
        <v>205.9</v>
      </c>
      <c r="AG1637" s="3">
        <v>1.5</v>
      </c>
      <c r="AI1637" s="3">
        <f>AG1637-AD1637</f>
        <v>-204.4</v>
      </c>
      <c r="AJ1637" s="3">
        <v>30</v>
      </c>
      <c r="AM1637" s="3">
        <v>27.9</v>
      </c>
      <c r="AO1637" s="3">
        <f>AM1637-AJ1637</f>
        <v>-2.1000000000000014</v>
      </c>
      <c r="AP1637" s="3">
        <v>22</v>
      </c>
      <c r="AS1637" s="3">
        <v>22</v>
      </c>
      <c r="AV1637" s="3">
        <v>22</v>
      </c>
      <c r="AZ1637" s="3">
        <v>22</v>
      </c>
      <c r="BA1637" s="1" t="s">
        <v>852</v>
      </c>
      <c r="BD1637" s="3">
        <v>22</v>
      </c>
      <c r="BE1637" s="1" t="s">
        <v>852</v>
      </c>
      <c r="BG1637" s="3">
        <v>22</v>
      </c>
      <c r="BH1637" s="3">
        <v>22</v>
      </c>
      <c r="BI1637" s="1" t="s">
        <v>852</v>
      </c>
    </row>
    <row r="1638" spans="1:61">
      <c r="B1638" s="103" t="s">
        <v>772</v>
      </c>
      <c r="C1638" s="1" t="s">
        <v>289</v>
      </c>
      <c r="D1638" s="113"/>
      <c r="E1638" s="113"/>
      <c r="F1638" s="8"/>
      <c r="G1638" s="8"/>
      <c r="H1638" s="8"/>
      <c r="I1638" s="8"/>
      <c r="K1638" s="3"/>
      <c r="AI1638" s="3"/>
      <c r="AO1638" s="3"/>
      <c r="AV1638" s="3">
        <v>40</v>
      </c>
      <c r="AZ1638" s="3">
        <v>40</v>
      </c>
      <c r="BA1638" s="1" t="s">
        <v>852</v>
      </c>
      <c r="BD1638" s="3">
        <v>40</v>
      </c>
      <c r="BE1638" s="1" t="s">
        <v>852</v>
      </c>
      <c r="BG1638" s="3">
        <v>40</v>
      </c>
      <c r="BH1638" s="3">
        <v>40</v>
      </c>
      <c r="BI1638" s="1" t="s">
        <v>852</v>
      </c>
    </row>
    <row r="1639" spans="1:61">
      <c r="B1639" s="103" t="s">
        <v>772</v>
      </c>
      <c r="C1639" s="1" t="s">
        <v>64</v>
      </c>
      <c r="D1639" s="113"/>
      <c r="E1639" s="113"/>
      <c r="F1639" s="8"/>
      <c r="G1639" s="8"/>
      <c r="H1639" s="8"/>
      <c r="I1639" s="8"/>
      <c r="K1639" s="3"/>
      <c r="AA1639" s="3">
        <v>259.89</v>
      </c>
      <c r="AD1639" s="24">
        <v>259.89</v>
      </c>
      <c r="AG1639" s="3">
        <v>1.8</v>
      </c>
      <c r="AI1639" s="3">
        <f>AG1639-AD1639</f>
        <v>-258.08999999999997</v>
      </c>
      <c r="AJ1639" s="3">
        <v>16</v>
      </c>
      <c r="AM1639" s="3">
        <v>33.1</v>
      </c>
      <c r="AO1639" s="3">
        <f>AM1639-AJ1639</f>
        <v>17.100000000000001</v>
      </c>
      <c r="AP1639" s="3">
        <v>34</v>
      </c>
      <c r="AS1639" s="3">
        <v>34</v>
      </c>
      <c r="AV1639" s="3">
        <v>34</v>
      </c>
      <c r="AZ1639" s="3">
        <v>34</v>
      </c>
      <c r="BA1639" s="1" t="s">
        <v>852</v>
      </c>
      <c r="BD1639" s="3">
        <v>34</v>
      </c>
      <c r="BE1639" s="1" t="s">
        <v>852</v>
      </c>
      <c r="BG1639" s="3">
        <v>34</v>
      </c>
      <c r="BH1639" s="3">
        <v>34</v>
      </c>
      <c r="BI1639" s="1" t="s">
        <v>852</v>
      </c>
    </row>
    <row r="1640" spans="1:61">
      <c r="B1640" s="103" t="s">
        <v>772</v>
      </c>
      <c r="C1640" s="1" t="s">
        <v>288</v>
      </c>
      <c r="D1640" s="113"/>
      <c r="E1640" s="113"/>
      <c r="F1640" s="8"/>
      <c r="G1640" s="8"/>
      <c r="H1640" s="8"/>
      <c r="I1640" s="8"/>
      <c r="K1640" s="3"/>
      <c r="AA1640" s="3">
        <v>213.99</v>
      </c>
      <c r="AD1640" s="24">
        <v>213.99</v>
      </c>
      <c r="AG1640" s="3">
        <v>1.4</v>
      </c>
      <c r="AI1640" s="3">
        <f>AG1640-AD1640</f>
        <v>-212.59</v>
      </c>
      <c r="AJ1640" s="3">
        <v>19</v>
      </c>
      <c r="AM1640" s="3">
        <v>27.9</v>
      </c>
      <c r="AO1640" s="3">
        <f>AM1640-AJ1640</f>
        <v>8.8999999999999986</v>
      </c>
      <c r="AP1640" s="3">
        <v>31</v>
      </c>
      <c r="AS1640" s="3">
        <v>32</v>
      </c>
      <c r="AV1640" s="3">
        <v>32</v>
      </c>
      <c r="AZ1640" s="3">
        <v>32</v>
      </c>
      <c r="BA1640" s="1" t="s">
        <v>852</v>
      </c>
      <c r="BD1640" s="3">
        <v>32</v>
      </c>
      <c r="BE1640" s="1" t="s">
        <v>852</v>
      </c>
      <c r="BG1640" s="3">
        <v>32</v>
      </c>
      <c r="BH1640" s="3">
        <v>32</v>
      </c>
      <c r="BI1640" s="1" t="s">
        <v>852</v>
      </c>
    </row>
    <row r="1641" spans="1:61">
      <c r="A1641" s="6">
        <v>11</v>
      </c>
      <c r="B1641" s="103" t="s">
        <v>772</v>
      </c>
      <c r="C1641" s="1" t="s">
        <v>57</v>
      </c>
      <c r="D1641" s="113"/>
      <c r="E1641" s="113"/>
      <c r="F1641" s="8">
        <v>0</v>
      </c>
      <c r="G1641" s="8"/>
      <c r="H1641" s="8">
        <v>0</v>
      </c>
      <c r="I1641" s="8"/>
      <c r="K1641" s="3"/>
      <c r="S1641" s="1" t="s">
        <v>285</v>
      </c>
      <c r="V1641" s="1" t="s">
        <v>285</v>
      </c>
    </row>
    <row r="1642" spans="1:61">
      <c r="B1642" s="103" t="s">
        <v>772</v>
      </c>
      <c r="C1642" s="1" t="s">
        <v>287</v>
      </c>
      <c r="D1642" s="113"/>
      <c r="E1642" s="113"/>
      <c r="F1642" s="8"/>
      <c r="G1642" s="8"/>
      <c r="H1642" s="8"/>
      <c r="I1642" s="8"/>
      <c r="K1642" s="3"/>
      <c r="AA1642" s="3">
        <v>250.67</v>
      </c>
      <c r="AD1642" s="24">
        <v>250.67</v>
      </c>
      <c r="AG1642" s="3">
        <v>1.6</v>
      </c>
      <c r="AI1642" s="3">
        <f>AG1642-AD1642</f>
        <v>-249.07</v>
      </c>
      <c r="AJ1642" s="3">
        <v>19</v>
      </c>
      <c r="AM1642" s="3">
        <v>33.1</v>
      </c>
      <c r="AO1642" s="3">
        <f>AM1642-AJ1642</f>
        <v>14.100000000000001</v>
      </c>
    </row>
    <row r="1643" spans="1:61">
      <c r="A1643" s="6">
        <v>1</v>
      </c>
      <c r="B1643" s="103" t="s">
        <v>99</v>
      </c>
      <c r="C1643" s="1" t="s">
        <v>52</v>
      </c>
      <c r="D1643" s="113"/>
      <c r="E1643" s="113"/>
      <c r="F1643" s="8">
        <v>0</v>
      </c>
      <c r="G1643" s="8"/>
      <c r="H1643" s="8">
        <v>0</v>
      </c>
      <c r="I1643" s="8"/>
      <c r="M1643" s="3">
        <v>0</v>
      </c>
      <c r="O1643" s="3">
        <v>0</v>
      </c>
      <c r="AN1643" s="1" t="s">
        <v>285</v>
      </c>
      <c r="AQ1643" s="1" t="s">
        <v>285</v>
      </c>
      <c r="AT1643" s="1" t="s">
        <v>285</v>
      </c>
    </row>
    <row r="1644" spans="1:61">
      <c r="A1644" s="6">
        <v>3</v>
      </c>
      <c r="B1644" s="103" t="s">
        <v>99</v>
      </c>
      <c r="C1644" s="1" t="s">
        <v>54</v>
      </c>
      <c r="D1644" s="113"/>
      <c r="E1644" s="113"/>
      <c r="F1644" s="8">
        <v>0</v>
      </c>
      <c r="G1644" s="8"/>
      <c r="H1644" s="8">
        <v>0</v>
      </c>
      <c r="I1644" s="8"/>
      <c r="M1644" s="3">
        <v>0</v>
      </c>
      <c r="O1644" s="3">
        <v>0</v>
      </c>
      <c r="AN1644" s="1" t="s">
        <v>285</v>
      </c>
      <c r="AQ1644" s="1" t="s">
        <v>285</v>
      </c>
      <c r="AT1644" s="1" t="s">
        <v>285</v>
      </c>
    </row>
    <row r="1645" spans="1:61">
      <c r="A1645" s="6">
        <v>4</v>
      </c>
      <c r="B1645" s="103" t="s">
        <v>99</v>
      </c>
      <c r="C1645" s="1" t="s">
        <v>55</v>
      </c>
      <c r="D1645" s="113"/>
      <c r="E1645" s="113"/>
      <c r="F1645" s="8">
        <v>0</v>
      </c>
      <c r="G1645" s="8"/>
      <c r="H1645" s="8">
        <v>0</v>
      </c>
      <c r="I1645" s="8"/>
      <c r="M1645" s="3">
        <v>0</v>
      </c>
      <c r="O1645" s="3">
        <v>0</v>
      </c>
      <c r="AN1645" s="1" t="s">
        <v>285</v>
      </c>
      <c r="AQ1645" s="1" t="s">
        <v>285</v>
      </c>
      <c r="AT1645" s="1" t="s">
        <v>285</v>
      </c>
    </row>
    <row r="1646" spans="1:61">
      <c r="A1646" s="6">
        <v>5</v>
      </c>
      <c r="B1646" s="103" t="s">
        <v>99</v>
      </c>
      <c r="C1646" s="1" t="s">
        <v>56</v>
      </c>
      <c r="D1646" s="113"/>
      <c r="E1646" s="113"/>
      <c r="F1646" s="8">
        <v>0</v>
      </c>
      <c r="G1646" s="8"/>
      <c r="H1646" s="8">
        <v>0</v>
      </c>
      <c r="I1646" s="8"/>
      <c r="M1646" s="3">
        <v>0</v>
      </c>
      <c r="O1646" s="3">
        <v>0</v>
      </c>
      <c r="AN1646" s="1" t="s">
        <v>285</v>
      </c>
      <c r="AQ1646" s="1" t="s">
        <v>285</v>
      </c>
      <c r="AT1646" s="1" t="s">
        <v>285</v>
      </c>
    </row>
    <row r="1647" spans="1:61">
      <c r="A1647" s="6">
        <v>2</v>
      </c>
      <c r="B1647" s="103" t="s">
        <v>99</v>
      </c>
      <c r="C1647" s="1" t="s">
        <v>53</v>
      </c>
      <c r="D1647" s="113" t="s">
        <v>222</v>
      </c>
      <c r="E1647" s="113"/>
      <c r="F1647" s="8">
        <v>3</v>
      </c>
      <c r="G1647" s="8"/>
      <c r="H1647" s="8">
        <v>3</v>
      </c>
      <c r="I1647" s="8">
        <f>H1647-D1647</f>
        <v>0</v>
      </c>
      <c r="K1647" s="3"/>
      <c r="M1647" s="3">
        <v>3</v>
      </c>
      <c r="O1647" s="3">
        <v>3</v>
      </c>
      <c r="Q1647" s="3">
        <f>O1647-H1647</f>
        <v>0</v>
      </c>
      <c r="R1647" s="3">
        <v>3</v>
      </c>
      <c r="T1647" s="3">
        <f>R1647-O1647</f>
        <v>0</v>
      </c>
      <c r="U1647" s="3">
        <v>3</v>
      </c>
      <c r="W1647" s="3">
        <f>U1647-R1647</f>
        <v>0</v>
      </c>
      <c r="AN1647" s="1" t="s">
        <v>285</v>
      </c>
      <c r="AQ1647" s="1" t="s">
        <v>285</v>
      </c>
      <c r="AT1647" s="1" t="s">
        <v>285</v>
      </c>
    </row>
    <row r="1648" spans="1:61">
      <c r="B1648" s="103" t="s">
        <v>99</v>
      </c>
      <c r="C1648" s="1" t="s">
        <v>597</v>
      </c>
      <c r="D1648" s="113"/>
      <c r="E1648" s="113"/>
      <c r="F1648" s="8"/>
      <c r="G1648" s="8"/>
      <c r="H1648" s="8"/>
      <c r="I1648" s="8"/>
      <c r="AY1648" s="3">
        <v>12</v>
      </c>
      <c r="AZ1648" s="3">
        <v>13</v>
      </c>
      <c r="BA1648" s="1" t="s">
        <v>852</v>
      </c>
      <c r="BC1648" s="3">
        <v>13</v>
      </c>
      <c r="BD1648" s="3">
        <v>13</v>
      </c>
      <c r="BE1648" s="1" t="s">
        <v>852</v>
      </c>
    </row>
    <row r="1649" spans="1:61">
      <c r="A1649" s="6">
        <v>12</v>
      </c>
      <c r="B1649" s="103" t="s">
        <v>99</v>
      </c>
      <c r="C1649" s="1" t="s">
        <v>594</v>
      </c>
      <c r="D1649" s="113" t="s">
        <v>223</v>
      </c>
      <c r="E1649" s="113"/>
      <c r="F1649" s="8">
        <v>2.5</v>
      </c>
      <c r="G1649" s="8"/>
      <c r="H1649" s="8">
        <v>2.5</v>
      </c>
      <c r="I1649" s="9">
        <f>H1649-D1649</f>
        <v>0</v>
      </c>
      <c r="K1649" s="3"/>
      <c r="M1649" s="3">
        <v>2.5</v>
      </c>
      <c r="O1649" s="3">
        <v>2.5</v>
      </c>
      <c r="Q1649" s="3">
        <f>O1649-H1649</f>
        <v>0</v>
      </c>
      <c r="R1649" s="3">
        <v>2.5</v>
      </c>
      <c r="T1649" s="3">
        <f>R1649-O1649</f>
        <v>0</v>
      </c>
      <c r="U1649" s="3">
        <v>2.5</v>
      </c>
      <c r="W1649" s="3">
        <f>U1649-R1649</f>
        <v>0</v>
      </c>
      <c r="X1649" s="3">
        <v>2.5</v>
      </c>
      <c r="Z1649" s="3">
        <f>X1649-U1649</f>
        <v>0</v>
      </c>
      <c r="AA1649" s="3">
        <v>3.5</v>
      </c>
      <c r="AC1649" s="3">
        <f>AA1649-X1649</f>
        <v>1</v>
      </c>
      <c r="AD1649" s="24">
        <v>3.5</v>
      </c>
      <c r="AF1649" s="24">
        <f>AD1649-AA1649</f>
        <v>0</v>
      </c>
      <c r="AG1649" s="3">
        <v>10</v>
      </c>
      <c r="AI1649" s="3">
        <f>AG1649-AD1649</f>
        <v>6.5</v>
      </c>
      <c r="AJ1649" s="3">
        <v>10</v>
      </c>
      <c r="AL1649" s="3">
        <f>AJ1649-AG1649</f>
        <v>0</v>
      </c>
      <c r="AN1649" s="1" t="s">
        <v>285</v>
      </c>
      <c r="AQ1649" s="1" t="s">
        <v>285</v>
      </c>
      <c r="AT1649" s="1" t="s">
        <v>285</v>
      </c>
      <c r="AV1649" s="3">
        <v>10</v>
      </c>
      <c r="AY1649" s="3">
        <v>12</v>
      </c>
      <c r="AZ1649" s="3">
        <v>12.5</v>
      </c>
      <c r="BA1649" s="1" t="s">
        <v>852</v>
      </c>
      <c r="BC1649" s="3">
        <v>12.5</v>
      </c>
      <c r="BD1649" s="3">
        <v>14</v>
      </c>
      <c r="BE1649" s="1" t="s">
        <v>852</v>
      </c>
      <c r="BH1649" s="3">
        <v>14.75</v>
      </c>
      <c r="BI1649" s="1" t="s">
        <v>852</v>
      </c>
    </row>
    <row r="1650" spans="1:61">
      <c r="B1650" s="103" t="s">
        <v>99</v>
      </c>
      <c r="C1650" s="1" t="s">
        <v>851</v>
      </c>
      <c r="D1650" s="113"/>
      <c r="E1650" s="113"/>
      <c r="F1650" s="8"/>
      <c r="G1650" s="8"/>
      <c r="H1650" s="8"/>
      <c r="K1650" s="3"/>
      <c r="Q1650" s="3"/>
      <c r="T1650" s="3"/>
      <c r="W1650" s="3"/>
      <c r="AC1650" s="3"/>
      <c r="AF1650" s="24"/>
      <c r="AI1650" s="3"/>
      <c r="AL1650" s="3"/>
      <c r="AY1650" s="3">
        <v>10.5</v>
      </c>
      <c r="AZ1650" s="3">
        <v>11</v>
      </c>
      <c r="BA1650" s="1" t="s">
        <v>852</v>
      </c>
      <c r="BC1650" s="3">
        <v>11</v>
      </c>
      <c r="BD1650" s="3">
        <v>12</v>
      </c>
      <c r="BE1650" s="1" t="s">
        <v>852</v>
      </c>
    </row>
    <row r="1651" spans="1:61">
      <c r="A1651" s="6">
        <v>14</v>
      </c>
      <c r="B1651" s="103" t="s">
        <v>99</v>
      </c>
      <c r="C1651" s="1" t="s">
        <v>58</v>
      </c>
      <c r="D1651" s="113" t="s">
        <v>685</v>
      </c>
      <c r="E1651" s="113"/>
      <c r="F1651" s="8">
        <v>0</v>
      </c>
      <c r="G1651" s="8"/>
      <c r="H1651" s="8">
        <v>0</v>
      </c>
      <c r="I1651" s="8"/>
      <c r="M1651" s="3">
        <v>0</v>
      </c>
      <c r="O1651" s="3">
        <v>0</v>
      </c>
      <c r="AN1651" s="1" t="s">
        <v>285</v>
      </c>
      <c r="AQ1651" s="1" t="s">
        <v>285</v>
      </c>
      <c r="AT1651" s="1" t="s">
        <v>285</v>
      </c>
      <c r="AY1651" s="3">
        <v>6</v>
      </c>
      <c r="AZ1651" s="3">
        <v>6.5</v>
      </c>
      <c r="BA1651" s="1" t="s">
        <v>852</v>
      </c>
      <c r="BC1651" s="3">
        <v>6.5</v>
      </c>
      <c r="BD1651" s="3">
        <v>7</v>
      </c>
      <c r="BE1651" s="1" t="s">
        <v>852</v>
      </c>
      <c r="BH1651" s="3">
        <v>12.3</v>
      </c>
      <c r="BI1651" s="1" t="s">
        <v>852</v>
      </c>
    </row>
    <row r="1652" spans="1:61">
      <c r="B1652" s="103" t="s">
        <v>99</v>
      </c>
      <c r="C1652" s="1" t="s">
        <v>857</v>
      </c>
      <c r="D1652" s="113"/>
      <c r="E1652" s="113"/>
      <c r="F1652" s="8"/>
      <c r="G1652" s="8"/>
      <c r="H1652" s="8"/>
      <c r="I1652" s="8"/>
      <c r="AY1652" s="3">
        <v>8.5</v>
      </c>
      <c r="AZ1652" s="3">
        <v>8.5</v>
      </c>
      <c r="BA1652" s="1" t="s">
        <v>852</v>
      </c>
      <c r="BC1652" s="3">
        <v>8.5</v>
      </c>
      <c r="BD1652" s="3">
        <v>8.5</v>
      </c>
      <c r="BE1652" s="1" t="s">
        <v>852</v>
      </c>
      <c r="BH1652" s="3">
        <v>15</v>
      </c>
      <c r="BI1652" s="1" t="s">
        <v>852</v>
      </c>
    </row>
    <row r="1653" spans="1:61">
      <c r="B1653" s="103" t="s">
        <v>99</v>
      </c>
      <c r="C1653" s="1" t="s">
        <v>289</v>
      </c>
      <c r="D1653" s="113"/>
      <c r="E1653" s="113"/>
      <c r="F1653" s="8"/>
      <c r="G1653" s="8"/>
      <c r="H1653" s="8"/>
      <c r="I1653" s="8"/>
      <c r="AY1653" s="3">
        <v>5</v>
      </c>
      <c r="AZ1653" s="3">
        <v>5</v>
      </c>
      <c r="BA1653" s="1" t="s">
        <v>852</v>
      </c>
      <c r="BC1653" s="3">
        <v>5</v>
      </c>
      <c r="BD1653" s="3">
        <v>5.5</v>
      </c>
      <c r="BE1653" s="1" t="s">
        <v>852</v>
      </c>
      <c r="BH1653" s="3">
        <v>28.5</v>
      </c>
      <c r="BI1653" s="1" t="s">
        <v>852</v>
      </c>
    </row>
    <row r="1654" spans="1:61">
      <c r="B1654" s="103" t="s">
        <v>99</v>
      </c>
      <c r="C1654" s="1" t="s">
        <v>74</v>
      </c>
      <c r="D1654" s="113"/>
      <c r="E1654" s="113"/>
      <c r="F1654" s="8"/>
      <c r="G1654" s="8"/>
      <c r="H1654" s="8"/>
      <c r="I1654" s="8"/>
      <c r="BH1654" s="3">
        <v>33.515999999999998</v>
      </c>
      <c r="BI1654" s="1" t="s">
        <v>852</v>
      </c>
    </row>
    <row r="1655" spans="1:61">
      <c r="B1655" s="103" t="s">
        <v>99</v>
      </c>
      <c r="C1655" s="1" t="s">
        <v>290</v>
      </c>
      <c r="D1655" s="113"/>
      <c r="E1655" s="113"/>
      <c r="F1655" s="8"/>
      <c r="G1655" s="8"/>
      <c r="H1655" s="8"/>
      <c r="I1655" s="8"/>
      <c r="AY1655" s="3">
        <v>8.5</v>
      </c>
      <c r="AZ1655" s="3">
        <v>8.5</v>
      </c>
      <c r="BA1655" s="1" t="s">
        <v>852</v>
      </c>
      <c r="BC1655" s="3">
        <v>8.5</v>
      </c>
      <c r="BD1655" s="3">
        <v>9</v>
      </c>
      <c r="BE1655" s="1" t="s">
        <v>852</v>
      </c>
      <c r="BH1655" s="3">
        <v>45</v>
      </c>
      <c r="BI1655" s="1" t="s">
        <v>852</v>
      </c>
    </row>
    <row r="1656" spans="1:61">
      <c r="B1656" s="103" t="s">
        <v>99</v>
      </c>
      <c r="C1656" s="1" t="s">
        <v>64</v>
      </c>
      <c r="D1656" s="113"/>
      <c r="E1656" s="113"/>
      <c r="F1656" s="8"/>
      <c r="G1656" s="8"/>
      <c r="H1656" s="8"/>
      <c r="I1656" s="8"/>
      <c r="AY1656" s="3">
        <v>13</v>
      </c>
      <c r="AZ1656" s="3">
        <v>13</v>
      </c>
      <c r="BA1656" s="1" t="s">
        <v>852</v>
      </c>
      <c r="BC1656" s="3">
        <v>13</v>
      </c>
      <c r="BD1656" s="3">
        <v>13</v>
      </c>
      <c r="BE1656" s="1" t="s">
        <v>852</v>
      </c>
      <c r="BH1656" s="3">
        <v>13.15</v>
      </c>
      <c r="BI1656" s="1" t="s">
        <v>852</v>
      </c>
    </row>
    <row r="1657" spans="1:61">
      <c r="B1657" s="103" t="s">
        <v>99</v>
      </c>
      <c r="C1657" s="1" t="s">
        <v>865</v>
      </c>
      <c r="D1657" s="113"/>
      <c r="E1657" s="113"/>
      <c r="F1657" s="8"/>
      <c r="G1657" s="8"/>
      <c r="H1657" s="8"/>
      <c r="I1657" s="8"/>
      <c r="BH1657" s="3">
        <v>14</v>
      </c>
      <c r="BI1657" s="1" t="s">
        <v>852</v>
      </c>
    </row>
    <row r="1658" spans="1:61">
      <c r="B1658" s="103" t="s">
        <v>99</v>
      </c>
      <c r="C1658" s="1" t="s">
        <v>288</v>
      </c>
      <c r="D1658" s="113"/>
      <c r="E1658" s="113"/>
      <c r="F1658" s="8"/>
      <c r="G1658" s="8"/>
      <c r="H1658" s="8"/>
      <c r="I1658" s="8"/>
      <c r="AY1658" s="3">
        <v>11</v>
      </c>
      <c r="AZ1658" s="3">
        <v>12</v>
      </c>
      <c r="BA1658" s="1" t="s">
        <v>852</v>
      </c>
      <c r="BC1658" s="3">
        <v>12</v>
      </c>
      <c r="BD1658" s="3">
        <v>13</v>
      </c>
      <c r="BE1658" s="1" t="s">
        <v>852</v>
      </c>
      <c r="BH1658" s="3">
        <v>12.3</v>
      </c>
      <c r="BI1658" s="1" t="s">
        <v>852</v>
      </c>
    </row>
    <row r="1659" spans="1:61">
      <c r="A1659" s="6">
        <v>11</v>
      </c>
      <c r="B1659" s="103" t="s">
        <v>99</v>
      </c>
      <c r="C1659" s="1" t="s">
        <v>57</v>
      </c>
      <c r="D1659" s="113"/>
      <c r="E1659" s="113"/>
      <c r="F1659" s="8">
        <v>0</v>
      </c>
      <c r="G1659" s="8"/>
      <c r="H1659" s="8">
        <v>0</v>
      </c>
      <c r="I1659" s="8"/>
      <c r="M1659" s="3">
        <v>0</v>
      </c>
      <c r="O1659" s="3">
        <v>0</v>
      </c>
      <c r="AN1659" s="1" t="s">
        <v>285</v>
      </c>
      <c r="AQ1659" s="1" t="s">
        <v>285</v>
      </c>
      <c r="AT1659" s="1" t="s">
        <v>285</v>
      </c>
    </row>
    <row r="1660" spans="1:61">
      <c r="A1660" s="6">
        <v>1</v>
      </c>
      <c r="B1660" s="103" t="s">
        <v>101</v>
      </c>
      <c r="C1660" s="1" t="s">
        <v>52</v>
      </c>
      <c r="D1660" s="2">
        <v>110</v>
      </c>
      <c r="E1660" s="2"/>
      <c r="F1660" s="8">
        <v>0</v>
      </c>
      <c r="G1660" s="8"/>
      <c r="H1660" s="8">
        <v>0</v>
      </c>
      <c r="I1660" s="8"/>
      <c r="K1660" s="3"/>
    </row>
    <row r="1661" spans="1:61">
      <c r="A1661" s="6">
        <v>3</v>
      </c>
      <c r="B1661" s="103" t="s">
        <v>101</v>
      </c>
      <c r="C1661" s="1" t="s">
        <v>54</v>
      </c>
      <c r="D1661" s="2"/>
      <c r="E1661" s="2"/>
      <c r="F1661" s="8">
        <v>0</v>
      </c>
      <c r="G1661" s="8"/>
      <c r="H1661" s="8">
        <v>0</v>
      </c>
      <c r="I1661" s="8"/>
    </row>
    <row r="1662" spans="1:61">
      <c r="A1662" s="6">
        <v>4</v>
      </c>
      <c r="B1662" s="103" t="s">
        <v>101</v>
      </c>
      <c r="C1662" s="1" t="s">
        <v>55</v>
      </c>
      <c r="D1662" s="2"/>
      <c r="E1662" s="2"/>
      <c r="F1662" s="8">
        <v>0</v>
      </c>
      <c r="G1662" s="8"/>
      <c r="H1662" s="8">
        <v>0</v>
      </c>
      <c r="I1662" s="8"/>
    </row>
    <row r="1663" spans="1:61">
      <c r="A1663" s="6">
        <v>5</v>
      </c>
      <c r="B1663" s="103" t="s">
        <v>101</v>
      </c>
      <c r="C1663" s="1" t="s">
        <v>56</v>
      </c>
      <c r="D1663" s="2"/>
      <c r="E1663" s="2"/>
      <c r="F1663" s="8">
        <v>0</v>
      </c>
      <c r="G1663" s="8"/>
      <c r="H1663" s="8">
        <v>0</v>
      </c>
      <c r="I1663" s="8"/>
      <c r="P1663" s="1" t="s">
        <v>410</v>
      </c>
    </row>
    <row r="1664" spans="1:61">
      <c r="A1664" s="6">
        <v>2</v>
      </c>
      <c r="B1664" s="103" t="s">
        <v>101</v>
      </c>
      <c r="C1664" s="1" t="s">
        <v>53</v>
      </c>
      <c r="D1664" s="2">
        <v>310</v>
      </c>
      <c r="E1664" s="2"/>
      <c r="F1664" s="8">
        <v>0</v>
      </c>
      <c r="G1664" s="8"/>
      <c r="H1664" s="8">
        <v>0</v>
      </c>
      <c r="I1664" s="8"/>
      <c r="M1664" s="3">
        <v>12.87</v>
      </c>
      <c r="O1664" s="3">
        <v>12.87</v>
      </c>
      <c r="P1664" s="1" t="s">
        <v>410</v>
      </c>
      <c r="Q1664" s="3"/>
      <c r="R1664" s="3">
        <v>16.79</v>
      </c>
      <c r="T1664" s="3">
        <f>R1664-O1664</f>
        <v>3.92</v>
      </c>
      <c r="U1664" s="3">
        <v>17.21</v>
      </c>
      <c r="W1664" s="3">
        <f>U1664-R1664</f>
        <v>0.42000000000000171</v>
      </c>
      <c r="AM1664" s="1"/>
    </row>
    <row r="1665" spans="1:60">
      <c r="B1665" s="103" t="s">
        <v>101</v>
      </c>
      <c r="C1665" s="1" t="s">
        <v>595</v>
      </c>
      <c r="D1665" s="2"/>
      <c r="E1665" s="2"/>
      <c r="F1665" s="8"/>
      <c r="G1665" s="8"/>
      <c r="H1665" s="8"/>
      <c r="I1665" s="8"/>
      <c r="Q1665" s="3"/>
      <c r="R1665" s="3">
        <v>8.83</v>
      </c>
      <c r="T1665" s="3"/>
      <c r="U1665" s="3">
        <v>8.07</v>
      </c>
      <c r="W1665" s="3">
        <f>U1665-R1665</f>
        <v>-0.75999999999999979</v>
      </c>
      <c r="X1665" s="3">
        <v>9.18</v>
      </c>
      <c r="Z1665" s="3">
        <f>X1665-U1665</f>
        <v>1.1099999999999994</v>
      </c>
      <c r="AA1665" s="3">
        <v>8.14</v>
      </c>
      <c r="AC1665" s="3">
        <f>AA1665-X1665</f>
        <v>-1.0399999999999991</v>
      </c>
      <c r="AD1665" s="24">
        <v>7.74</v>
      </c>
      <c r="AG1665" s="3">
        <v>7.1</v>
      </c>
      <c r="AI1665" s="3">
        <f>AG1665-AD1665</f>
        <v>-0.64000000000000057</v>
      </c>
      <c r="AJ1665" s="3">
        <v>10.39</v>
      </c>
      <c r="AL1665" s="3">
        <f>AJ1665-AG1665</f>
        <v>3.2900000000000009</v>
      </c>
      <c r="AM1665" s="3">
        <v>9.1999999999999993</v>
      </c>
      <c r="AO1665" s="3">
        <f>AM1665-AJ1665</f>
        <v>-1.1900000000000013</v>
      </c>
      <c r="AP1665" s="3">
        <v>8.6300000000000008</v>
      </c>
      <c r="AS1665" s="3">
        <v>8.18</v>
      </c>
    </row>
    <row r="1666" spans="1:60">
      <c r="B1666" s="103" t="s">
        <v>101</v>
      </c>
      <c r="C1666" s="1" t="s">
        <v>700</v>
      </c>
      <c r="D1666" s="2"/>
      <c r="E1666" s="2"/>
      <c r="F1666" s="8"/>
      <c r="G1666" s="8"/>
      <c r="H1666" s="8"/>
      <c r="I1666" s="8"/>
      <c r="Q1666" s="3"/>
      <c r="T1666" s="3"/>
      <c r="W1666" s="3"/>
      <c r="AC1666" s="3"/>
      <c r="AI1666" s="3"/>
      <c r="AL1666" s="3"/>
      <c r="AM1666" s="3">
        <v>19</v>
      </c>
      <c r="AP1666" s="3">
        <v>20</v>
      </c>
    </row>
    <row r="1667" spans="1:60">
      <c r="A1667" s="6">
        <v>12</v>
      </c>
      <c r="B1667" s="103" t="s">
        <v>101</v>
      </c>
      <c r="C1667" s="1" t="s">
        <v>594</v>
      </c>
      <c r="D1667" s="2"/>
      <c r="E1667" s="2"/>
      <c r="F1667" s="8">
        <v>0</v>
      </c>
      <c r="G1667" s="8"/>
      <c r="H1667" s="8">
        <v>0</v>
      </c>
      <c r="I1667" s="8"/>
      <c r="M1667" s="3">
        <v>4.38</v>
      </c>
      <c r="O1667" s="3">
        <v>4.38</v>
      </c>
      <c r="P1667" s="1" t="s">
        <v>410</v>
      </c>
      <c r="Q1667" s="3"/>
      <c r="R1667" s="3">
        <v>5.27</v>
      </c>
      <c r="T1667" s="3">
        <f>R1667-O1667</f>
        <v>0.88999999999999968</v>
      </c>
      <c r="U1667" s="3">
        <v>4.42</v>
      </c>
      <c r="W1667" s="3">
        <f>U1667-R1667</f>
        <v>-0.84999999999999964</v>
      </c>
      <c r="X1667" s="3">
        <v>8.2200000000000006</v>
      </c>
      <c r="Z1667" s="3">
        <f>X1667-U1667</f>
        <v>3.8000000000000007</v>
      </c>
      <c r="AA1667" s="3">
        <v>7.45</v>
      </c>
      <c r="AC1667" s="3">
        <f>AA1667-X1667</f>
        <v>-0.77000000000000046</v>
      </c>
      <c r="AD1667" s="24">
        <v>5.19</v>
      </c>
      <c r="AG1667" s="3">
        <v>2.8</v>
      </c>
      <c r="AI1667" s="3">
        <f>AG1667-AD1667</f>
        <v>-2.3900000000000006</v>
      </c>
      <c r="AJ1667" s="3">
        <v>6.99</v>
      </c>
      <c r="AL1667" s="3">
        <f>AJ1667-AG1667</f>
        <v>4.1900000000000004</v>
      </c>
      <c r="AM1667" s="3">
        <v>12.28</v>
      </c>
      <c r="AO1667" s="3">
        <f>AM1667-AJ1667</f>
        <v>5.2899999999999991</v>
      </c>
      <c r="AP1667" s="3">
        <v>11.46</v>
      </c>
      <c r="AS1667" s="3">
        <v>8.89</v>
      </c>
      <c r="AV1667" s="3">
        <v>8</v>
      </c>
      <c r="AZ1667" s="3">
        <v>16.5</v>
      </c>
      <c r="BD1667" s="3">
        <v>11.49</v>
      </c>
      <c r="BH1667" s="3">
        <v>16.5</v>
      </c>
    </row>
    <row r="1668" spans="1:60">
      <c r="B1668" s="103" t="s">
        <v>101</v>
      </c>
      <c r="C1668" s="1" t="s">
        <v>372</v>
      </c>
      <c r="D1668" s="2"/>
      <c r="E1668" s="2"/>
      <c r="F1668" s="8"/>
      <c r="G1668" s="8"/>
      <c r="H1668" s="8"/>
      <c r="I1668" s="8"/>
      <c r="Q1668" s="3"/>
      <c r="T1668" s="3"/>
      <c r="W1668" s="3"/>
      <c r="AC1668" s="3"/>
      <c r="AI1668" s="3"/>
      <c r="AL1668" s="3"/>
      <c r="AO1668" s="3"/>
      <c r="BH1668" s="3">
        <v>22.6</v>
      </c>
    </row>
    <row r="1669" spans="1:60">
      <c r="A1669" s="6">
        <v>14</v>
      </c>
      <c r="B1669" s="103" t="s">
        <v>101</v>
      </c>
      <c r="C1669" s="1" t="s">
        <v>58</v>
      </c>
      <c r="D1669" s="2">
        <v>275</v>
      </c>
      <c r="E1669" s="2"/>
      <c r="F1669" s="8">
        <v>0</v>
      </c>
      <c r="G1669" s="8"/>
      <c r="H1669" s="8">
        <v>0</v>
      </c>
      <c r="I1669" s="8"/>
      <c r="M1669" s="3">
        <v>10</v>
      </c>
      <c r="O1669" s="3">
        <v>10</v>
      </c>
      <c r="P1669" s="1" t="s">
        <v>410</v>
      </c>
      <c r="Q1669" s="3"/>
      <c r="R1669" s="3">
        <v>13.99</v>
      </c>
      <c r="T1669" s="3">
        <f>R1669-O1669</f>
        <v>3.99</v>
      </c>
      <c r="U1669" s="3">
        <v>10.49</v>
      </c>
      <c r="W1669" s="3">
        <f>U1669-R1669</f>
        <v>-3.5</v>
      </c>
      <c r="X1669" s="3">
        <v>14</v>
      </c>
      <c r="Z1669" s="3">
        <f>X1669-U1669</f>
        <v>3.51</v>
      </c>
      <c r="AA1669" s="3">
        <v>11.76</v>
      </c>
      <c r="AC1669" s="3">
        <f>AA1669-X1669</f>
        <v>-2.2400000000000002</v>
      </c>
      <c r="AD1669" s="24">
        <v>11.52</v>
      </c>
      <c r="AG1669" s="3">
        <v>4.96</v>
      </c>
      <c r="AI1669" s="3">
        <f>AG1669-AD1669</f>
        <v>-6.56</v>
      </c>
      <c r="AJ1669" s="3">
        <v>10.7</v>
      </c>
      <c r="AL1669" s="3">
        <f>AJ1669-AG1669</f>
        <v>5.7399999999999993</v>
      </c>
      <c r="AM1669" s="3">
        <v>9.1999999999999993</v>
      </c>
      <c r="AO1669" s="3">
        <f>AM1669-AJ1669</f>
        <v>-1.5</v>
      </c>
      <c r="AP1669" s="3">
        <v>8.6</v>
      </c>
      <c r="AS1669" s="3">
        <v>6.77</v>
      </c>
      <c r="AV1669" s="3">
        <v>9.5</v>
      </c>
      <c r="AZ1669" s="3">
        <v>13.05</v>
      </c>
      <c r="BD1669" s="3">
        <v>10.5</v>
      </c>
      <c r="BH1669" s="3">
        <v>12.77</v>
      </c>
    </row>
    <row r="1670" spans="1:60">
      <c r="B1670" s="103" t="s">
        <v>101</v>
      </c>
      <c r="C1670" s="1" t="s">
        <v>868</v>
      </c>
      <c r="D1670" s="2"/>
      <c r="E1670" s="2"/>
      <c r="F1670" s="8"/>
      <c r="G1670" s="8"/>
      <c r="H1670" s="8"/>
      <c r="I1670" s="8"/>
      <c r="Q1670" s="3"/>
      <c r="T1670" s="3"/>
      <c r="W1670" s="3"/>
      <c r="AC1670" s="3"/>
      <c r="AI1670" s="3"/>
      <c r="AL1670" s="3"/>
      <c r="AO1670" s="3"/>
      <c r="BD1670" s="3">
        <v>22</v>
      </c>
      <c r="BH1670" s="3">
        <v>16.2</v>
      </c>
    </row>
    <row r="1671" spans="1:60">
      <c r="B1671" s="103" t="s">
        <v>101</v>
      </c>
      <c r="C1671" s="1" t="s">
        <v>854</v>
      </c>
      <c r="D1671" s="2"/>
      <c r="E1671" s="2"/>
      <c r="F1671" s="8"/>
      <c r="G1671" s="8"/>
      <c r="H1671" s="8"/>
      <c r="I1671" s="8"/>
      <c r="Q1671" s="3"/>
      <c r="T1671" s="3"/>
      <c r="AI1671" s="3"/>
      <c r="AL1671" s="3"/>
      <c r="AO1671" s="3"/>
      <c r="AZ1671" s="3">
        <v>193.05</v>
      </c>
    </row>
    <row r="1672" spans="1:60">
      <c r="B1672" s="103" t="s">
        <v>101</v>
      </c>
      <c r="C1672" s="1" t="s">
        <v>857</v>
      </c>
      <c r="D1672" s="2"/>
      <c r="E1672" s="2"/>
      <c r="F1672" s="8"/>
      <c r="G1672" s="8"/>
      <c r="H1672" s="8"/>
      <c r="I1672" s="8"/>
      <c r="Q1672" s="3"/>
      <c r="T1672" s="3"/>
      <c r="AI1672" s="3"/>
      <c r="AL1672" s="3"/>
      <c r="AO1672" s="3"/>
      <c r="BH1672" s="3">
        <v>24.1</v>
      </c>
    </row>
    <row r="1673" spans="1:60">
      <c r="B1673" s="103" t="s">
        <v>101</v>
      </c>
      <c r="C1673" s="1" t="s">
        <v>976</v>
      </c>
      <c r="D1673" s="2"/>
      <c r="E1673" s="2"/>
      <c r="F1673" s="8"/>
      <c r="G1673" s="8"/>
      <c r="H1673" s="8"/>
      <c r="I1673" s="8"/>
      <c r="Q1673" s="3"/>
      <c r="T1673" s="3"/>
      <c r="AI1673" s="3"/>
      <c r="AL1673" s="3"/>
      <c r="AO1673" s="3"/>
      <c r="BD1673" s="3">
        <v>31.2</v>
      </c>
    </row>
    <row r="1674" spans="1:60">
      <c r="B1674" s="103" t="s">
        <v>101</v>
      </c>
      <c r="C1674" s="1" t="s">
        <v>908</v>
      </c>
      <c r="D1674" s="2"/>
      <c r="E1674" s="2"/>
      <c r="F1674" s="8"/>
      <c r="G1674" s="8"/>
      <c r="H1674" s="8"/>
      <c r="I1674" s="8"/>
      <c r="Q1674" s="3"/>
      <c r="T1674" s="3"/>
      <c r="AI1674" s="3"/>
      <c r="AL1674" s="3"/>
      <c r="AO1674" s="3"/>
      <c r="BD1674" s="3">
        <v>19</v>
      </c>
    </row>
    <row r="1675" spans="1:60">
      <c r="B1675" s="103" t="s">
        <v>101</v>
      </c>
      <c r="C1675" s="1" t="s">
        <v>289</v>
      </c>
      <c r="D1675" s="2"/>
      <c r="E1675" s="2"/>
      <c r="F1675" s="8"/>
      <c r="G1675" s="8"/>
      <c r="H1675" s="8"/>
      <c r="I1675" s="8"/>
      <c r="Q1675" s="3"/>
      <c r="T1675" s="3"/>
      <c r="W1675" s="3"/>
      <c r="AC1675" s="3"/>
      <c r="AI1675" s="3"/>
      <c r="AL1675" s="3"/>
      <c r="AO1675" s="3"/>
      <c r="AZ1675" s="3">
        <v>51.6</v>
      </c>
      <c r="BD1675" s="3">
        <v>31.08</v>
      </c>
      <c r="BH1675" s="3">
        <v>39.08</v>
      </c>
    </row>
    <row r="1676" spans="1:60">
      <c r="B1676" s="103" t="s">
        <v>101</v>
      </c>
      <c r="C1676" s="1" t="s">
        <v>290</v>
      </c>
      <c r="D1676" s="2"/>
      <c r="E1676" s="2"/>
      <c r="F1676" s="8"/>
      <c r="G1676" s="8"/>
      <c r="H1676" s="8"/>
      <c r="I1676" s="8"/>
      <c r="Q1676" s="3"/>
      <c r="R1676" s="3">
        <v>0.83</v>
      </c>
      <c r="W1676" s="3"/>
      <c r="AZ1676" s="3">
        <v>57.73</v>
      </c>
      <c r="BD1676" s="3">
        <v>31.08</v>
      </c>
      <c r="BH1676" s="3">
        <v>36.08</v>
      </c>
    </row>
    <row r="1677" spans="1:60">
      <c r="B1677" s="103" t="s">
        <v>101</v>
      </c>
      <c r="C1677" s="1" t="s">
        <v>376</v>
      </c>
      <c r="D1677" s="2"/>
      <c r="E1677" s="2"/>
      <c r="F1677" s="8"/>
      <c r="G1677" s="8"/>
      <c r="H1677" s="8"/>
      <c r="I1677" s="8"/>
      <c r="Q1677" s="3"/>
      <c r="T1677" s="3"/>
      <c r="AA1677" s="3">
        <v>13.52</v>
      </c>
    </row>
    <row r="1678" spans="1:60">
      <c r="B1678" s="103" t="s">
        <v>101</v>
      </c>
      <c r="C1678" s="1" t="s">
        <v>64</v>
      </c>
      <c r="D1678" s="2"/>
      <c r="E1678" s="2"/>
      <c r="F1678" s="8"/>
      <c r="G1678" s="8"/>
      <c r="H1678" s="8"/>
      <c r="I1678" s="8"/>
      <c r="Q1678" s="3"/>
      <c r="R1678" s="3">
        <v>15.79</v>
      </c>
      <c r="T1678" s="3"/>
      <c r="U1678" s="3">
        <v>16.02</v>
      </c>
      <c r="W1678" s="3">
        <f>U1678-R1678</f>
        <v>0.23000000000000043</v>
      </c>
      <c r="X1678" s="3">
        <v>19</v>
      </c>
      <c r="Z1678" s="3">
        <f>X1678-U1678</f>
        <v>2.9800000000000004</v>
      </c>
      <c r="AA1678" s="3">
        <v>13.86</v>
      </c>
      <c r="AC1678" s="3">
        <f>AA1678-X1678</f>
        <v>-5.1400000000000006</v>
      </c>
      <c r="AD1678" s="24">
        <v>12.53</v>
      </c>
      <c r="AG1678" s="3">
        <v>3.28</v>
      </c>
      <c r="AI1678" s="3">
        <f>AG1678-AD1678</f>
        <v>-9.25</v>
      </c>
      <c r="AJ1678" s="3">
        <v>9.5</v>
      </c>
      <c r="AL1678" s="3">
        <f>AJ1678-AG1678</f>
        <v>6.2200000000000006</v>
      </c>
      <c r="AM1678" s="3">
        <v>10.51</v>
      </c>
      <c r="AO1678" s="3">
        <f>AM1678-AJ1678</f>
        <v>1.0099999999999998</v>
      </c>
      <c r="AP1678" s="3">
        <v>9.81</v>
      </c>
      <c r="AS1678" s="3">
        <v>8.48</v>
      </c>
      <c r="AV1678" s="3">
        <v>7.3</v>
      </c>
      <c r="AZ1678" s="3">
        <v>12.64</v>
      </c>
      <c r="BD1678" s="3">
        <v>17.37</v>
      </c>
      <c r="BH1678" s="3">
        <v>19.399999999999999</v>
      </c>
    </row>
    <row r="1679" spans="1:60">
      <c r="B1679" s="103" t="s">
        <v>101</v>
      </c>
      <c r="C1679" s="1" t="s">
        <v>855</v>
      </c>
      <c r="D1679" s="2"/>
      <c r="E1679" s="2"/>
      <c r="F1679" s="8"/>
      <c r="G1679" s="8"/>
      <c r="H1679" s="8"/>
      <c r="I1679" s="8"/>
      <c r="Q1679" s="3"/>
      <c r="T1679" s="3"/>
      <c r="W1679" s="3"/>
      <c r="AC1679" s="3"/>
      <c r="AI1679" s="3"/>
      <c r="AL1679" s="3"/>
      <c r="AO1679" s="3"/>
      <c r="AZ1679" s="3">
        <v>13.14</v>
      </c>
    </row>
    <row r="1680" spans="1:60">
      <c r="B1680" s="103" t="s">
        <v>101</v>
      </c>
      <c r="C1680" s="1" t="s">
        <v>286</v>
      </c>
      <c r="D1680" s="2"/>
      <c r="E1680" s="2"/>
      <c r="F1680" s="8"/>
      <c r="G1680" s="8"/>
      <c r="H1680" s="8"/>
      <c r="I1680" s="8"/>
      <c r="Q1680" s="3"/>
      <c r="R1680" s="3">
        <v>12.3</v>
      </c>
      <c r="T1680" s="3"/>
      <c r="U1680" s="3">
        <v>20.350000000000001</v>
      </c>
      <c r="W1680" s="3">
        <f>U1680-R1680</f>
        <v>8.0500000000000007</v>
      </c>
      <c r="X1680" s="3">
        <v>22</v>
      </c>
      <c r="Z1680" s="3">
        <f>X1680-U1680</f>
        <v>1.6499999999999986</v>
      </c>
      <c r="AA1680" s="3">
        <v>20.87</v>
      </c>
      <c r="AC1680" s="3">
        <f>AA1680-X1680</f>
        <v>-1.129999999999999</v>
      </c>
      <c r="AD1680" s="24">
        <v>17.79</v>
      </c>
      <c r="AG1680" s="3">
        <v>16</v>
      </c>
      <c r="AI1680" s="3">
        <f>AG1680-AD1680</f>
        <v>-1.7899999999999991</v>
      </c>
      <c r="AJ1680" s="3">
        <v>15</v>
      </c>
      <c r="AL1680" s="3">
        <f>AJ1680-AG1680</f>
        <v>-1</v>
      </c>
      <c r="AM1680" s="3">
        <v>9.5</v>
      </c>
      <c r="AO1680" s="3">
        <f>AM1680-AJ1680</f>
        <v>-5.5</v>
      </c>
      <c r="AP1680" s="3">
        <v>8.9</v>
      </c>
      <c r="AS1680" s="3">
        <v>6.97</v>
      </c>
      <c r="AZ1680" s="3">
        <v>13.14</v>
      </c>
      <c r="BD1680" s="3">
        <v>16.5</v>
      </c>
      <c r="BH1680" s="3">
        <v>17.8</v>
      </c>
    </row>
    <row r="1681" spans="1:61">
      <c r="B1681" s="103" t="s">
        <v>101</v>
      </c>
      <c r="C1681" s="1" t="s">
        <v>288</v>
      </c>
      <c r="D1681" s="2"/>
      <c r="E1681" s="2"/>
      <c r="F1681" s="8"/>
      <c r="G1681" s="8"/>
      <c r="H1681" s="8"/>
      <c r="I1681" s="8"/>
      <c r="Q1681" s="3"/>
      <c r="R1681" s="3">
        <v>15.16</v>
      </c>
      <c r="T1681" s="3"/>
      <c r="U1681" s="3">
        <v>17.11</v>
      </c>
      <c r="W1681" s="3">
        <f>U1681-R1681</f>
        <v>1.9499999999999993</v>
      </c>
      <c r="X1681" s="3">
        <v>17</v>
      </c>
      <c r="Z1681" s="3">
        <f>X1681-U1681</f>
        <v>-0.10999999999999943</v>
      </c>
      <c r="AA1681" s="3">
        <v>16.14</v>
      </c>
      <c r="AC1681" s="3">
        <f>AA1681-X1681</f>
        <v>-0.85999999999999943</v>
      </c>
      <c r="AD1681" s="24">
        <v>12.31</v>
      </c>
      <c r="AG1681" s="3">
        <v>4.96</v>
      </c>
      <c r="AI1681" s="3">
        <f>AG1681-AD1681</f>
        <v>-7.3500000000000005</v>
      </c>
      <c r="AJ1681" s="3">
        <v>10.58</v>
      </c>
      <c r="AL1681" s="3">
        <f>AJ1681-AG1681</f>
        <v>5.62</v>
      </c>
      <c r="AM1681" s="3">
        <v>9.64</v>
      </c>
      <c r="AO1681" s="3">
        <f>AM1681-AJ1681</f>
        <v>-0.9399999999999995</v>
      </c>
      <c r="AP1681" s="3">
        <v>9</v>
      </c>
      <c r="AS1681" s="3">
        <v>8.09</v>
      </c>
      <c r="AV1681" s="3">
        <v>8.25</v>
      </c>
      <c r="AZ1681" s="3">
        <v>12.5</v>
      </c>
      <c r="BD1681" s="3">
        <v>14.8</v>
      </c>
      <c r="BH1681" s="3">
        <v>18.100000000000001</v>
      </c>
    </row>
    <row r="1682" spans="1:61">
      <c r="B1682" s="103" t="s">
        <v>101</v>
      </c>
      <c r="C1682" s="1" t="s">
        <v>878</v>
      </c>
      <c r="D1682" s="2"/>
      <c r="E1682" s="2"/>
      <c r="F1682" s="8"/>
      <c r="G1682" s="8"/>
      <c r="H1682" s="8"/>
      <c r="I1682" s="8"/>
      <c r="Q1682" s="3"/>
      <c r="T1682" s="3"/>
      <c r="AI1682" s="3"/>
      <c r="AL1682" s="3"/>
      <c r="AO1682" s="3"/>
      <c r="BD1682" s="3">
        <v>23</v>
      </c>
    </row>
    <row r="1683" spans="1:61">
      <c r="B1683" s="103" t="s">
        <v>101</v>
      </c>
      <c r="C1683" s="1" t="s">
        <v>938</v>
      </c>
      <c r="D1683" s="2"/>
      <c r="E1683" s="2"/>
      <c r="F1683" s="8"/>
      <c r="G1683" s="8"/>
      <c r="H1683" s="8"/>
      <c r="I1683" s="8"/>
      <c r="Q1683" s="3"/>
      <c r="T1683" s="3"/>
      <c r="AI1683" s="3"/>
      <c r="AL1683" s="3"/>
      <c r="AO1683" s="3"/>
      <c r="BD1683" s="3">
        <v>43</v>
      </c>
    </row>
    <row r="1684" spans="1:61">
      <c r="A1684" s="6">
        <v>11</v>
      </c>
      <c r="B1684" s="103" t="s">
        <v>101</v>
      </c>
      <c r="C1684" s="1" t="s">
        <v>57</v>
      </c>
      <c r="D1684" s="2"/>
      <c r="E1684" s="2"/>
      <c r="F1684" s="8">
        <v>0</v>
      </c>
      <c r="G1684" s="8"/>
      <c r="H1684" s="8">
        <v>0</v>
      </c>
      <c r="I1684" s="8"/>
      <c r="M1684" s="3">
        <v>321</v>
      </c>
      <c r="O1684" s="3">
        <v>321</v>
      </c>
      <c r="P1684" s="1" t="s">
        <v>514</v>
      </c>
      <c r="Q1684" s="3"/>
    </row>
    <row r="1685" spans="1:61">
      <c r="B1685" s="103" t="s">
        <v>101</v>
      </c>
      <c r="C1685" s="1" t="s">
        <v>287</v>
      </c>
      <c r="D1685" s="2"/>
      <c r="E1685" s="2"/>
      <c r="F1685" s="8"/>
      <c r="G1685" s="8"/>
      <c r="H1685" s="8"/>
      <c r="I1685" s="8"/>
      <c r="Q1685" s="3"/>
      <c r="T1685" s="3"/>
      <c r="U1685" s="3">
        <v>18.739999999999998</v>
      </c>
      <c r="AD1685" s="24">
        <v>14.57</v>
      </c>
      <c r="AG1685" s="3">
        <v>14</v>
      </c>
      <c r="AI1685" s="3">
        <f>AG1685-AD1685</f>
        <v>-0.57000000000000028</v>
      </c>
      <c r="AJ1685" s="3">
        <v>16.05</v>
      </c>
      <c r="AL1685" s="3">
        <f>AJ1685-AG1685</f>
        <v>2.0500000000000007</v>
      </c>
      <c r="AM1685" s="3">
        <v>16.37</v>
      </c>
      <c r="AO1685" s="3">
        <f>AM1685-AJ1685</f>
        <v>0.32000000000000028</v>
      </c>
      <c r="AP1685" s="3">
        <v>15.28</v>
      </c>
      <c r="AS1685" s="3">
        <v>14</v>
      </c>
      <c r="AZ1685" s="3">
        <v>12.94</v>
      </c>
      <c r="BD1685" s="3">
        <v>15.4</v>
      </c>
      <c r="BH1685" s="3">
        <v>16.7</v>
      </c>
    </row>
    <row r="1686" spans="1:61">
      <c r="A1686" s="6">
        <v>1</v>
      </c>
      <c r="B1686" s="103" t="s">
        <v>100</v>
      </c>
      <c r="C1686" s="1" t="s">
        <v>52</v>
      </c>
      <c r="D1686" s="113" t="s">
        <v>224</v>
      </c>
      <c r="E1686" s="113"/>
      <c r="F1686" s="8">
        <v>0</v>
      </c>
      <c r="G1686" s="8"/>
      <c r="H1686" s="8">
        <v>0</v>
      </c>
      <c r="I1686" s="8"/>
      <c r="AH1686" s="1" t="s">
        <v>285</v>
      </c>
      <c r="BG1686" s="2"/>
      <c r="BH1686" s="2"/>
    </row>
    <row r="1687" spans="1:61">
      <c r="A1687" s="6">
        <v>3</v>
      </c>
      <c r="B1687" s="103" t="s">
        <v>100</v>
      </c>
      <c r="C1687" s="1" t="s">
        <v>54</v>
      </c>
      <c r="D1687" s="113"/>
      <c r="E1687" s="113"/>
      <c r="F1687" s="8">
        <v>0</v>
      </c>
      <c r="G1687" s="8"/>
      <c r="H1687" s="8">
        <v>0</v>
      </c>
      <c r="I1687" s="8"/>
      <c r="AH1687" s="1" t="s">
        <v>285</v>
      </c>
      <c r="AM1687" s="1"/>
      <c r="BG1687" s="2"/>
      <c r="BH1687" s="2"/>
    </row>
    <row r="1688" spans="1:61">
      <c r="A1688" s="6">
        <v>4</v>
      </c>
      <c r="B1688" s="103" t="s">
        <v>100</v>
      </c>
      <c r="C1688" s="1" t="s">
        <v>55</v>
      </c>
      <c r="D1688" s="113"/>
      <c r="E1688" s="113"/>
      <c r="F1688" s="8">
        <v>0</v>
      </c>
      <c r="G1688" s="8"/>
      <c r="H1688" s="8">
        <v>0</v>
      </c>
      <c r="I1688" s="8"/>
      <c r="AH1688" s="1" t="s">
        <v>285</v>
      </c>
      <c r="BD1688" s="2"/>
      <c r="BG1688" s="2"/>
      <c r="BH1688" s="2"/>
    </row>
    <row r="1689" spans="1:61">
      <c r="A1689" s="6">
        <v>5</v>
      </c>
      <c r="B1689" s="103" t="s">
        <v>100</v>
      </c>
      <c r="C1689" s="1" t="s">
        <v>56</v>
      </c>
      <c r="D1689" s="113"/>
      <c r="E1689" s="113"/>
      <c r="F1689" s="8">
        <v>12</v>
      </c>
      <c r="G1689" s="8"/>
      <c r="H1689" s="8">
        <v>12</v>
      </c>
      <c r="I1689" s="8"/>
      <c r="M1689" s="3">
        <v>8.5</v>
      </c>
      <c r="O1689" s="3">
        <v>8.5</v>
      </c>
      <c r="Q1689" s="3">
        <f>O1689-H1689</f>
        <v>-3.5</v>
      </c>
      <c r="R1689" s="3">
        <v>8.5</v>
      </c>
      <c r="T1689" s="3">
        <f>R1689-O1689</f>
        <v>0</v>
      </c>
      <c r="AH1689" s="1" t="s">
        <v>285</v>
      </c>
      <c r="BD1689" s="2"/>
      <c r="BG1689" s="2"/>
      <c r="BH1689" s="2"/>
    </row>
    <row r="1690" spans="1:61">
      <c r="A1690" s="6">
        <v>2</v>
      </c>
      <c r="B1690" s="103" t="s">
        <v>100</v>
      </c>
      <c r="C1690" s="1" t="s">
        <v>53</v>
      </c>
      <c r="D1690" s="2">
        <v>6</v>
      </c>
      <c r="E1690" s="113"/>
      <c r="F1690" s="8">
        <v>10</v>
      </c>
      <c r="G1690" s="8"/>
      <c r="H1690" s="8">
        <v>10</v>
      </c>
      <c r="I1690" s="10">
        <f>H1690-D1690</f>
        <v>4</v>
      </c>
      <c r="L1690" s="1" t="s">
        <v>709</v>
      </c>
      <c r="M1690" s="3">
        <v>8.5</v>
      </c>
      <c r="O1690" s="3">
        <v>8.5</v>
      </c>
      <c r="Q1690" s="3">
        <f>O1690-H1690</f>
        <v>-1.5</v>
      </c>
      <c r="R1690" s="3">
        <v>23.15</v>
      </c>
      <c r="T1690" s="3">
        <f>R1690-O1690</f>
        <v>14.649999999999999</v>
      </c>
      <c r="U1690" s="3">
        <v>26.66</v>
      </c>
      <c r="W1690" s="3">
        <f>U1690-R1690</f>
        <v>3.5100000000000016</v>
      </c>
      <c r="AH1690" s="1" t="s">
        <v>285</v>
      </c>
      <c r="BD1690" s="2"/>
      <c r="BG1690" s="2"/>
      <c r="BH1690" s="2"/>
    </row>
    <row r="1691" spans="1:61">
      <c r="A1691" s="6">
        <v>12</v>
      </c>
      <c r="B1691" s="103" t="s">
        <v>100</v>
      </c>
      <c r="C1691" s="1" t="s">
        <v>594</v>
      </c>
      <c r="D1691" s="113" t="s">
        <v>226</v>
      </c>
      <c r="E1691" s="113"/>
      <c r="F1691" s="8">
        <v>12</v>
      </c>
      <c r="G1691" s="8"/>
      <c r="H1691" s="8">
        <v>12</v>
      </c>
      <c r="I1691" s="8">
        <f>H1691-D1691</f>
        <v>6.12</v>
      </c>
      <c r="L1691" s="1" t="s">
        <v>516</v>
      </c>
      <c r="M1691" s="3">
        <v>10</v>
      </c>
      <c r="O1691" s="3">
        <v>10</v>
      </c>
      <c r="Q1691" s="3">
        <f>O1691-H1691</f>
        <v>-2</v>
      </c>
      <c r="R1691" s="3">
        <v>9.4700000000000006</v>
      </c>
      <c r="T1691" s="3">
        <f>R1691-O1691</f>
        <v>-0.52999999999999936</v>
      </c>
      <c r="U1691" s="3">
        <v>8.8800000000000008</v>
      </c>
      <c r="W1691" s="3">
        <f>U1691-R1691</f>
        <v>-0.58999999999999986</v>
      </c>
      <c r="X1691" s="3">
        <v>8.4600000000000009</v>
      </c>
      <c r="Z1691" s="3">
        <f>X1691-U1691</f>
        <v>-0.41999999999999993</v>
      </c>
      <c r="AA1691" s="3">
        <v>10</v>
      </c>
      <c r="AC1691" s="3">
        <f>AA1691-X1691</f>
        <v>1.5399999999999991</v>
      </c>
      <c r="AD1691" s="24">
        <v>10</v>
      </c>
      <c r="AH1691" s="1" t="s">
        <v>285</v>
      </c>
      <c r="AJ1691" s="3">
        <v>6.15</v>
      </c>
      <c r="AL1691" s="3"/>
      <c r="AM1691" s="3">
        <v>6.15</v>
      </c>
      <c r="AO1691" s="3">
        <f>AM1691-AJ1691</f>
        <v>0</v>
      </c>
      <c r="AP1691" s="3">
        <v>6.03</v>
      </c>
      <c r="AS1691" s="3">
        <v>6.03</v>
      </c>
      <c r="AV1691" s="3">
        <v>6.03</v>
      </c>
      <c r="AZ1691" s="3">
        <v>6.03</v>
      </c>
      <c r="BA1691" s="1" t="s">
        <v>919</v>
      </c>
      <c r="BD1691" s="2">
        <v>6.03</v>
      </c>
      <c r="BE1691" s="1" t="s">
        <v>919</v>
      </c>
      <c r="BG1691" s="2"/>
      <c r="BH1691" s="2">
        <v>6.03</v>
      </c>
      <c r="BI1691" s="1" t="s">
        <v>919</v>
      </c>
    </row>
    <row r="1692" spans="1:61">
      <c r="A1692" s="6">
        <v>14</v>
      </c>
      <c r="B1692" s="103" t="s">
        <v>100</v>
      </c>
      <c r="C1692" s="1" t="s">
        <v>58</v>
      </c>
      <c r="D1692" s="113" t="s">
        <v>404</v>
      </c>
      <c r="E1692" s="113"/>
      <c r="F1692" s="8">
        <v>20</v>
      </c>
      <c r="G1692" s="8"/>
      <c r="H1692" s="8">
        <v>20</v>
      </c>
      <c r="I1692" s="8">
        <f>H1692-D1692</f>
        <v>8.25</v>
      </c>
      <c r="L1692" s="1" t="s">
        <v>448</v>
      </c>
      <c r="M1692" s="3">
        <v>12.5</v>
      </c>
      <c r="O1692" s="3">
        <v>12.5</v>
      </c>
      <c r="Q1692" s="3">
        <f>O1692-H1692</f>
        <v>-7.5</v>
      </c>
      <c r="R1692" s="3">
        <v>9.4700000000000006</v>
      </c>
      <c r="T1692" s="3">
        <f>R1692-O1692</f>
        <v>-3.0299999999999994</v>
      </c>
      <c r="U1692" s="3">
        <v>21.73</v>
      </c>
      <c r="W1692" s="3">
        <f>U1692-R1692</f>
        <v>12.26</v>
      </c>
      <c r="X1692" s="3">
        <v>20.5</v>
      </c>
      <c r="Z1692" s="3">
        <f>X1692-U1692</f>
        <v>-1.2300000000000004</v>
      </c>
      <c r="AA1692" s="3">
        <v>22</v>
      </c>
      <c r="AC1692" s="3">
        <f>AA1692-X1692</f>
        <v>1.5</v>
      </c>
      <c r="AD1692" s="24">
        <v>22</v>
      </c>
      <c r="AH1692" s="1" t="s">
        <v>285</v>
      </c>
      <c r="AJ1692" s="3">
        <v>13.85</v>
      </c>
      <c r="AL1692" s="3"/>
      <c r="AM1692" s="3">
        <v>13.85</v>
      </c>
      <c r="AO1692" s="3">
        <f>AM1692-AJ1692</f>
        <v>0</v>
      </c>
      <c r="AP1692" s="3">
        <v>12.06</v>
      </c>
      <c r="AS1692" s="3">
        <v>12.06</v>
      </c>
      <c r="AV1692" s="3">
        <v>12.06</v>
      </c>
      <c r="AZ1692" s="2" t="s">
        <v>915</v>
      </c>
      <c r="BA1692" s="1" t="s">
        <v>919</v>
      </c>
      <c r="BD1692" s="2" t="s">
        <v>915</v>
      </c>
      <c r="BE1692" s="1" t="s">
        <v>919</v>
      </c>
      <c r="BG1692" s="2"/>
      <c r="BH1692" s="2" t="s">
        <v>915</v>
      </c>
      <c r="BI1692" s="1" t="s">
        <v>919</v>
      </c>
    </row>
    <row r="1693" spans="1:61">
      <c r="B1693" s="103" t="s">
        <v>100</v>
      </c>
      <c r="C1693" s="1" t="s">
        <v>289</v>
      </c>
      <c r="D1693" s="113"/>
      <c r="E1693" s="113"/>
      <c r="F1693" s="8"/>
      <c r="G1693" s="8"/>
      <c r="H1693" s="8"/>
      <c r="I1693" s="8"/>
      <c r="Q1693" s="3"/>
      <c r="T1693" s="3"/>
      <c r="U1693" s="3">
        <v>21.74</v>
      </c>
      <c r="X1693" s="3">
        <v>34</v>
      </c>
      <c r="Z1693" s="3">
        <f>X1693-U1693</f>
        <v>12.260000000000002</v>
      </c>
      <c r="AA1693" s="3">
        <v>35</v>
      </c>
      <c r="AC1693" s="3">
        <f>AA1693-X1693</f>
        <v>1</v>
      </c>
      <c r="AD1693" s="24">
        <v>35</v>
      </c>
      <c r="AH1693" s="1" t="s">
        <v>285</v>
      </c>
      <c r="AJ1693" s="3">
        <v>20</v>
      </c>
      <c r="AM1693" s="3">
        <v>20</v>
      </c>
      <c r="AO1693" s="3">
        <f>AM1693-AJ1693</f>
        <v>0</v>
      </c>
      <c r="AP1693" s="3">
        <v>25.86</v>
      </c>
      <c r="AS1693" s="3">
        <v>25.86</v>
      </c>
      <c r="AV1693" s="3">
        <v>25.86</v>
      </c>
      <c r="AZ1693" s="2" t="s">
        <v>917</v>
      </c>
      <c r="BA1693" s="1" t="s">
        <v>919</v>
      </c>
      <c r="BD1693" s="2" t="s">
        <v>917</v>
      </c>
      <c r="BE1693" s="1" t="s">
        <v>919</v>
      </c>
      <c r="BG1693" s="2"/>
      <c r="BH1693" s="2" t="s">
        <v>917</v>
      </c>
      <c r="BI1693" s="1" t="s">
        <v>919</v>
      </c>
    </row>
    <row r="1694" spans="1:61">
      <c r="B1694" s="103" t="s">
        <v>100</v>
      </c>
      <c r="C1694" s="1" t="s">
        <v>290</v>
      </c>
      <c r="D1694" s="113"/>
      <c r="E1694" s="113"/>
      <c r="F1694" s="8"/>
      <c r="G1694" s="8"/>
      <c r="H1694" s="8"/>
      <c r="I1694" s="8"/>
      <c r="Q1694" s="3"/>
      <c r="T1694" s="3"/>
      <c r="AC1694" s="3"/>
      <c r="AO1694" s="3"/>
      <c r="AV1694" s="3">
        <v>23.33</v>
      </c>
      <c r="AZ1694" s="2" t="s">
        <v>918</v>
      </c>
      <c r="BA1694" s="1" t="s">
        <v>919</v>
      </c>
      <c r="BD1694" s="2" t="s">
        <v>918</v>
      </c>
      <c r="BE1694" s="1" t="s">
        <v>919</v>
      </c>
      <c r="BG1694" s="2"/>
      <c r="BH1694" s="2" t="s">
        <v>918</v>
      </c>
      <c r="BI1694" s="1" t="s">
        <v>919</v>
      </c>
    </row>
    <row r="1695" spans="1:61">
      <c r="B1695" s="103" t="s">
        <v>100</v>
      </c>
      <c r="C1695" s="1" t="s">
        <v>64</v>
      </c>
      <c r="D1695" s="113"/>
      <c r="E1695" s="113"/>
      <c r="F1695" s="8"/>
      <c r="G1695" s="8"/>
      <c r="H1695" s="8"/>
      <c r="I1695" s="8"/>
      <c r="Q1695" s="3"/>
      <c r="T1695" s="3"/>
      <c r="U1695" s="3">
        <v>15.05</v>
      </c>
      <c r="X1695" s="3">
        <v>27.7</v>
      </c>
      <c r="Z1695" s="3">
        <f>X1695-U1695</f>
        <v>12.649999999999999</v>
      </c>
      <c r="AA1695" s="3">
        <v>25</v>
      </c>
      <c r="AC1695" s="3">
        <f>AA1695-X1695</f>
        <v>-2.6999999999999993</v>
      </c>
      <c r="AD1695" s="24">
        <v>25</v>
      </c>
      <c r="AH1695" s="1" t="s">
        <v>285</v>
      </c>
      <c r="AJ1695" s="3">
        <v>15.35</v>
      </c>
      <c r="AM1695" s="3">
        <v>15.35</v>
      </c>
      <c r="AO1695" s="3">
        <f>AM1695-AJ1695</f>
        <v>0</v>
      </c>
      <c r="AP1695" s="3">
        <v>17.239999999999998</v>
      </c>
      <c r="AS1695" s="3">
        <v>17.239999999999998</v>
      </c>
      <c r="AV1695" s="3">
        <v>17.239999999999998</v>
      </c>
      <c r="AZ1695" s="2" t="s">
        <v>916</v>
      </c>
      <c r="BA1695" s="1" t="s">
        <v>919</v>
      </c>
      <c r="BD1695" s="2" t="s">
        <v>916</v>
      </c>
      <c r="BE1695" s="1" t="s">
        <v>919</v>
      </c>
      <c r="BG1695" s="2"/>
      <c r="BH1695" s="2" t="s">
        <v>916</v>
      </c>
      <c r="BI1695" s="1" t="s">
        <v>919</v>
      </c>
    </row>
    <row r="1696" spans="1:61">
      <c r="B1696" s="103" t="s">
        <v>100</v>
      </c>
      <c r="C1696" s="1" t="s">
        <v>286</v>
      </c>
      <c r="D1696" s="113"/>
      <c r="E1696" s="113"/>
      <c r="F1696" s="8"/>
      <c r="G1696" s="8"/>
      <c r="H1696" s="8"/>
      <c r="I1696" s="8"/>
      <c r="Q1696" s="3"/>
      <c r="T1696" s="3"/>
      <c r="U1696" s="3">
        <v>15.05</v>
      </c>
      <c r="X1696" s="3">
        <v>27.7</v>
      </c>
      <c r="Z1696" s="3">
        <f>X1696-U1696</f>
        <v>12.649999999999999</v>
      </c>
      <c r="AD1696" s="24">
        <v>25</v>
      </c>
      <c r="AH1696" s="1" t="s">
        <v>285</v>
      </c>
      <c r="AJ1696" s="3">
        <v>15.35</v>
      </c>
      <c r="AM1696" s="3">
        <v>15.35</v>
      </c>
      <c r="AO1696" s="3">
        <f>AM1696-AJ1696</f>
        <v>0</v>
      </c>
      <c r="AP1696" s="3">
        <v>17.239999999999998</v>
      </c>
      <c r="AS1696" s="3">
        <v>17.239999999999998</v>
      </c>
      <c r="AV1696" s="3">
        <v>17.239999999999998</v>
      </c>
      <c r="AZ1696" s="2" t="s">
        <v>916</v>
      </c>
      <c r="BA1696" s="1" t="s">
        <v>919</v>
      </c>
      <c r="BD1696" s="2" t="s">
        <v>916</v>
      </c>
      <c r="BE1696" s="1" t="s">
        <v>919</v>
      </c>
      <c r="BG1696" s="2"/>
      <c r="BH1696" s="2" t="s">
        <v>916</v>
      </c>
      <c r="BI1696" s="1" t="s">
        <v>919</v>
      </c>
    </row>
    <row r="1697" spans="1:61">
      <c r="B1697" s="103" t="s">
        <v>100</v>
      </c>
      <c r="C1697" s="1" t="s">
        <v>288</v>
      </c>
      <c r="D1697" s="113"/>
      <c r="E1697" s="113"/>
      <c r="F1697" s="8"/>
      <c r="G1697" s="8"/>
      <c r="H1697" s="8"/>
      <c r="I1697" s="8"/>
      <c r="Q1697" s="3"/>
      <c r="T1697" s="3"/>
      <c r="AA1697" s="3">
        <v>25</v>
      </c>
      <c r="AH1697" s="1" t="s">
        <v>285</v>
      </c>
      <c r="AJ1697" s="3">
        <v>15.35</v>
      </c>
      <c r="AL1697" s="3"/>
      <c r="AM1697" s="3">
        <v>15.35</v>
      </c>
      <c r="AO1697" s="3">
        <f>AM1697-AJ1697</f>
        <v>0</v>
      </c>
      <c r="AP1697" s="3">
        <v>17.239999999999998</v>
      </c>
      <c r="AS1697" s="3">
        <v>17.239999999999998</v>
      </c>
      <c r="AV1697" s="3">
        <v>17.239999999999998</v>
      </c>
      <c r="AZ1697" s="2" t="s">
        <v>916</v>
      </c>
      <c r="BA1697" s="1" t="s">
        <v>919</v>
      </c>
      <c r="BD1697" s="2" t="s">
        <v>916</v>
      </c>
      <c r="BE1697" s="1" t="s">
        <v>919</v>
      </c>
      <c r="BG1697" s="2"/>
      <c r="BH1697" s="2" t="s">
        <v>916</v>
      </c>
      <c r="BI1697" s="1" t="s">
        <v>919</v>
      </c>
    </row>
    <row r="1698" spans="1:61">
      <c r="A1698" s="6">
        <v>11</v>
      </c>
      <c r="B1698" s="103" t="s">
        <v>100</v>
      </c>
      <c r="C1698" s="1" t="s">
        <v>57</v>
      </c>
      <c r="D1698" s="113" t="s">
        <v>225</v>
      </c>
      <c r="E1698" s="113"/>
      <c r="F1698" s="8">
        <v>12</v>
      </c>
      <c r="G1698" s="8"/>
      <c r="H1698" s="8">
        <v>12</v>
      </c>
      <c r="I1698" s="8">
        <f>H1698-D1698</f>
        <v>3.1799999999999997</v>
      </c>
      <c r="L1698" s="1" t="s">
        <v>616</v>
      </c>
      <c r="M1698" s="3">
        <v>10</v>
      </c>
      <c r="O1698" s="3">
        <v>10</v>
      </c>
      <c r="Q1698" s="3">
        <f>O1698-H1698</f>
        <v>-2</v>
      </c>
      <c r="R1698" s="3">
        <v>9.4700000000000006</v>
      </c>
      <c r="T1698" s="3">
        <f>R1698-O1698</f>
        <v>-0.52999999999999936</v>
      </c>
      <c r="U1698" s="3">
        <v>19.32</v>
      </c>
      <c r="W1698" s="3">
        <f>U1698-R1698</f>
        <v>9.85</v>
      </c>
      <c r="X1698" s="3">
        <v>23</v>
      </c>
      <c r="Z1698" s="3">
        <f>X1698-U1698</f>
        <v>3.6799999999999997</v>
      </c>
      <c r="AA1698" s="3">
        <v>20</v>
      </c>
      <c r="AC1698" s="3">
        <f>AA1698-X1698</f>
        <v>-3</v>
      </c>
      <c r="AD1698" s="24">
        <v>20</v>
      </c>
      <c r="AH1698" s="1" t="s">
        <v>285</v>
      </c>
      <c r="BG1698" s="2"/>
      <c r="BH1698" s="2"/>
    </row>
    <row r="1699" spans="1:61">
      <c r="B1699" s="103" t="s">
        <v>100</v>
      </c>
      <c r="C1699" s="1" t="s">
        <v>287</v>
      </c>
      <c r="D1699" s="113"/>
      <c r="E1699" s="113"/>
      <c r="F1699" s="8"/>
      <c r="G1699" s="8"/>
      <c r="H1699" s="8"/>
      <c r="I1699" s="8"/>
      <c r="Q1699" s="3"/>
      <c r="T1699" s="3"/>
      <c r="AJ1699" s="3">
        <v>15.35</v>
      </c>
      <c r="AM1699" s="3">
        <v>15.35</v>
      </c>
      <c r="AO1699" s="3">
        <f>AM1699-AJ1699</f>
        <v>0</v>
      </c>
      <c r="AP1699" s="3">
        <v>17.239999999999998</v>
      </c>
      <c r="AS1699" s="3">
        <v>17.239999999999998</v>
      </c>
      <c r="AV1699" s="3">
        <v>17.239999999999998</v>
      </c>
      <c r="BG1699" s="2"/>
      <c r="BH1699" s="2"/>
    </row>
    <row r="1700" spans="1:61">
      <c r="A1700" s="6">
        <v>1</v>
      </c>
      <c r="B1700" s="103" t="s">
        <v>102</v>
      </c>
      <c r="C1700" s="1" t="s">
        <v>52</v>
      </c>
      <c r="D1700" s="113"/>
      <c r="E1700" s="113"/>
      <c r="F1700" s="8">
        <v>0</v>
      </c>
      <c r="G1700" s="8"/>
      <c r="H1700" s="8">
        <v>0</v>
      </c>
      <c r="I1700" s="8"/>
      <c r="P1700" s="1" t="s">
        <v>284</v>
      </c>
      <c r="V1700" s="1" t="s">
        <v>285</v>
      </c>
      <c r="AK1700" s="1" t="s">
        <v>285</v>
      </c>
      <c r="AT1700" s="1" t="s">
        <v>285</v>
      </c>
      <c r="AW1700" s="1" t="s">
        <v>285</v>
      </c>
      <c r="BA1700" s="1" t="s">
        <v>285</v>
      </c>
      <c r="BG1700" s="2"/>
      <c r="BH1700" s="2"/>
    </row>
    <row r="1701" spans="1:61">
      <c r="A1701" s="6">
        <v>3</v>
      </c>
      <c r="B1701" s="103" t="s">
        <v>102</v>
      </c>
      <c r="C1701" s="1" t="s">
        <v>54</v>
      </c>
      <c r="D1701" s="113"/>
      <c r="E1701" s="113"/>
      <c r="F1701" s="8">
        <v>0</v>
      </c>
      <c r="G1701" s="8"/>
      <c r="H1701" s="8">
        <v>0</v>
      </c>
      <c r="I1701" s="8"/>
      <c r="P1701" s="1" t="s">
        <v>284</v>
      </c>
      <c r="V1701" s="1" t="s">
        <v>285</v>
      </c>
      <c r="AK1701" s="1" t="s">
        <v>285</v>
      </c>
      <c r="AT1701" s="1" t="s">
        <v>285</v>
      </c>
      <c r="AW1701" s="1" t="s">
        <v>285</v>
      </c>
      <c r="BA1701" s="1" t="s">
        <v>285</v>
      </c>
    </row>
    <row r="1702" spans="1:61">
      <c r="A1702" s="6">
        <v>4</v>
      </c>
      <c r="B1702" s="103" t="s">
        <v>102</v>
      </c>
      <c r="C1702" s="1" t="s">
        <v>55</v>
      </c>
      <c r="D1702" s="113"/>
      <c r="E1702" s="113"/>
      <c r="F1702" s="8">
        <v>0</v>
      </c>
      <c r="G1702" s="8"/>
      <c r="H1702" s="8">
        <v>0</v>
      </c>
      <c r="I1702" s="8"/>
      <c r="P1702" s="1" t="s">
        <v>284</v>
      </c>
      <c r="V1702" s="1" t="s">
        <v>285</v>
      </c>
      <c r="AK1702" s="1" t="s">
        <v>285</v>
      </c>
      <c r="AT1702" s="1" t="s">
        <v>285</v>
      </c>
      <c r="AW1702" s="1" t="s">
        <v>285</v>
      </c>
      <c r="BA1702" s="1" t="s">
        <v>285</v>
      </c>
    </row>
    <row r="1703" spans="1:61">
      <c r="A1703" s="6">
        <v>5</v>
      </c>
      <c r="B1703" s="103" t="s">
        <v>102</v>
      </c>
      <c r="C1703" s="1" t="s">
        <v>56</v>
      </c>
      <c r="D1703" s="113"/>
      <c r="E1703" s="113"/>
      <c r="F1703" s="8">
        <v>0</v>
      </c>
      <c r="G1703" s="8"/>
      <c r="H1703" s="8">
        <v>0</v>
      </c>
      <c r="I1703" s="8"/>
      <c r="P1703" s="1" t="s">
        <v>284</v>
      </c>
      <c r="V1703" s="1" t="s">
        <v>285</v>
      </c>
      <c r="AK1703" s="1" t="s">
        <v>285</v>
      </c>
      <c r="AT1703" s="1" t="s">
        <v>285</v>
      </c>
      <c r="AW1703" s="1" t="s">
        <v>285</v>
      </c>
      <c r="BA1703" s="1" t="s">
        <v>285</v>
      </c>
    </row>
    <row r="1704" spans="1:61">
      <c r="A1704" s="6">
        <v>2</v>
      </c>
      <c r="B1704" s="103" t="s">
        <v>102</v>
      </c>
      <c r="C1704" s="1" t="s">
        <v>53</v>
      </c>
      <c r="D1704" s="113"/>
      <c r="E1704" s="113"/>
      <c r="F1704" s="8">
        <v>0</v>
      </c>
      <c r="G1704" s="8"/>
      <c r="H1704" s="8">
        <v>0</v>
      </c>
      <c r="I1704" s="8"/>
      <c r="P1704" s="1" t="s">
        <v>284</v>
      </c>
      <c r="R1704" s="3">
        <v>10.18</v>
      </c>
      <c r="T1704" s="3"/>
      <c r="V1704" s="1" t="s">
        <v>285</v>
      </c>
      <c r="X1704" s="3">
        <v>8.8000000000000007</v>
      </c>
      <c r="AA1704" s="3">
        <v>12.5</v>
      </c>
      <c r="AC1704" s="3">
        <f>AA1704-X1704</f>
        <v>3.6999999999999993</v>
      </c>
      <c r="AD1704" s="24">
        <f>56.25/13.6</f>
        <v>4.1360294117647056</v>
      </c>
      <c r="AK1704" s="1" t="s">
        <v>285</v>
      </c>
      <c r="AT1704" s="1" t="s">
        <v>285</v>
      </c>
      <c r="AW1704" s="1" t="s">
        <v>285</v>
      </c>
      <c r="BA1704" s="1" t="s">
        <v>285</v>
      </c>
    </row>
    <row r="1705" spans="1:61">
      <c r="B1705" s="103" t="s">
        <v>102</v>
      </c>
      <c r="C1705" s="1" t="s">
        <v>158</v>
      </c>
      <c r="D1705" s="113"/>
      <c r="E1705" s="113"/>
      <c r="F1705" s="8"/>
      <c r="G1705" s="8"/>
      <c r="H1705" s="8"/>
      <c r="I1705" s="8"/>
      <c r="T1705" s="3"/>
      <c r="X1705" s="3">
        <v>6.67</v>
      </c>
      <c r="AK1705" s="1" t="s">
        <v>285</v>
      </c>
      <c r="AT1705" s="1" t="s">
        <v>285</v>
      </c>
      <c r="AW1705" s="1" t="s">
        <v>285</v>
      </c>
      <c r="BA1705" s="1" t="s">
        <v>285</v>
      </c>
    </row>
    <row r="1706" spans="1:61" ht="9.6" customHeight="1">
      <c r="B1706" s="103" t="s">
        <v>102</v>
      </c>
      <c r="C1706" s="1" t="s">
        <v>595</v>
      </c>
      <c r="D1706" s="113"/>
      <c r="E1706" s="113"/>
      <c r="F1706" s="8"/>
      <c r="G1706" s="8"/>
      <c r="H1706" s="8"/>
      <c r="I1706" s="8"/>
      <c r="T1706" s="3"/>
      <c r="AC1706" s="3"/>
      <c r="AI1706" s="3"/>
      <c r="AM1706" s="3">
        <v>5.31</v>
      </c>
      <c r="AP1706" s="3">
        <v>5.31</v>
      </c>
      <c r="AT1706" s="1" t="s">
        <v>285</v>
      </c>
      <c r="AW1706" s="1" t="s">
        <v>285</v>
      </c>
      <c r="BA1706" s="1" t="s">
        <v>285</v>
      </c>
    </row>
    <row r="1707" spans="1:61">
      <c r="A1707" s="6">
        <v>12</v>
      </c>
      <c r="B1707" s="103" t="s">
        <v>102</v>
      </c>
      <c r="C1707" s="1" t="s">
        <v>594</v>
      </c>
      <c r="D1707" s="113"/>
      <c r="E1707" s="113"/>
      <c r="F1707" s="8">
        <v>0</v>
      </c>
      <c r="G1707" s="8"/>
      <c r="H1707" s="8">
        <v>0</v>
      </c>
      <c r="I1707" s="8"/>
      <c r="P1707" s="1" t="s">
        <v>284</v>
      </c>
      <c r="R1707" s="3">
        <v>4.96</v>
      </c>
      <c r="T1707" s="3"/>
      <c r="V1707" s="1" t="s">
        <v>285</v>
      </c>
      <c r="X1707" s="3">
        <v>3.9</v>
      </c>
      <c r="AA1707" s="3">
        <v>5</v>
      </c>
      <c r="AC1707" s="3">
        <f>AA1707-X1707</f>
        <v>1.1000000000000001</v>
      </c>
      <c r="AD1707" s="24">
        <f>39.37/13.6</f>
        <v>2.8948529411764703</v>
      </c>
      <c r="AG1707" s="3">
        <v>5</v>
      </c>
      <c r="AI1707" s="3">
        <f>AG1707-AD1707</f>
        <v>2.1051470588235297</v>
      </c>
      <c r="AK1707" s="1" t="s">
        <v>285</v>
      </c>
      <c r="AM1707" s="3">
        <v>5.31</v>
      </c>
      <c r="AP1707" s="3">
        <v>5.31</v>
      </c>
      <c r="AT1707" s="1" t="s">
        <v>285</v>
      </c>
      <c r="AW1707" s="1" t="s">
        <v>285</v>
      </c>
      <c r="BA1707" s="1" t="s">
        <v>285</v>
      </c>
      <c r="BD1707" s="3">
        <v>3.53</v>
      </c>
      <c r="BH1707" s="3">
        <v>6.25</v>
      </c>
    </row>
    <row r="1708" spans="1:61">
      <c r="A1708" s="6">
        <v>14</v>
      </c>
      <c r="B1708" s="103" t="s">
        <v>102</v>
      </c>
      <c r="C1708" s="1" t="s">
        <v>58</v>
      </c>
      <c r="D1708" s="113"/>
      <c r="E1708" s="113"/>
      <c r="F1708" s="8">
        <v>0</v>
      </c>
      <c r="G1708" s="8"/>
      <c r="H1708" s="8">
        <v>0</v>
      </c>
      <c r="I1708" s="8"/>
      <c r="P1708" s="1" t="s">
        <v>284</v>
      </c>
      <c r="R1708" s="3">
        <v>11.45</v>
      </c>
      <c r="T1708" s="3"/>
      <c r="V1708" s="1" t="s">
        <v>285</v>
      </c>
      <c r="AD1708" s="24">
        <f>56.25/13.6</f>
        <v>4.1360294117647056</v>
      </c>
      <c r="AK1708" s="1" t="s">
        <v>285</v>
      </c>
      <c r="AM1708" s="3">
        <v>9.19</v>
      </c>
      <c r="AP1708" s="3">
        <v>9.19</v>
      </c>
      <c r="AT1708" s="1" t="s">
        <v>285</v>
      </c>
      <c r="AW1708" s="1" t="s">
        <v>285</v>
      </c>
      <c r="BA1708" s="1" t="s">
        <v>285</v>
      </c>
      <c r="BD1708" s="3">
        <v>5.36</v>
      </c>
      <c r="BH1708" s="3">
        <v>7.38</v>
      </c>
    </row>
    <row r="1709" spans="1:61">
      <c r="B1709" s="103" t="s">
        <v>102</v>
      </c>
      <c r="C1709" s="1" t="s">
        <v>289</v>
      </c>
      <c r="D1709" s="113"/>
      <c r="E1709" s="113"/>
      <c r="F1709" s="8"/>
      <c r="G1709" s="8"/>
      <c r="H1709" s="8"/>
      <c r="I1709" s="8"/>
      <c r="T1709" s="3"/>
      <c r="X1709" s="3">
        <v>2</v>
      </c>
      <c r="AA1709" s="3">
        <v>6.25</v>
      </c>
      <c r="AC1709" s="3">
        <f>AA1709-X1709</f>
        <v>4.25</v>
      </c>
      <c r="AD1709" s="24">
        <f>43.75/13.6</f>
        <v>3.2169117647058822</v>
      </c>
      <c r="AG1709" s="3">
        <v>6.25</v>
      </c>
      <c r="AI1709" s="3">
        <f>AG1709-AD1709</f>
        <v>3.0330882352941178</v>
      </c>
      <c r="AK1709" s="1" t="s">
        <v>285</v>
      </c>
      <c r="AM1709" s="3">
        <v>10</v>
      </c>
      <c r="AP1709" s="3">
        <v>10</v>
      </c>
      <c r="AT1709" s="1" t="s">
        <v>285</v>
      </c>
      <c r="AW1709" s="1" t="s">
        <v>285</v>
      </c>
      <c r="BA1709" s="1" t="s">
        <v>285</v>
      </c>
      <c r="BH1709" s="3">
        <v>5.44</v>
      </c>
    </row>
    <row r="1710" spans="1:61">
      <c r="B1710" s="103" t="s">
        <v>102</v>
      </c>
      <c r="C1710" s="1" t="s">
        <v>160</v>
      </c>
      <c r="D1710" s="113"/>
      <c r="E1710" s="113"/>
      <c r="F1710" s="8"/>
      <c r="G1710" s="8"/>
      <c r="H1710" s="8"/>
      <c r="I1710" s="8"/>
      <c r="T1710" s="3"/>
      <c r="X1710" s="3">
        <v>4.5</v>
      </c>
      <c r="AK1710" s="1" t="s">
        <v>285</v>
      </c>
      <c r="AT1710" s="1" t="s">
        <v>285</v>
      </c>
      <c r="AW1710" s="1" t="s">
        <v>285</v>
      </c>
      <c r="BA1710" s="1" t="s">
        <v>285</v>
      </c>
    </row>
    <row r="1711" spans="1:61">
      <c r="B1711" s="103" t="s">
        <v>102</v>
      </c>
      <c r="C1711" s="1" t="s">
        <v>290</v>
      </c>
      <c r="D1711" s="113"/>
      <c r="E1711" s="113"/>
      <c r="F1711" s="8"/>
      <c r="G1711" s="8"/>
      <c r="H1711" s="8"/>
      <c r="I1711" s="8"/>
      <c r="T1711" s="3"/>
      <c r="X1711" s="3">
        <v>1.67</v>
      </c>
      <c r="AK1711" s="1" t="s">
        <v>285</v>
      </c>
      <c r="AM1711" s="3">
        <v>10</v>
      </c>
      <c r="AP1711" s="3">
        <v>10</v>
      </c>
      <c r="AT1711" s="1" t="s">
        <v>285</v>
      </c>
      <c r="AW1711" s="1" t="s">
        <v>285</v>
      </c>
      <c r="BA1711" s="1" t="s">
        <v>285</v>
      </c>
    </row>
    <row r="1712" spans="1:61">
      <c r="B1712" s="103" t="s">
        <v>102</v>
      </c>
      <c r="C1712" s="1" t="s">
        <v>64</v>
      </c>
      <c r="D1712" s="113"/>
      <c r="E1712" s="113"/>
      <c r="F1712" s="8"/>
      <c r="G1712" s="8"/>
      <c r="H1712" s="8"/>
      <c r="I1712" s="8"/>
      <c r="T1712" s="3"/>
      <c r="X1712" s="3">
        <v>9.6999999999999993</v>
      </c>
      <c r="AA1712" s="3">
        <v>12.5</v>
      </c>
      <c r="AC1712" s="3">
        <f>AA1712-X1712</f>
        <v>2.8000000000000007</v>
      </c>
      <c r="AD1712" s="24">
        <f>75/13.6</f>
        <v>5.5147058823529411</v>
      </c>
      <c r="AG1712" s="3">
        <v>12.5</v>
      </c>
      <c r="AI1712" s="3">
        <f>AG1712-AD1712</f>
        <v>6.9852941176470589</v>
      </c>
      <c r="AK1712" s="1" t="s">
        <v>285</v>
      </c>
      <c r="AM1712" s="3">
        <v>11.47</v>
      </c>
      <c r="AP1712" s="3">
        <v>11.47</v>
      </c>
      <c r="AT1712" s="1" t="s">
        <v>285</v>
      </c>
      <c r="AW1712" s="1" t="s">
        <v>285</v>
      </c>
      <c r="BA1712" s="1" t="s">
        <v>285</v>
      </c>
    </row>
    <row r="1713" spans="1:61">
      <c r="B1713" s="103" t="s">
        <v>102</v>
      </c>
      <c r="C1713" s="1" t="s">
        <v>286</v>
      </c>
      <c r="D1713" s="113"/>
      <c r="E1713" s="113"/>
      <c r="F1713" s="8"/>
      <c r="G1713" s="8"/>
      <c r="H1713" s="8"/>
      <c r="I1713" s="8"/>
      <c r="T1713" s="3"/>
      <c r="AC1713" s="3"/>
      <c r="AD1713" s="24">
        <f>75/13.6</f>
        <v>5.5147058823529411</v>
      </c>
      <c r="AK1713" s="1" t="s">
        <v>285</v>
      </c>
      <c r="AM1713" s="3">
        <v>11.06</v>
      </c>
      <c r="AP1713" s="3">
        <v>11.06</v>
      </c>
      <c r="AT1713" s="1" t="s">
        <v>285</v>
      </c>
      <c r="AW1713" s="1" t="s">
        <v>285</v>
      </c>
      <c r="BA1713" s="1" t="s">
        <v>285</v>
      </c>
    </row>
    <row r="1714" spans="1:61">
      <c r="B1714" s="103" t="s">
        <v>102</v>
      </c>
      <c r="C1714" s="1" t="s">
        <v>288</v>
      </c>
      <c r="D1714" s="113"/>
      <c r="E1714" s="113"/>
      <c r="F1714" s="8"/>
      <c r="G1714" s="8"/>
      <c r="H1714" s="8"/>
      <c r="I1714" s="8"/>
      <c r="T1714" s="3"/>
      <c r="AC1714" s="3"/>
      <c r="AI1714" s="3"/>
      <c r="AM1714" s="3">
        <v>11.8</v>
      </c>
      <c r="AP1714" s="3">
        <v>11.8</v>
      </c>
      <c r="AT1714" s="1" t="s">
        <v>285</v>
      </c>
      <c r="AW1714" s="1" t="s">
        <v>285</v>
      </c>
      <c r="BA1714" s="1" t="s">
        <v>285</v>
      </c>
      <c r="BD1714" s="3">
        <v>5.07</v>
      </c>
      <c r="BH1714" s="3">
        <v>9.7200000000000006</v>
      </c>
    </row>
    <row r="1715" spans="1:61">
      <c r="A1715" s="6">
        <v>11</v>
      </c>
      <c r="B1715" s="103" t="s">
        <v>102</v>
      </c>
      <c r="C1715" s="1" t="s">
        <v>57</v>
      </c>
      <c r="D1715" s="113"/>
      <c r="E1715" s="113"/>
      <c r="F1715" s="8">
        <v>0</v>
      </c>
      <c r="G1715" s="8"/>
      <c r="H1715" s="8">
        <v>0</v>
      </c>
      <c r="I1715" s="8"/>
      <c r="P1715" s="1" t="s">
        <v>284</v>
      </c>
      <c r="V1715" s="1" t="s">
        <v>285</v>
      </c>
      <c r="AK1715" s="1" t="s">
        <v>285</v>
      </c>
      <c r="AT1715" s="1" t="s">
        <v>285</v>
      </c>
      <c r="AW1715" s="1" t="s">
        <v>285</v>
      </c>
      <c r="BA1715" s="1" t="s">
        <v>285</v>
      </c>
    </row>
    <row r="1716" spans="1:61">
      <c r="A1716" s="6">
        <v>1</v>
      </c>
      <c r="B1716" s="103" t="s">
        <v>509</v>
      </c>
      <c r="C1716" s="1" t="s">
        <v>52</v>
      </c>
      <c r="D1716" s="113"/>
      <c r="E1716" s="113"/>
      <c r="F1716" s="8" t="s">
        <v>685</v>
      </c>
      <c r="G1716" s="8"/>
      <c r="H1716" s="8" t="s">
        <v>685</v>
      </c>
      <c r="I1716" s="8"/>
      <c r="M1716" s="7" t="s">
        <v>685</v>
      </c>
      <c r="O1716" s="7" t="s">
        <v>685</v>
      </c>
      <c r="R1716" s="2" t="s">
        <v>685</v>
      </c>
      <c r="U1716" s="2" t="s">
        <v>685</v>
      </c>
      <c r="X1716" s="2"/>
      <c r="AE1716" s="1" t="s">
        <v>285</v>
      </c>
      <c r="AH1716" s="1" t="s">
        <v>285</v>
      </c>
      <c r="AK1716" s="1" t="s">
        <v>285</v>
      </c>
    </row>
    <row r="1717" spans="1:61">
      <c r="A1717" s="6">
        <v>3</v>
      </c>
      <c r="B1717" s="103" t="s">
        <v>509</v>
      </c>
      <c r="C1717" s="1" t="s">
        <v>54</v>
      </c>
      <c r="D1717" s="113"/>
      <c r="E1717" s="113"/>
      <c r="F1717" s="8" t="s">
        <v>685</v>
      </c>
      <c r="G1717" s="8"/>
      <c r="H1717" s="8" t="s">
        <v>685</v>
      </c>
      <c r="I1717" s="8"/>
      <c r="M1717" s="7" t="s">
        <v>685</v>
      </c>
      <c r="O1717" s="7" t="s">
        <v>685</v>
      </c>
      <c r="R1717" s="2" t="s">
        <v>685</v>
      </c>
      <c r="U1717" s="2" t="s">
        <v>685</v>
      </c>
      <c r="X1717" s="2"/>
      <c r="AE1717" s="1" t="s">
        <v>285</v>
      </c>
      <c r="AH1717" s="1" t="s">
        <v>285</v>
      </c>
      <c r="AK1717" s="1" t="s">
        <v>285</v>
      </c>
    </row>
    <row r="1718" spans="1:61">
      <c r="A1718" s="6">
        <v>4</v>
      </c>
      <c r="B1718" s="103" t="s">
        <v>509</v>
      </c>
      <c r="C1718" s="1" t="s">
        <v>55</v>
      </c>
      <c r="D1718" s="113"/>
      <c r="E1718" s="113"/>
      <c r="F1718" s="8" t="s">
        <v>685</v>
      </c>
      <c r="G1718" s="8"/>
      <c r="H1718" s="8" t="s">
        <v>685</v>
      </c>
      <c r="I1718" s="8"/>
      <c r="M1718" s="7" t="s">
        <v>685</v>
      </c>
      <c r="O1718" s="7" t="s">
        <v>685</v>
      </c>
      <c r="R1718" s="2" t="s">
        <v>685</v>
      </c>
      <c r="U1718" s="2" t="s">
        <v>685</v>
      </c>
      <c r="X1718" s="2"/>
      <c r="AE1718" s="1" t="s">
        <v>285</v>
      </c>
      <c r="AH1718" s="1" t="s">
        <v>285</v>
      </c>
      <c r="AK1718" s="1" t="s">
        <v>285</v>
      </c>
    </row>
    <row r="1719" spans="1:61">
      <c r="A1719" s="6">
        <v>5</v>
      </c>
      <c r="B1719" s="103" t="s">
        <v>509</v>
      </c>
      <c r="C1719" s="1" t="s">
        <v>56</v>
      </c>
      <c r="D1719" s="113"/>
      <c r="E1719" s="113"/>
      <c r="F1719" s="8" t="s">
        <v>685</v>
      </c>
      <c r="G1719" s="8"/>
      <c r="H1719" s="8" t="s">
        <v>685</v>
      </c>
      <c r="I1719" s="8"/>
      <c r="M1719" s="7" t="s">
        <v>685</v>
      </c>
      <c r="O1719" s="7" t="s">
        <v>685</v>
      </c>
      <c r="R1719" s="2" t="s">
        <v>685</v>
      </c>
      <c r="U1719" s="2" t="s">
        <v>685</v>
      </c>
      <c r="X1719" s="2"/>
      <c r="AE1719" s="1" t="s">
        <v>285</v>
      </c>
      <c r="AH1719" s="1" t="s">
        <v>285</v>
      </c>
      <c r="AK1719" s="1" t="s">
        <v>285</v>
      </c>
    </row>
    <row r="1720" spans="1:61">
      <c r="A1720" s="6">
        <v>2</v>
      </c>
      <c r="B1720" s="103" t="s">
        <v>509</v>
      </c>
      <c r="C1720" s="1" t="s">
        <v>53</v>
      </c>
      <c r="D1720" s="113"/>
      <c r="E1720" s="113"/>
      <c r="F1720" s="8" t="s">
        <v>685</v>
      </c>
      <c r="G1720" s="8"/>
      <c r="H1720" s="8" t="s">
        <v>685</v>
      </c>
      <c r="I1720" s="8"/>
      <c r="M1720" s="7" t="s">
        <v>685</v>
      </c>
      <c r="O1720" s="7" t="s">
        <v>685</v>
      </c>
      <c r="R1720" s="2" t="s">
        <v>685</v>
      </c>
      <c r="U1720" s="2" t="s">
        <v>685</v>
      </c>
      <c r="X1720" s="2"/>
      <c r="AE1720" s="1" t="s">
        <v>285</v>
      </c>
      <c r="AH1720" s="1" t="s">
        <v>285</v>
      </c>
      <c r="AK1720" s="1" t="s">
        <v>285</v>
      </c>
    </row>
    <row r="1721" spans="1:61">
      <c r="A1721" s="6">
        <v>12</v>
      </c>
      <c r="B1721" s="103" t="s">
        <v>509</v>
      </c>
      <c r="C1721" s="1" t="s">
        <v>594</v>
      </c>
      <c r="D1721" s="113"/>
      <c r="E1721" s="113"/>
      <c r="F1721" s="8" t="s">
        <v>685</v>
      </c>
      <c r="G1721" s="8"/>
      <c r="H1721" s="8" t="s">
        <v>685</v>
      </c>
      <c r="I1721" s="8"/>
      <c r="M1721" s="7" t="s">
        <v>685</v>
      </c>
      <c r="O1721" s="7" t="s">
        <v>685</v>
      </c>
      <c r="R1721" s="2" t="s">
        <v>685</v>
      </c>
      <c r="U1721" s="2" t="s">
        <v>685</v>
      </c>
      <c r="X1721" s="2">
        <f>120/13</f>
        <v>9.2307692307692299</v>
      </c>
      <c r="Y1721" s="1" t="s">
        <v>279</v>
      </c>
      <c r="AE1721" s="1" t="s">
        <v>285</v>
      </c>
      <c r="AH1721" s="1" t="s">
        <v>285</v>
      </c>
      <c r="AK1721" s="1" t="s">
        <v>285</v>
      </c>
    </row>
    <row r="1722" spans="1:61">
      <c r="A1722" s="6">
        <v>14</v>
      </c>
      <c r="B1722" s="103" t="s">
        <v>509</v>
      </c>
      <c r="C1722" s="1" t="s">
        <v>58</v>
      </c>
      <c r="D1722" s="113"/>
      <c r="E1722" s="113"/>
      <c r="F1722" s="8" t="s">
        <v>685</v>
      </c>
      <c r="G1722" s="8"/>
      <c r="H1722" s="8" t="s">
        <v>685</v>
      </c>
      <c r="I1722" s="8"/>
      <c r="M1722" s="7" t="s">
        <v>685</v>
      </c>
      <c r="O1722" s="7" t="s">
        <v>685</v>
      </c>
      <c r="R1722" s="2" t="s">
        <v>685</v>
      </c>
      <c r="U1722" s="2" t="s">
        <v>685</v>
      </c>
      <c r="X1722" s="2"/>
      <c r="AA1722" s="3">
        <v>13.6</v>
      </c>
      <c r="AE1722" s="1" t="s">
        <v>285</v>
      </c>
      <c r="AH1722" s="1" t="s">
        <v>285</v>
      </c>
      <c r="AK1722" s="1" t="s">
        <v>285</v>
      </c>
      <c r="AP1722" s="3">
        <v>51.3</v>
      </c>
      <c r="AS1722" s="3">
        <v>51</v>
      </c>
      <c r="AV1722" s="3">
        <v>11.3</v>
      </c>
      <c r="AZ1722" s="3">
        <v>42.71</v>
      </c>
      <c r="BA1722" s="1" t="s">
        <v>852</v>
      </c>
      <c r="BD1722" s="3">
        <v>42.71</v>
      </c>
      <c r="BE1722" s="1" t="s">
        <v>852</v>
      </c>
      <c r="BH1722" s="3">
        <v>65</v>
      </c>
      <c r="BI1722" s="1" t="s">
        <v>852</v>
      </c>
    </row>
    <row r="1723" spans="1:61">
      <c r="B1723" s="103" t="s">
        <v>509</v>
      </c>
      <c r="C1723" s="1" t="s">
        <v>857</v>
      </c>
      <c r="D1723" s="113"/>
      <c r="E1723" s="113"/>
      <c r="F1723" s="8"/>
      <c r="G1723" s="8"/>
      <c r="H1723" s="8"/>
      <c r="I1723" s="8"/>
      <c r="M1723" s="7"/>
      <c r="O1723" s="7"/>
      <c r="R1723" s="2"/>
      <c r="U1723" s="2"/>
      <c r="X1723" s="2"/>
      <c r="BH1723" s="3">
        <v>110</v>
      </c>
      <c r="BI1723" s="1" t="s">
        <v>852</v>
      </c>
    </row>
    <row r="1724" spans="1:61" ht="9.6" customHeight="1">
      <c r="B1724" s="103" t="s">
        <v>509</v>
      </c>
      <c r="C1724" s="1" t="s">
        <v>64</v>
      </c>
      <c r="D1724" s="113"/>
      <c r="E1724" s="113"/>
      <c r="F1724" s="8"/>
      <c r="G1724" s="8"/>
      <c r="H1724" s="8"/>
      <c r="I1724" s="8"/>
      <c r="M1724" s="7"/>
      <c r="O1724" s="7"/>
      <c r="R1724" s="2"/>
      <c r="U1724" s="2"/>
      <c r="X1724" s="2"/>
      <c r="AP1724" s="3">
        <v>50.5</v>
      </c>
      <c r="AS1724" s="3">
        <v>50</v>
      </c>
      <c r="AV1724" s="3">
        <v>10.9</v>
      </c>
      <c r="AZ1724" s="3">
        <v>42.07</v>
      </c>
      <c r="BA1724" s="1" t="s">
        <v>852</v>
      </c>
      <c r="BD1724" s="3">
        <v>42.07</v>
      </c>
      <c r="BE1724" s="1" t="s">
        <v>852</v>
      </c>
      <c r="BH1724" s="3">
        <v>42.07</v>
      </c>
      <c r="BI1724" s="1" t="s">
        <v>852</v>
      </c>
    </row>
    <row r="1725" spans="1:61">
      <c r="B1725" s="103" t="s">
        <v>509</v>
      </c>
      <c r="C1725" s="1" t="s">
        <v>288</v>
      </c>
      <c r="D1725" s="113"/>
      <c r="E1725" s="113"/>
      <c r="F1725" s="8"/>
      <c r="G1725" s="8"/>
      <c r="H1725" s="8"/>
      <c r="I1725" s="8"/>
      <c r="M1725" s="7"/>
      <c r="O1725" s="7"/>
      <c r="R1725" s="2"/>
      <c r="U1725" s="2"/>
      <c r="X1725" s="2"/>
      <c r="AA1725" s="3">
        <v>13.6</v>
      </c>
      <c r="AE1725" s="1" t="s">
        <v>285</v>
      </c>
      <c r="AH1725" s="1" t="s">
        <v>285</v>
      </c>
      <c r="AK1725" s="1" t="s">
        <v>285</v>
      </c>
      <c r="AP1725" s="3">
        <v>42.3</v>
      </c>
      <c r="AS1725" s="3">
        <v>42</v>
      </c>
      <c r="AV1725" s="3">
        <v>13.36</v>
      </c>
      <c r="AZ1725" s="3">
        <v>35.380000000000003</v>
      </c>
      <c r="BA1725" s="1" t="s">
        <v>852</v>
      </c>
      <c r="BD1725" s="3">
        <v>35.380000000000003</v>
      </c>
      <c r="BE1725" s="1" t="s">
        <v>852</v>
      </c>
      <c r="BH1725" s="3">
        <v>35.380000000000003</v>
      </c>
      <c r="BI1725" s="1" t="s">
        <v>852</v>
      </c>
    </row>
    <row r="1726" spans="1:61">
      <c r="A1726" s="6">
        <v>11</v>
      </c>
      <c r="B1726" s="103" t="s">
        <v>509</v>
      </c>
      <c r="C1726" s="1" t="s">
        <v>57</v>
      </c>
      <c r="D1726" s="113"/>
      <c r="E1726" s="113"/>
      <c r="F1726" s="8" t="s">
        <v>685</v>
      </c>
      <c r="G1726" s="8"/>
      <c r="H1726" s="8" t="s">
        <v>685</v>
      </c>
      <c r="I1726" s="8"/>
      <c r="M1726" s="7" t="s">
        <v>685</v>
      </c>
      <c r="O1726" s="7" t="s">
        <v>685</v>
      </c>
      <c r="R1726" s="2" t="s">
        <v>685</v>
      </c>
      <c r="U1726" s="2" t="s">
        <v>685</v>
      </c>
      <c r="X1726" s="2"/>
      <c r="AE1726" s="1" t="s">
        <v>285</v>
      </c>
      <c r="AH1726" s="1" t="s">
        <v>285</v>
      </c>
      <c r="AK1726" s="1" t="s">
        <v>285</v>
      </c>
    </row>
    <row r="1727" spans="1:61">
      <c r="A1727" s="6">
        <v>1</v>
      </c>
      <c r="B1727" s="103" t="s">
        <v>847</v>
      </c>
      <c r="C1727" s="1" t="s">
        <v>52</v>
      </c>
      <c r="D1727" s="2"/>
      <c r="E1727" s="2"/>
      <c r="F1727" s="8">
        <v>0</v>
      </c>
      <c r="G1727" s="8"/>
      <c r="H1727" s="8">
        <v>0</v>
      </c>
      <c r="I1727" s="8"/>
      <c r="AW1727" s="1" t="s">
        <v>285</v>
      </c>
    </row>
    <row r="1728" spans="1:61">
      <c r="A1728" s="6">
        <v>3</v>
      </c>
      <c r="B1728" s="103" t="s">
        <v>847</v>
      </c>
      <c r="C1728" s="1" t="s">
        <v>54</v>
      </c>
      <c r="D1728" s="2"/>
      <c r="E1728" s="2"/>
      <c r="F1728" s="8">
        <v>0</v>
      </c>
      <c r="G1728" s="8"/>
      <c r="H1728" s="8">
        <v>0</v>
      </c>
      <c r="I1728" s="8"/>
      <c r="AW1728" s="1" t="s">
        <v>285</v>
      </c>
    </row>
    <row r="1729" spans="1:61">
      <c r="A1729" s="6">
        <v>4</v>
      </c>
      <c r="B1729" s="103" t="s">
        <v>847</v>
      </c>
      <c r="C1729" s="1" t="s">
        <v>55</v>
      </c>
      <c r="D1729" s="2"/>
      <c r="E1729" s="2"/>
      <c r="F1729" s="8">
        <v>0</v>
      </c>
      <c r="G1729" s="8"/>
      <c r="H1729" s="8">
        <v>0</v>
      </c>
      <c r="I1729" s="8"/>
      <c r="AW1729" s="1" t="s">
        <v>285</v>
      </c>
    </row>
    <row r="1730" spans="1:61">
      <c r="A1730" s="6">
        <v>5</v>
      </c>
      <c r="B1730" s="103" t="s">
        <v>847</v>
      </c>
      <c r="C1730" s="1" t="s">
        <v>56</v>
      </c>
      <c r="D1730" s="2"/>
      <c r="E1730" s="2"/>
      <c r="F1730" s="8">
        <v>0</v>
      </c>
      <c r="G1730" s="8"/>
      <c r="H1730" s="8">
        <v>0</v>
      </c>
      <c r="I1730" s="8"/>
      <c r="AW1730" s="1" t="s">
        <v>285</v>
      </c>
    </row>
    <row r="1731" spans="1:61">
      <c r="A1731" s="6">
        <v>2</v>
      </c>
      <c r="B1731" s="103" t="s">
        <v>847</v>
      </c>
      <c r="C1731" s="1" t="s">
        <v>53</v>
      </c>
      <c r="D1731" s="2">
        <v>5</v>
      </c>
      <c r="E1731" s="2"/>
      <c r="F1731" s="8">
        <v>5</v>
      </c>
      <c r="G1731" s="8"/>
      <c r="H1731" s="8">
        <v>5</v>
      </c>
      <c r="I1731" s="8">
        <f>H1731-D1731</f>
        <v>0</v>
      </c>
      <c r="K1731" s="3"/>
      <c r="AW1731" s="1" t="s">
        <v>285</v>
      </c>
    </row>
    <row r="1732" spans="1:61" ht="9.6" customHeight="1">
      <c r="A1732" s="6">
        <v>12</v>
      </c>
      <c r="B1732" s="103" t="s">
        <v>847</v>
      </c>
      <c r="C1732" s="1" t="s">
        <v>594</v>
      </c>
      <c r="D1732" s="2">
        <v>3</v>
      </c>
      <c r="E1732" s="2"/>
      <c r="F1732" s="8">
        <v>3</v>
      </c>
      <c r="G1732" s="8"/>
      <c r="H1732" s="8">
        <v>3</v>
      </c>
      <c r="I1732" s="9">
        <f>H1732-D1732</f>
        <v>0</v>
      </c>
      <c r="K1732" s="3"/>
      <c r="M1732" s="3">
        <v>4.7</v>
      </c>
      <c r="O1732" s="3">
        <v>4.7</v>
      </c>
      <c r="Q1732" s="3">
        <f>O1732-H1732</f>
        <v>1.7000000000000002</v>
      </c>
      <c r="R1732" s="3">
        <v>2.4500000000000002</v>
      </c>
      <c r="S1732" s="1" t="s">
        <v>452</v>
      </c>
      <c r="T1732" s="3">
        <f>R1732-O1732</f>
        <v>-2.25</v>
      </c>
      <c r="U1732" s="3">
        <v>2.57</v>
      </c>
      <c r="V1732" s="103" t="s">
        <v>694</v>
      </c>
      <c r="W1732" s="3">
        <f>U1732-R1732</f>
        <v>0.11999999999999966</v>
      </c>
      <c r="X1732" s="3">
        <v>11.09</v>
      </c>
      <c r="Y1732" s="1" t="s">
        <v>370</v>
      </c>
      <c r="Z1732" s="3">
        <f>X1732-U1732</f>
        <v>8.52</v>
      </c>
      <c r="AA1732" s="3">
        <v>8.6999999999999993</v>
      </c>
      <c r="AC1732" s="3">
        <f>AA1732-X1732</f>
        <v>-2.3900000000000006</v>
      </c>
      <c r="AD1732" s="24">
        <v>11</v>
      </c>
      <c r="AF1732" s="24">
        <f>AD1732-AA1732</f>
        <v>2.3000000000000007</v>
      </c>
      <c r="AG1732" s="3">
        <v>8.5</v>
      </c>
      <c r="AI1732" s="3">
        <f>AG1732-AD1732</f>
        <v>-2.5</v>
      </c>
      <c r="AJ1732" s="3">
        <v>7</v>
      </c>
      <c r="AL1732" s="3">
        <f>AJ1732-AG1732</f>
        <v>-1.5</v>
      </c>
      <c r="AM1732" s="3">
        <v>7.2</v>
      </c>
      <c r="AO1732" s="3">
        <f>AM1732-AJ1732</f>
        <v>0.20000000000000018</v>
      </c>
      <c r="AP1732" s="3">
        <v>7.8</v>
      </c>
      <c r="AS1732" s="3">
        <v>9.5</v>
      </c>
      <c r="AW1732" s="1" t="s">
        <v>285</v>
      </c>
      <c r="AZ1732" s="3">
        <v>21.05</v>
      </c>
      <c r="BA1732" s="1" t="s">
        <v>852</v>
      </c>
      <c r="BC1732" s="3">
        <v>21.05</v>
      </c>
      <c r="BD1732" s="3">
        <v>18.82</v>
      </c>
      <c r="BE1732" s="1" t="s">
        <v>852</v>
      </c>
      <c r="BG1732" s="3">
        <v>18.82</v>
      </c>
      <c r="BH1732" s="3">
        <v>19.559999999999999</v>
      </c>
      <c r="BI1732" s="1" t="s">
        <v>852</v>
      </c>
    </row>
    <row r="1733" spans="1:61">
      <c r="A1733" s="6">
        <v>14</v>
      </c>
      <c r="B1733" s="103" t="s">
        <v>847</v>
      </c>
      <c r="C1733" s="1" t="s">
        <v>58</v>
      </c>
      <c r="D1733" s="2">
        <v>6</v>
      </c>
      <c r="E1733" s="2"/>
      <c r="F1733" s="8">
        <v>6</v>
      </c>
      <c r="G1733" s="8"/>
      <c r="H1733" s="8">
        <v>6</v>
      </c>
      <c r="I1733" s="9">
        <f>H1733-D1733</f>
        <v>0</v>
      </c>
      <c r="K1733" s="3"/>
      <c r="M1733" s="3">
        <v>11.8</v>
      </c>
      <c r="O1733" s="3">
        <v>11.8</v>
      </c>
      <c r="Q1733" s="3">
        <f>O1733-H1733</f>
        <v>5.8000000000000007</v>
      </c>
      <c r="R1733" s="3">
        <v>4.5999999999999996</v>
      </c>
      <c r="S1733" s="1" t="s">
        <v>453</v>
      </c>
      <c r="T1733" s="3">
        <f>R1733-O1733</f>
        <v>-7.2000000000000011</v>
      </c>
      <c r="U1733" s="3">
        <v>4.9349999999999996</v>
      </c>
      <c r="V1733" s="103" t="s">
        <v>695</v>
      </c>
      <c r="W1733" s="3">
        <f>U1733-R1733</f>
        <v>0.33499999999999996</v>
      </c>
      <c r="X1733" s="3">
        <v>20.29</v>
      </c>
      <c r="Y1733" s="1" t="s">
        <v>371</v>
      </c>
      <c r="Z1733" s="3">
        <f>X1733-U1733</f>
        <v>15.355</v>
      </c>
      <c r="AA1733" s="3">
        <v>14</v>
      </c>
      <c r="AC1733" s="3">
        <f>AA1733-X1733</f>
        <v>-6.2899999999999991</v>
      </c>
      <c r="AD1733" s="24">
        <v>20</v>
      </c>
      <c r="AF1733" s="24">
        <f>AD1733-AA1733</f>
        <v>6</v>
      </c>
      <c r="AG1733" s="3">
        <v>9.5</v>
      </c>
      <c r="AI1733" s="3">
        <f>AG1733-AD1733</f>
        <v>-10.5</v>
      </c>
      <c r="AJ1733" s="3">
        <v>7.5</v>
      </c>
      <c r="AL1733" s="3">
        <f>AJ1733-AG1733</f>
        <v>-2</v>
      </c>
      <c r="AM1733" s="3">
        <v>7.4</v>
      </c>
      <c r="AO1733" s="3">
        <f>AM1733-AJ1733</f>
        <v>-9.9999999999999645E-2</v>
      </c>
      <c r="AP1733" s="3">
        <v>8.1999999999999993</v>
      </c>
      <c r="AS1733" s="3">
        <v>12.8</v>
      </c>
      <c r="AW1733" s="1" t="s">
        <v>285</v>
      </c>
      <c r="AZ1733" s="3">
        <v>10.53</v>
      </c>
      <c r="BA1733" s="1" t="s">
        <v>852</v>
      </c>
      <c r="BC1733" s="3">
        <v>10.53</v>
      </c>
      <c r="BD1733" s="3">
        <v>14.28</v>
      </c>
      <c r="BE1733" s="1" t="s">
        <v>852</v>
      </c>
      <c r="BG1733" s="3">
        <v>14.28</v>
      </c>
      <c r="BH1733" s="3">
        <v>16.89</v>
      </c>
      <c r="BI1733" s="1" t="s">
        <v>852</v>
      </c>
    </row>
    <row r="1734" spans="1:61">
      <c r="B1734" s="103" t="s">
        <v>847</v>
      </c>
      <c r="C1734" s="1" t="s">
        <v>868</v>
      </c>
      <c r="D1734" s="2"/>
      <c r="E1734" s="2"/>
      <c r="F1734" s="8"/>
      <c r="G1734" s="8"/>
      <c r="H1734" s="8"/>
      <c r="K1734" s="3"/>
      <c r="Q1734" s="3"/>
      <c r="T1734" s="3"/>
      <c r="V1734" s="103"/>
      <c r="W1734" s="3"/>
      <c r="AC1734" s="3"/>
      <c r="AF1734" s="24"/>
      <c r="AI1734" s="3"/>
      <c r="AL1734" s="3"/>
      <c r="AO1734" s="3"/>
      <c r="BD1734" s="3">
        <v>3.03</v>
      </c>
      <c r="BE1734" s="1" t="s">
        <v>862</v>
      </c>
      <c r="BG1734" s="3">
        <v>3.03</v>
      </c>
      <c r="BH1734" s="3">
        <v>3.42</v>
      </c>
      <c r="BI1734" s="1" t="s">
        <v>862</v>
      </c>
    </row>
    <row r="1735" spans="1:61">
      <c r="B1735" s="103" t="s">
        <v>847</v>
      </c>
      <c r="C1735" s="1" t="s">
        <v>607</v>
      </c>
      <c r="D1735" s="2"/>
      <c r="E1735" s="2"/>
      <c r="F1735" s="8"/>
      <c r="G1735" s="8"/>
      <c r="H1735" s="8"/>
      <c r="K1735" s="3"/>
      <c r="Q1735" s="3"/>
      <c r="T1735" s="3"/>
      <c r="V1735" s="103"/>
      <c r="W1735" s="3"/>
      <c r="AC1735" s="3"/>
      <c r="AF1735" s="24"/>
      <c r="AI1735" s="3"/>
      <c r="AL1735" s="3"/>
      <c r="AO1735" s="3"/>
      <c r="BD1735" s="3">
        <v>30</v>
      </c>
      <c r="BE1735" s="1" t="s">
        <v>852</v>
      </c>
      <c r="BG1735" s="3">
        <v>30</v>
      </c>
      <c r="BH1735" s="3">
        <v>30</v>
      </c>
      <c r="BI1735" s="1" t="s">
        <v>852</v>
      </c>
    </row>
    <row r="1736" spans="1:61">
      <c r="B1736" s="103" t="s">
        <v>847</v>
      </c>
      <c r="C1736" s="1" t="s">
        <v>857</v>
      </c>
      <c r="D1736" s="2"/>
      <c r="E1736" s="2"/>
      <c r="F1736" s="8"/>
      <c r="G1736" s="8"/>
      <c r="H1736" s="8"/>
      <c r="K1736" s="3"/>
      <c r="Q1736" s="3"/>
      <c r="T1736" s="3"/>
      <c r="V1736" s="103"/>
      <c r="W1736" s="3"/>
      <c r="AC1736" s="3"/>
      <c r="AF1736" s="24"/>
      <c r="AI1736" s="3"/>
      <c r="AL1736" s="3"/>
      <c r="AO1736" s="3"/>
      <c r="BD1736" s="3">
        <v>14.25</v>
      </c>
      <c r="BE1736" s="1" t="s">
        <v>852</v>
      </c>
      <c r="BG1736" s="3">
        <v>14.25</v>
      </c>
      <c r="BH1736" s="3">
        <v>15.28</v>
      </c>
      <c r="BI1736" s="1" t="s">
        <v>852</v>
      </c>
    </row>
    <row r="1737" spans="1:61">
      <c r="B1737" s="103" t="s">
        <v>847</v>
      </c>
      <c r="C1737" s="1" t="s">
        <v>289</v>
      </c>
      <c r="D1737" s="2"/>
      <c r="E1737" s="2"/>
      <c r="F1737" s="8"/>
      <c r="G1737" s="8"/>
      <c r="H1737" s="8"/>
      <c r="K1737" s="3"/>
      <c r="T1737" s="3"/>
      <c r="V1737" s="103"/>
      <c r="W1737" s="3"/>
      <c r="AC1737" s="3"/>
      <c r="AF1737" s="24"/>
      <c r="AI1737" s="3"/>
      <c r="AL1737" s="3"/>
      <c r="AM1737" s="3">
        <v>22.95</v>
      </c>
      <c r="AW1737" s="1" t="s">
        <v>285</v>
      </c>
      <c r="BH1737" s="3">
        <v>11.58</v>
      </c>
    </row>
    <row r="1738" spans="1:61">
      <c r="B1738" s="103" t="s">
        <v>847</v>
      </c>
      <c r="C1738" s="1" t="s">
        <v>290</v>
      </c>
      <c r="D1738" s="2"/>
      <c r="E1738" s="2"/>
      <c r="F1738" s="8"/>
      <c r="G1738" s="8"/>
      <c r="H1738" s="8"/>
      <c r="K1738" s="3"/>
      <c r="T1738" s="3"/>
      <c r="V1738" s="103"/>
      <c r="W1738" s="3"/>
      <c r="AC1738" s="3"/>
      <c r="AF1738" s="24"/>
      <c r="AI1738" s="3"/>
      <c r="AL1738" s="3"/>
      <c r="BH1738" s="3">
        <v>12.89</v>
      </c>
    </row>
    <row r="1739" spans="1:61">
      <c r="B1739" s="103" t="s">
        <v>847</v>
      </c>
      <c r="C1739" s="1" t="s">
        <v>64</v>
      </c>
      <c r="D1739" s="2"/>
      <c r="E1739" s="2"/>
      <c r="F1739" s="8"/>
      <c r="G1739" s="8"/>
      <c r="H1739" s="8"/>
      <c r="K1739" s="3"/>
      <c r="M1739" s="3">
        <v>14.7</v>
      </c>
      <c r="O1739" s="3">
        <v>14.7</v>
      </c>
      <c r="R1739" s="3">
        <v>5.6</v>
      </c>
      <c r="S1739" s="1" t="s">
        <v>454</v>
      </c>
      <c r="T1739" s="3">
        <f>R1739-O1739</f>
        <v>-9.1</v>
      </c>
      <c r="U1739" s="3">
        <v>6</v>
      </c>
      <c r="V1739" s="103" t="s">
        <v>696</v>
      </c>
      <c r="W1739" s="3">
        <f>U1739-R1739</f>
        <v>0.40000000000000036</v>
      </c>
      <c r="X1739" s="3">
        <v>17.27</v>
      </c>
      <c r="Z1739" s="3">
        <f>X1739-U1739</f>
        <v>11.27</v>
      </c>
      <c r="AA1739" s="3">
        <v>15</v>
      </c>
      <c r="AC1739" s="3">
        <f>AA1739-X1739</f>
        <v>-2.2699999999999996</v>
      </c>
      <c r="AD1739" s="24">
        <v>17</v>
      </c>
      <c r="AF1739" s="24">
        <f>AD1739-AA1739</f>
        <v>2</v>
      </c>
      <c r="AG1739" s="3">
        <v>9.5</v>
      </c>
      <c r="AI1739" s="3">
        <f>AG1739-AD1739</f>
        <v>-7.5</v>
      </c>
      <c r="AJ1739" s="3">
        <v>8</v>
      </c>
      <c r="AL1739" s="3">
        <f>AJ1739-AG1739</f>
        <v>-1.5</v>
      </c>
      <c r="AM1739" s="3">
        <v>8.9</v>
      </c>
      <c r="AO1739" s="3">
        <f>AM1739-AJ1739</f>
        <v>0.90000000000000036</v>
      </c>
      <c r="AP1739" s="3">
        <v>8.8000000000000007</v>
      </c>
      <c r="AS1739" s="3">
        <v>16.2</v>
      </c>
      <c r="AW1739" s="1" t="s">
        <v>285</v>
      </c>
      <c r="AZ1739" s="3">
        <v>10.88</v>
      </c>
      <c r="BA1739" s="1" t="s">
        <v>852</v>
      </c>
      <c r="BC1739" s="3">
        <v>10.88</v>
      </c>
      <c r="BD1739" s="3">
        <v>15.82</v>
      </c>
      <c r="BE1739" s="1" t="s">
        <v>852</v>
      </c>
      <c r="BG1739" s="3">
        <v>15.82</v>
      </c>
      <c r="BH1739" s="3">
        <v>18.28</v>
      </c>
      <c r="BI1739" s="1" t="s">
        <v>852</v>
      </c>
    </row>
    <row r="1740" spans="1:61">
      <c r="B1740" s="103" t="s">
        <v>847</v>
      </c>
      <c r="C1740" s="1" t="s">
        <v>286</v>
      </c>
      <c r="D1740" s="2"/>
      <c r="E1740" s="2"/>
      <c r="F1740" s="8"/>
      <c r="G1740" s="8"/>
      <c r="H1740" s="8"/>
      <c r="K1740" s="3"/>
      <c r="M1740" s="3">
        <v>12.7</v>
      </c>
      <c r="O1740" s="3">
        <v>12.7</v>
      </c>
      <c r="R1740" s="3">
        <v>5.35</v>
      </c>
      <c r="S1740" s="1" t="s">
        <v>457</v>
      </c>
      <c r="T1740" s="3">
        <f>R1740-O1740</f>
        <v>-7.35</v>
      </c>
      <c r="U1740" s="3">
        <v>5.75</v>
      </c>
      <c r="V1740" s="103" t="s">
        <v>698</v>
      </c>
      <c r="W1740" s="3">
        <f>U1740-R1740</f>
        <v>0.40000000000000036</v>
      </c>
      <c r="X1740" s="3">
        <v>18.18</v>
      </c>
      <c r="Z1740" s="3">
        <f>X1740-U1740</f>
        <v>12.43</v>
      </c>
      <c r="AA1740" s="3">
        <v>18</v>
      </c>
      <c r="AC1740" s="3">
        <f>AA1740-X1740</f>
        <v>-0.17999999999999972</v>
      </c>
      <c r="AD1740" s="24">
        <v>18</v>
      </c>
      <c r="AF1740" s="24">
        <f>AD1740-AA1740</f>
        <v>0</v>
      </c>
      <c r="AG1740" s="3">
        <v>10</v>
      </c>
      <c r="AI1740" s="3">
        <f>AG1740-AD1740</f>
        <v>-8</v>
      </c>
      <c r="AJ1740" s="3">
        <v>9</v>
      </c>
      <c r="AL1740" s="3">
        <f>AJ1740-AG1740</f>
        <v>-1</v>
      </c>
      <c r="AM1740" s="3">
        <v>8.6999999999999993</v>
      </c>
      <c r="AO1740" s="3">
        <f>AM1740-AJ1740</f>
        <v>-0.30000000000000071</v>
      </c>
      <c r="AP1740" s="3">
        <v>9.6999999999999993</v>
      </c>
      <c r="AS1740" s="3">
        <v>14.8</v>
      </c>
      <c r="AW1740" s="1" t="s">
        <v>285</v>
      </c>
      <c r="AZ1740" s="3">
        <v>10.88</v>
      </c>
      <c r="BA1740" s="1" t="s">
        <v>852</v>
      </c>
      <c r="BC1740" s="3">
        <v>10.88</v>
      </c>
      <c r="BD1740" s="3">
        <v>15.98</v>
      </c>
      <c r="BE1740" s="1" t="s">
        <v>852</v>
      </c>
      <c r="BG1740" s="3">
        <v>15.98</v>
      </c>
      <c r="BH1740" s="3">
        <v>17.12</v>
      </c>
      <c r="BI1740" s="1" t="s">
        <v>852</v>
      </c>
    </row>
    <row r="1741" spans="1:61">
      <c r="B1741" s="103" t="s">
        <v>847</v>
      </c>
      <c r="C1741" s="1" t="s">
        <v>288</v>
      </c>
      <c r="D1741" s="2"/>
      <c r="E1741" s="2"/>
      <c r="F1741" s="8"/>
      <c r="G1741" s="8"/>
      <c r="H1741" s="8"/>
      <c r="K1741" s="3"/>
      <c r="M1741" s="3">
        <v>12.7</v>
      </c>
      <c r="O1741" s="3">
        <v>12.7</v>
      </c>
      <c r="R1741" s="3">
        <v>5.4</v>
      </c>
      <c r="S1741" s="1" t="s">
        <v>456</v>
      </c>
      <c r="T1741" s="3">
        <f>R1741-O1741</f>
        <v>-7.2999999999999989</v>
      </c>
      <c r="U1741" s="3">
        <v>5.8</v>
      </c>
      <c r="V1741" s="103" t="s">
        <v>699</v>
      </c>
      <c r="W1741" s="3">
        <f>U1741-R1741</f>
        <v>0.39999999999999947</v>
      </c>
      <c r="X1741" s="3">
        <v>18.18</v>
      </c>
      <c r="Z1741" s="3">
        <f>X1741-U1741</f>
        <v>12.379999999999999</v>
      </c>
      <c r="AA1741" s="3">
        <v>18</v>
      </c>
      <c r="AC1741" s="3">
        <f>AA1741-X1741</f>
        <v>-0.17999999999999972</v>
      </c>
      <c r="AD1741" s="24">
        <v>18</v>
      </c>
      <c r="AF1741" s="24">
        <f>AD1741-AA1741</f>
        <v>0</v>
      </c>
      <c r="AG1741" s="3">
        <v>10</v>
      </c>
      <c r="AI1741" s="3">
        <f>AG1741-AD1741</f>
        <v>-8</v>
      </c>
      <c r="AJ1741" s="3">
        <v>9</v>
      </c>
      <c r="AL1741" s="3">
        <f>AJ1741-AG1741</f>
        <v>-1</v>
      </c>
      <c r="AM1741" s="3">
        <v>8.6</v>
      </c>
      <c r="AO1741" s="3">
        <f>AM1741-AJ1741</f>
        <v>-0.40000000000000036</v>
      </c>
      <c r="AP1741" s="3">
        <v>9.6999999999999993</v>
      </c>
      <c r="AS1741" s="3">
        <v>14.2</v>
      </c>
      <c r="AW1741" s="1" t="s">
        <v>285</v>
      </c>
      <c r="AZ1741" s="3">
        <v>11.93</v>
      </c>
      <c r="BA1741" s="1" t="s">
        <v>852</v>
      </c>
      <c r="BC1741" s="3">
        <v>11.93</v>
      </c>
      <c r="BD1741" s="3">
        <v>15.6</v>
      </c>
      <c r="BE1741" s="1" t="s">
        <v>852</v>
      </c>
      <c r="BG1741" s="3">
        <v>15.6</v>
      </c>
      <c r="BH1741" s="3">
        <v>17.05</v>
      </c>
      <c r="BI1741" s="1" t="s">
        <v>852</v>
      </c>
    </row>
    <row r="1742" spans="1:61">
      <c r="A1742" s="6">
        <v>11</v>
      </c>
      <c r="B1742" s="103" t="s">
        <v>847</v>
      </c>
      <c r="C1742" s="1" t="s">
        <v>57</v>
      </c>
      <c r="D1742" s="2"/>
      <c r="E1742" s="2"/>
      <c r="F1742" s="8">
        <v>0</v>
      </c>
      <c r="G1742" s="8"/>
      <c r="H1742" s="8">
        <v>0</v>
      </c>
      <c r="I1742" s="8"/>
      <c r="AW1742" s="1" t="s">
        <v>285</v>
      </c>
    </row>
    <row r="1743" spans="1:61">
      <c r="B1743" s="103" t="s">
        <v>847</v>
      </c>
      <c r="C1743" s="1" t="s">
        <v>287</v>
      </c>
      <c r="D1743" s="2"/>
      <c r="E1743" s="2"/>
      <c r="F1743" s="8"/>
      <c r="G1743" s="8"/>
      <c r="H1743" s="8"/>
      <c r="K1743" s="3"/>
      <c r="M1743" s="3">
        <v>19.7</v>
      </c>
      <c r="O1743" s="3">
        <v>19.7</v>
      </c>
      <c r="R1743" s="3">
        <v>5.25</v>
      </c>
      <c r="S1743" s="1" t="s">
        <v>455</v>
      </c>
      <c r="T1743" s="3">
        <f>R1743-O1743</f>
        <v>-14.45</v>
      </c>
      <c r="U1743" s="3">
        <v>5.66</v>
      </c>
      <c r="V1743" s="103" t="s">
        <v>697</v>
      </c>
      <c r="W1743" s="3">
        <f>U1743-R1743</f>
        <v>0.41000000000000014</v>
      </c>
      <c r="X1743" s="3">
        <v>19.02</v>
      </c>
      <c r="Z1743" s="3">
        <f>X1743-U1743</f>
        <v>13.36</v>
      </c>
      <c r="AA1743" s="3">
        <v>21</v>
      </c>
      <c r="AC1743" s="3">
        <f>AA1743-X1743</f>
        <v>1.9800000000000004</v>
      </c>
      <c r="AD1743" s="24">
        <v>19</v>
      </c>
      <c r="AF1743" s="24">
        <f>AD1743-AA1743</f>
        <v>-2</v>
      </c>
      <c r="AG1743" s="3">
        <v>10.5</v>
      </c>
      <c r="AI1743" s="3">
        <f>AG1743-AD1743</f>
        <v>-8.5</v>
      </c>
      <c r="AJ1743" s="3">
        <v>10</v>
      </c>
      <c r="AL1743" s="3">
        <f>AJ1743-AG1743</f>
        <v>-0.5</v>
      </c>
      <c r="AM1743" s="3">
        <v>20</v>
      </c>
      <c r="AO1743" s="3">
        <f>AM1743-AJ1743</f>
        <v>10</v>
      </c>
      <c r="AP1743" s="3">
        <v>13.2</v>
      </c>
      <c r="AS1743" s="3">
        <v>15.2</v>
      </c>
      <c r="AW1743" s="1" t="s">
        <v>285</v>
      </c>
      <c r="AZ1743" s="3">
        <v>11.93</v>
      </c>
      <c r="BA1743" s="1" t="s">
        <v>852</v>
      </c>
      <c r="BC1743" s="3">
        <v>11.93</v>
      </c>
      <c r="BD1743" s="3">
        <v>17.2</v>
      </c>
      <c r="BE1743" s="1" t="s">
        <v>852</v>
      </c>
      <c r="BG1743" s="3">
        <v>17.2</v>
      </c>
      <c r="BH1743" s="3">
        <v>18.28</v>
      </c>
      <c r="BI1743" s="1" t="s">
        <v>852</v>
      </c>
    </row>
    <row r="1744" spans="1:61">
      <c r="A1744" s="6">
        <v>1</v>
      </c>
      <c r="B1744" s="1" t="s">
        <v>545</v>
      </c>
      <c r="C1744" s="1" t="s">
        <v>52</v>
      </c>
      <c r="D1744" s="2"/>
      <c r="E1744" s="2"/>
      <c r="F1744" s="8">
        <v>7</v>
      </c>
      <c r="G1744" s="8"/>
      <c r="H1744" s="8">
        <v>7</v>
      </c>
      <c r="I1744" s="8"/>
      <c r="M1744" s="3">
        <v>7</v>
      </c>
      <c r="O1744" s="3">
        <v>7</v>
      </c>
      <c r="Q1744" s="3">
        <f>O1744-H1744</f>
        <v>0</v>
      </c>
      <c r="R1744" s="3">
        <v>7</v>
      </c>
      <c r="T1744" s="2">
        <f>R1744-O1744</f>
        <v>0</v>
      </c>
    </row>
    <row r="1745" spans="1:60">
      <c r="A1745" s="6">
        <v>3</v>
      </c>
      <c r="B1745" s="1" t="s">
        <v>545</v>
      </c>
      <c r="C1745" s="1" t="s">
        <v>54</v>
      </c>
      <c r="D1745" s="2"/>
      <c r="E1745" s="2"/>
      <c r="F1745" s="8">
        <v>0</v>
      </c>
      <c r="G1745" s="8"/>
      <c r="H1745" s="8">
        <v>0</v>
      </c>
      <c r="I1745" s="8"/>
      <c r="M1745" s="3">
        <v>0</v>
      </c>
      <c r="O1745" s="3">
        <v>0</v>
      </c>
    </row>
    <row r="1746" spans="1:60">
      <c r="A1746" s="6">
        <v>4</v>
      </c>
      <c r="B1746" s="1" t="s">
        <v>545</v>
      </c>
      <c r="C1746" s="1" t="s">
        <v>55</v>
      </c>
      <c r="D1746" s="2"/>
      <c r="E1746" s="2"/>
      <c r="F1746" s="8">
        <v>0</v>
      </c>
      <c r="G1746" s="8"/>
      <c r="H1746" s="8">
        <v>0</v>
      </c>
      <c r="I1746" s="8"/>
      <c r="M1746" s="3">
        <v>0</v>
      </c>
      <c r="O1746" s="3">
        <v>0</v>
      </c>
    </row>
    <row r="1747" spans="1:60">
      <c r="A1747" s="6">
        <v>5</v>
      </c>
      <c r="B1747" s="1" t="s">
        <v>545</v>
      </c>
      <c r="C1747" s="1" t="s">
        <v>56</v>
      </c>
      <c r="D1747" s="2"/>
      <c r="E1747" s="2"/>
      <c r="F1747" s="8">
        <v>0</v>
      </c>
      <c r="G1747" s="8"/>
      <c r="H1747" s="8">
        <v>0</v>
      </c>
      <c r="I1747" s="8"/>
      <c r="M1747" s="3">
        <v>0</v>
      </c>
      <c r="O1747" s="3">
        <v>0</v>
      </c>
    </row>
    <row r="1748" spans="1:60">
      <c r="A1748" s="6">
        <v>2</v>
      </c>
      <c r="B1748" s="1" t="s">
        <v>545</v>
      </c>
      <c r="C1748" s="1" t="s">
        <v>53</v>
      </c>
      <c r="D1748" s="2"/>
      <c r="E1748" s="2"/>
      <c r="F1748" s="8">
        <v>7.25</v>
      </c>
      <c r="G1748" s="8"/>
      <c r="H1748" s="8">
        <v>7.25</v>
      </c>
      <c r="I1748" s="8"/>
      <c r="M1748" s="3">
        <v>7.25</v>
      </c>
      <c r="O1748" s="3">
        <v>7.25</v>
      </c>
      <c r="Q1748" s="3">
        <f>O1748-H1748</f>
        <v>0</v>
      </c>
      <c r="R1748" s="3">
        <v>7</v>
      </c>
      <c r="T1748" s="3">
        <f>R1748-O1748</f>
        <v>-0.25</v>
      </c>
      <c r="U1748" s="3">
        <v>7</v>
      </c>
      <c r="W1748" s="3">
        <f>U1748-R1748</f>
        <v>0</v>
      </c>
      <c r="X1748" s="3">
        <v>7</v>
      </c>
      <c r="Z1748" s="3">
        <f>X1748-U1748</f>
        <v>0</v>
      </c>
      <c r="AA1748" s="3">
        <v>7</v>
      </c>
    </row>
    <row r="1749" spans="1:60">
      <c r="B1749" s="1" t="s">
        <v>545</v>
      </c>
      <c r="C1749" s="1" t="s">
        <v>597</v>
      </c>
      <c r="D1749" s="2"/>
      <c r="E1749" s="2"/>
      <c r="F1749" s="8"/>
      <c r="G1749" s="8"/>
      <c r="H1749" s="8"/>
      <c r="I1749" s="8"/>
      <c r="T1749" s="3"/>
      <c r="W1749" s="3"/>
      <c r="AF1749" s="24"/>
      <c r="AJ1749" s="3">
        <v>97.3</v>
      </c>
    </row>
    <row r="1750" spans="1:60">
      <c r="B1750" s="1" t="s">
        <v>545</v>
      </c>
      <c r="C1750" s="1" t="s">
        <v>595</v>
      </c>
      <c r="D1750" s="2"/>
      <c r="E1750" s="2"/>
      <c r="F1750" s="8"/>
      <c r="G1750" s="8"/>
      <c r="H1750" s="8"/>
      <c r="I1750" s="8"/>
      <c r="R1750" s="3">
        <v>4.4000000000000004</v>
      </c>
      <c r="T1750" s="3"/>
      <c r="U1750" s="3">
        <v>4.4000000000000004</v>
      </c>
      <c r="W1750" s="3">
        <f>U1750-R1750</f>
        <v>0</v>
      </c>
      <c r="X1750" s="3">
        <v>4.4000000000000004</v>
      </c>
      <c r="Z1750" s="3">
        <f>X1750-U1750</f>
        <v>0</v>
      </c>
      <c r="AA1750" s="3">
        <v>4.5</v>
      </c>
      <c r="AD1750" s="24">
        <v>54.5</v>
      </c>
      <c r="AF1750" s="24">
        <f>AD1750-AA1750</f>
        <v>50</v>
      </c>
      <c r="AG1750" s="3">
        <v>111.3</v>
      </c>
      <c r="AI1750" s="3">
        <f>AG1750-AD1750</f>
        <v>56.8</v>
      </c>
      <c r="AJ1750" s="3">
        <v>48</v>
      </c>
      <c r="AL1750" s="3">
        <f>AJ1750-AG1750</f>
        <v>-63.3</v>
      </c>
      <c r="AM1750" s="3">
        <v>48</v>
      </c>
      <c r="AO1750" s="3">
        <f>AM1750-AJ1750</f>
        <v>0</v>
      </c>
      <c r="AP1750" s="3">
        <v>48</v>
      </c>
    </row>
    <row r="1751" spans="1:60">
      <c r="B1751" s="1" t="s">
        <v>545</v>
      </c>
      <c r="C1751" s="1" t="s">
        <v>700</v>
      </c>
      <c r="D1751" s="2"/>
      <c r="E1751" s="2"/>
      <c r="F1751" s="8"/>
      <c r="G1751" s="8"/>
      <c r="H1751" s="8"/>
      <c r="I1751" s="8"/>
      <c r="T1751" s="3"/>
      <c r="W1751" s="3"/>
      <c r="AF1751" s="24"/>
      <c r="AJ1751" s="3">
        <v>115.2</v>
      </c>
      <c r="AM1751" s="3">
        <v>115.2</v>
      </c>
      <c r="AP1751" s="3">
        <v>115.2</v>
      </c>
    </row>
    <row r="1752" spans="1:60">
      <c r="B1752" s="1" t="s">
        <v>545</v>
      </c>
      <c r="C1752" s="1" t="s">
        <v>596</v>
      </c>
      <c r="D1752" s="2"/>
      <c r="E1752" s="2"/>
      <c r="F1752" s="8"/>
      <c r="G1752" s="8"/>
      <c r="H1752" s="8"/>
      <c r="I1752" s="8"/>
      <c r="T1752" s="3"/>
      <c r="W1752" s="3"/>
      <c r="AF1752" s="24"/>
      <c r="AJ1752" s="3">
        <v>99.8</v>
      </c>
    </row>
    <row r="1753" spans="1:60">
      <c r="A1753" s="6">
        <v>12</v>
      </c>
      <c r="B1753" s="1" t="s">
        <v>545</v>
      </c>
      <c r="C1753" s="1" t="s">
        <v>594</v>
      </c>
      <c r="D1753" s="2"/>
      <c r="E1753" s="2"/>
      <c r="F1753" s="8">
        <v>2.2000000000000002</v>
      </c>
      <c r="G1753" s="8"/>
      <c r="H1753" s="8">
        <v>2.2000000000000002</v>
      </c>
      <c r="I1753" s="8"/>
      <c r="M1753" s="3">
        <v>2.2000000000000002</v>
      </c>
      <c r="O1753" s="3">
        <v>2.2000000000000002</v>
      </c>
      <c r="Q1753" s="3">
        <f>O1753-H1753</f>
        <v>0</v>
      </c>
      <c r="R1753" s="3">
        <v>2.5</v>
      </c>
      <c r="T1753" s="3">
        <f>R1753-O1753</f>
        <v>0.29999999999999982</v>
      </c>
      <c r="U1753" s="3">
        <v>3.1</v>
      </c>
      <c r="W1753" s="3">
        <f>U1753-R1753</f>
        <v>0.60000000000000009</v>
      </c>
      <c r="X1753" s="3">
        <v>5</v>
      </c>
      <c r="Z1753" s="3">
        <f>X1753-U1753</f>
        <v>1.9</v>
      </c>
      <c r="AA1753" s="3">
        <v>5</v>
      </c>
      <c r="AD1753" s="24">
        <v>41.2</v>
      </c>
      <c r="AF1753" s="24">
        <f>AD1753-AA1753</f>
        <v>36.200000000000003</v>
      </c>
      <c r="AG1753" s="3">
        <v>46.62</v>
      </c>
      <c r="AI1753" s="3">
        <f>AG1753-AD1753</f>
        <v>5.4199999999999946</v>
      </c>
      <c r="AJ1753" s="3">
        <v>42</v>
      </c>
      <c r="AL1753" s="3">
        <f>AJ1753-AG1753</f>
        <v>-4.6199999999999974</v>
      </c>
      <c r="AM1753" s="3">
        <v>42</v>
      </c>
      <c r="AO1753" s="3">
        <f>AM1753-AJ1753</f>
        <v>0</v>
      </c>
      <c r="AP1753" s="3">
        <v>42</v>
      </c>
      <c r="AS1753" s="3">
        <v>42</v>
      </c>
      <c r="AV1753" s="3">
        <v>7.2</v>
      </c>
      <c r="AZ1753" s="3">
        <v>2.4</v>
      </c>
      <c r="BD1753" s="3">
        <v>5.26</v>
      </c>
      <c r="BH1753" s="3">
        <v>6.2</v>
      </c>
    </row>
    <row r="1754" spans="1:60">
      <c r="B1754" s="1" t="s">
        <v>545</v>
      </c>
      <c r="C1754" s="1" t="s">
        <v>406</v>
      </c>
      <c r="D1754" s="2"/>
      <c r="E1754" s="2"/>
      <c r="F1754" s="8"/>
      <c r="G1754" s="8"/>
      <c r="H1754" s="8"/>
      <c r="I1754" s="8"/>
      <c r="Q1754" s="3"/>
      <c r="AJ1754" s="3">
        <v>80.5</v>
      </c>
    </row>
    <row r="1755" spans="1:60">
      <c r="A1755" s="6">
        <v>14</v>
      </c>
      <c r="B1755" s="1" t="s">
        <v>545</v>
      </c>
      <c r="C1755" s="1" t="s">
        <v>58</v>
      </c>
      <c r="D1755" s="2"/>
      <c r="E1755" s="2"/>
      <c r="F1755" s="8">
        <v>0</v>
      </c>
      <c r="G1755" s="8"/>
      <c r="H1755" s="8">
        <v>0</v>
      </c>
      <c r="I1755" s="8"/>
      <c r="R1755" s="3">
        <v>7</v>
      </c>
      <c r="T1755" s="3"/>
      <c r="U1755" s="3">
        <v>8.5</v>
      </c>
      <c r="W1755" s="3">
        <f>U1755-R1755</f>
        <v>1.5</v>
      </c>
      <c r="X1755" s="3">
        <v>12.8</v>
      </c>
      <c r="Z1755" s="3">
        <f>X1755-U1755</f>
        <v>4.3000000000000007</v>
      </c>
      <c r="AA1755" s="3">
        <v>12.8</v>
      </c>
      <c r="AD1755" s="24">
        <v>109.9</v>
      </c>
      <c r="AF1755" s="24">
        <f>AD1755-AA1755</f>
        <v>97.100000000000009</v>
      </c>
      <c r="AG1755" s="3">
        <v>103.6</v>
      </c>
      <c r="AI1755" s="3">
        <f>AG1755-AD1755</f>
        <v>-6.3000000000000114</v>
      </c>
      <c r="AJ1755" s="3">
        <v>122</v>
      </c>
      <c r="AL1755" s="3">
        <f>AJ1755-AG1755</f>
        <v>18.400000000000006</v>
      </c>
      <c r="AM1755" s="3">
        <v>122</v>
      </c>
      <c r="AO1755" s="3">
        <f>AM1755-AJ1755</f>
        <v>0</v>
      </c>
      <c r="AP1755" s="3">
        <v>112</v>
      </c>
      <c r="AS1755" s="3">
        <v>109</v>
      </c>
      <c r="AV1755" s="3">
        <v>8</v>
      </c>
      <c r="AZ1755" s="3">
        <v>2.4</v>
      </c>
      <c r="BD1755" s="3">
        <v>5.52</v>
      </c>
      <c r="BH1755" s="3">
        <v>6.1</v>
      </c>
    </row>
    <row r="1756" spans="1:60">
      <c r="B1756" s="1" t="s">
        <v>545</v>
      </c>
      <c r="C1756" s="1" t="s">
        <v>868</v>
      </c>
      <c r="D1756" s="2"/>
      <c r="E1756" s="2"/>
      <c r="F1756" s="8"/>
      <c r="G1756" s="8"/>
      <c r="H1756" s="8"/>
      <c r="I1756" s="8"/>
      <c r="Q1756" s="3"/>
      <c r="BH1756" s="3">
        <v>2.2999999999999998</v>
      </c>
    </row>
    <row r="1757" spans="1:60">
      <c r="B1757" s="1" t="s">
        <v>545</v>
      </c>
      <c r="C1757" s="1" t="s">
        <v>607</v>
      </c>
      <c r="D1757" s="2"/>
      <c r="E1757" s="2"/>
      <c r="F1757" s="8"/>
      <c r="G1757" s="8"/>
      <c r="H1757" s="8"/>
      <c r="I1757" s="8"/>
      <c r="R1757" s="3">
        <v>73</v>
      </c>
      <c r="BH1757" s="3">
        <v>17.46</v>
      </c>
    </row>
    <row r="1758" spans="1:60">
      <c r="B1758" s="1" t="s">
        <v>545</v>
      </c>
      <c r="C1758" s="1" t="s">
        <v>289</v>
      </c>
      <c r="D1758" s="2"/>
      <c r="E1758" s="2"/>
      <c r="F1758" s="8"/>
      <c r="G1758" s="8"/>
      <c r="H1758" s="8"/>
      <c r="I1758" s="8"/>
      <c r="T1758" s="3"/>
      <c r="W1758" s="3"/>
      <c r="AA1758" s="3">
        <v>17</v>
      </c>
    </row>
    <row r="1759" spans="1:60">
      <c r="B1759" s="1" t="s">
        <v>545</v>
      </c>
      <c r="C1759" s="1" t="s">
        <v>64</v>
      </c>
      <c r="D1759" s="2"/>
      <c r="E1759" s="2"/>
      <c r="F1759" s="8"/>
      <c r="G1759" s="8"/>
      <c r="H1759" s="8"/>
      <c r="I1759" s="8"/>
      <c r="R1759" s="3">
        <v>9</v>
      </c>
      <c r="T1759" s="3"/>
      <c r="U1759" s="3">
        <v>8</v>
      </c>
      <c r="W1759" s="3">
        <f>U1759-R1759</f>
        <v>-1</v>
      </c>
      <c r="X1759" s="3">
        <v>16</v>
      </c>
      <c r="Z1759" s="3">
        <f>X1759-U1759</f>
        <v>8</v>
      </c>
      <c r="AA1759" s="3">
        <v>14</v>
      </c>
      <c r="AD1759" s="24">
        <v>99.8</v>
      </c>
      <c r="AF1759" s="24">
        <f>AD1759-AA1759</f>
        <v>85.8</v>
      </c>
      <c r="AZ1759" s="3">
        <v>2.79</v>
      </c>
      <c r="BD1759" s="3">
        <v>5.96</v>
      </c>
      <c r="BH1759" s="3">
        <v>6.6</v>
      </c>
    </row>
    <row r="1760" spans="1:60">
      <c r="B1760" s="1" t="s">
        <v>545</v>
      </c>
      <c r="C1760" s="1" t="s">
        <v>286</v>
      </c>
      <c r="D1760" s="2"/>
      <c r="E1760" s="2"/>
      <c r="F1760" s="8"/>
      <c r="G1760" s="8"/>
      <c r="H1760" s="8"/>
      <c r="I1760" s="8"/>
      <c r="R1760" s="3">
        <v>9</v>
      </c>
      <c r="T1760" s="3"/>
      <c r="U1760" s="3">
        <v>7.9</v>
      </c>
      <c r="W1760" s="3">
        <f>U1760-R1760</f>
        <v>-1.0999999999999996</v>
      </c>
      <c r="X1760" s="3">
        <v>16</v>
      </c>
      <c r="Z1760" s="3">
        <f>X1760-U1760</f>
        <v>8.1</v>
      </c>
      <c r="AA1760" s="3">
        <v>16</v>
      </c>
      <c r="AD1760" s="24">
        <v>127.7</v>
      </c>
      <c r="AF1760" s="24">
        <f>AD1760-AA1760</f>
        <v>111.7</v>
      </c>
      <c r="AZ1760" s="3">
        <v>2.65</v>
      </c>
      <c r="BD1760" s="3">
        <v>6.33</v>
      </c>
      <c r="BH1760" s="3">
        <v>4.7</v>
      </c>
    </row>
    <row r="1761" spans="1:61">
      <c r="B1761" s="1" t="s">
        <v>545</v>
      </c>
      <c r="C1761" s="1" t="s">
        <v>288</v>
      </c>
      <c r="D1761" s="2"/>
      <c r="E1761" s="2"/>
      <c r="F1761" s="8"/>
      <c r="G1761" s="8"/>
      <c r="H1761" s="8"/>
      <c r="I1761" s="8"/>
      <c r="R1761" s="3">
        <v>9</v>
      </c>
      <c r="T1761" s="3"/>
      <c r="U1761" s="3">
        <v>8.1999999999999993</v>
      </c>
      <c r="W1761" s="3">
        <f>U1761-R1761</f>
        <v>-0.80000000000000071</v>
      </c>
      <c r="X1761" s="3">
        <v>16</v>
      </c>
      <c r="Z1761" s="3">
        <f>X1761-U1761</f>
        <v>7.8000000000000007</v>
      </c>
      <c r="AA1761" s="3">
        <v>15</v>
      </c>
      <c r="AD1761" s="24">
        <v>97.3</v>
      </c>
      <c r="AF1761" s="24">
        <f>AD1761-AA1761</f>
        <v>82.3</v>
      </c>
      <c r="AZ1761" s="3">
        <v>2.5</v>
      </c>
      <c r="BD1761" s="3">
        <v>6.25</v>
      </c>
      <c r="BH1761" s="3">
        <v>6.8</v>
      </c>
    </row>
    <row r="1762" spans="1:61">
      <c r="A1762" s="6">
        <v>11</v>
      </c>
      <c r="B1762" s="1" t="s">
        <v>545</v>
      </c>
      <c r="C1762" s="1" t="s">
        <v>57</v>
      </c>
      <c r="D1762" s="2"/>
      <c r="E1762" s="2"/>
      <c r="F1762" s="8">
        <v>8.6</v>
      </c>
      <c r="G1762" s="8"/>
      <c r="H1762" s="8">
        <v>8.6</v>
      </c>
      <c r="I1762" s="8"/>
      <c r="M1762" s="3">
        <v>8.6</v>
      </c>
      <c r="O1762" s="3">
        <v>8.6</v>
      </c>
      <c r="Q1762" s="3">
        <f>O1762-H1762</f>
        <v>0</v>
      </c>
    </row>
    <row r="1763" spans="1:61">
      <c r="A1763" s="6">
        <v>1</v>
      </c>
      <c r="B1763" s="103" t="s">
        <v>546</v>
      </c>
      <c r="C1763" s="1" t="s">
        <v>52</v>
      </c>
      <c r="D1763" s="2"/>
      <c r="E1763" s="2"/>
      <c r="F1763" s="9">
        <v>4</v>
      </c>
      <c r="H1763" s="9">
        <v>4</v>
      </c>
      <c r="M1763" s="3">
        <v>4</v>
      </c>
      <c r="O1763" s="3">
        <v>4</v>
      </c>
      <c r="Q1763" s="3">
        <f>O1763-H1763</f>
        <v>0</v>
      </c>
      <c r="R1763" s="3">
        <v>6</v>
      </c>
      <c r="T1763" s="2">
        <f>R1763-O1763</f>
        <v>2</v>
      </c>
      <c r="Y1763" s="1" t="s">
        <v>285</v>
      </c>
      <c r="AB1763" s="1" t="s">
        <v>285</v>
      </c>
      <c r="AE1763" s="1" t="s">
        <v>285</v>
      </c>
      <c r="AH1763" s="1" t="s">
        <v>285</v>
      </c>
      <c r="AK1763" s="1" t="s">
        <v>285</v>
      </c>
      <c r="AN1763" s="1" t="s">
        <v>285</v>
      </c>
      <c r="AQ1763" s="1" t="s">
        <v>285</v>
      </c>
      <c r="AT1763" s="1" t="s">
        <v>285</v>
      </c>
      <c r="AW1763" s="1" t="s">
        <v>285</v>
      </c>
      <c r="BA1763" s="1" t="s">
        <v>285</v>
      </c>
      <c r="BE1763" s="1" t="s">
        <v>285</v>
      </c>
      <c r="BI1763" s="1" t="s">
        <v>285</v>
      </c>
    </row>
    <row r="1764" spans="1:61">
      <c r="A1764" s="6">
        <v>3</v>
      </c>
      <c r="B1764" s="103" t="s">
        <v>546</v>
      </c>
      <c r="C1764" s="1" t="s">
        <v>54</v>
      </c>
      <c r="D1764" s="2"/>
      <c r="E1764" s="2"/>
      <c r="M1764" s="2" t="s">
        <v>511</v>
      </c>
      <c r="O1764" s="2" t="s">
        <v>511</v>
      </c>
      <c r="Y1764" s="1" t="s">
        <v>285</v>
      </c>
      <c r="AB1764" s="1" t="s">
        <v>285</v>
      </c>
      <c r="AE1764" s="1" t="s">
        <v>285</v>
      </c>
      <c r="AH1764" s="1" t="s">
        <v>285</v>
      </c>
      <c r="AK1764" s="1" t="s">
        <v>285</v>
      </c>
      <c r="AN1764" s="1" t="s">
        <v>285</v>
      </c>
      <c r="AQ1764" s="1" t="s">
        <v>285</v>
      </c>
      <c r="AT1764" s="1" t="s">
        <v>285</v>
      </c>
      <c r="AW1764" s="1" t="s">
        <v>285</v>
      </c>
      <c r="BA1764" s="1" t="s">
        <v>285</v>
      </c>
      <c r="BE1764" s="1" t="s">
        <v>285</v>
      </c>
      <c r="BI1764" s="1" t="s">
        <v>285</v>
      </c>
    </row>
    <row r="1765" spans="1:61">
      <c r="A1765" s="6">
        <v>4</v>
      </c>
      <c r="B1765" s="103" t="s">
        <v>546</v>
      </c>
      <c r="C1765" s="1" t="s">
        <v>55</v>
      </c>
      <c r="D1765" s="2"/>
      <c r="E1765" s="2"/>
      <c r="M1765" s="2" t="s">
        <v>511</v>
      </c>
      <c r="O1765" s="2" t="s">
        <v>511</v>
      </c>
      <c r="Y1765" s="1" t="s">
        <v>285</v>
      </c>
      <c r="AB1765" s="1" t="s">
        <v>285</v>
      </c>
      <c r="AE1765" s="1" t="s">
        <v>285</v>
      </c>
      <c r="AH1765" s="1" t="s">
        <v>285</v>
      </c>
      <c r="AK1765" s="1" t="s">
        <v>285</v>
      </c>
      <c r="AN1765" s="1" t="s">
        <v>285</v>
      </c>
      <c r="AQ1765" s="1" t="s">
        <v>285</v>
      </c>
      <c r="AT1765" s="1" t="s">
        <v>285</v>
      </c>
      <c r="AW1765" s="1" t="s">
        <v>285</v>
      </c>
      <c r="BA1765" s="1" t="s">
        <v>285</v>
      </c>
      <c r="BE1765" s="1" t="s">
        <v>285</v>
      </c>
      <c r="BI1765" s="1" t="s">
        <v>285</v>
      </c>
    </row>
    <row r="1766" spans="1:61">
      <c r="A1766" s="6">
        <v>5</v>
      </c>
      <c r="B1766" s="103" t="s">
        <v>546</v>
      </c>
      <c r="C1766" s="1" t="s">
        <v>56</v>
      </c>
      <c r="D1766" s="2"/>
      <c r="E1766" s="2"/>
      <c r="M1766" s="2" t="s">
        <v>511</v>
      </c>
      <c r="O1766" s="2" t="s">
        <v>511</v>
      </c>
      <c r="Y1766" s="1" t="s">
        <v>285</v>
      </c>
      <c r="AB1766" s="1" t="s">
        <v>285</v>
      </c>
      <c r="AE1766" s="1" t="s">
        <v>285</v>
      </c>
      <c r="AH1766" s="1" t="s">
        <v>285</v>
      </c>
      <c r="AK1766" s="1" t="s">
        <v>285</v>
      </c>
      <c r="AN1766" s="1" t="s">
        <v>285</v>
      </c>
      <c r="AQ1766" s="1" t="s">
        <v>285</v>
      </c>
      <c r="AT1766" s="1" t="s">
        <v>285</v>
      </c>
      <c r="AW1766" s="1" t="s">
        <v>285</v>
      </c>
      <c r="BA1766" s="1" t="s">
        <v>285</v>
      </c>
      <c r="BE1766" s="1" t="s">
        <v>285</v>
      </c>
      <c r="BI1766" s="1" t="s">
        <v>285</v>
      </c>
    </row>
    <row r="1767" spans="1:61">
      <c r="A1767" s="6">
        <v>2</v>
      </c>
      <c r="B1767" s="103" t="s">
        <v>546</v>
      </c>
      <c r="C1767" s="1" t="s">
        <v>53</v>
      </c>
      <c r="D1767" s="2"/>
      <c r="E1767" s="2"/>
      <c r="F1767" s="9">
        <v>4.5</v>
      </c>
      <c r="H1767" s="9">
        <v>4.5</v>
      </c>
      <c r="M1767" s="3">
        <v>4.5</v>
      </c>
      <c r="O1767" s="3">
        <v>4.5</v>
      </c>
      <c r="Q1767" s="3">
        <f>O1767-H1767</f>
        <v>0</v>
      </c>
      <c r="R1767" s="3">
        <v>6</v>
      </c>
      <c r="T1767" s="3">
        <f>R1767-O1767</f>
        <v>1.5</v>
      </c>
      <c r="U1767" s="3">
        <v>7</v>
      </c>
      <c r="W1767" s="3">
        <f>U1767-R1767</f>
        <v>1</v>
      </c>
      <c r="Y1767" s="1" t="s">
        <v>285</v>
      </c>
      <c r="AB1767" s="1" t="s">
        <v>285</v>
      </c>
      <c r="AE1767" s="1" t="s">
        <v>285</v>
      </c>
      <c r="AH1767" s="1" t="s">
        <v>285</v>
      </c>
      <c r="AK1767" s="1" t="s">
        <v>285</v>
      </c>
      <c r="AN1767" s="1" t="s">
        <v>285</v>
      </c>
      <c r="AQ1767" s="1" t="s">
        <v>285</v>
      </c>
      <c r="AT1767" s="1" t="s">
        <v>285</v>
      </c>
      <c r="AW1767" s="1" t="s">
        <v>285</v>
      </c>
      <c r="BA1767" s="1" t="s">
        <v>285</v>
      </c>
      <c r="BE1767" s="1" t="s">
        <v>285</v>
      </c>
      <c r="BI1767" s="1" t="s">
        <v>285</v>
      </c>
    </row>
    <row r="1768" spans="1:61">
      <c r="B1768" s="103" t="s">
        <v>546</v>
      </c>
      <c r="C1768" s="1" t="s">
        <v>595</v>
      </c>
      <c r="D1768" s="2"/>
      <c r="E1768" s="2"/>
      <c r="M1768" s="3">
        <v>2</v>
      </c>
      <c r="O1768" s="3">
        <v>2</v>
      </c>
      <c r="R1768" s="3">
        <v>2</v>
      </c>
      <c r="T1768" s="3">
        <f>R1768-O1768</f>
        <v>0</v>
      </c>
      <c r="U1768" s="3">
        <v>2.5</v>
      </c>
      <c r="W1768" s="3">
        <f>U1768-R1768</f>
        <v>0.5</v>
      </c>
      <c r="Y1768" s="1" t="s">
        <v>285</v>
      </c>
      <c r="AB1768" s="1" t="s">
        <v>285</v>
      </c>
      <c r="AE1768" s="1" t="s">
        <v>285</v>
      </c>
      <c r="AH1768" s="1" t="s">
        <v>285</v>
      </c>
      <c r="AK1768" s="1" t="s">
        <v>285</v>
      </c>
      <c r="AN1768" s="1" t="s">
        <v>285</v>
      </c>
      <c r="AQ1768" s="1" t="s">
        <v>285</v>
      </c>
      <c r="AT1768" s="1" t="s">
        <v>285</v>
      </c>
      <c r="AW1768" s="1" t="s">
        <v>285</v>
      </c>
      <c r="BA1768" s="1" t="s">
        <v>285</v>
      </c>
      <c r="BE1768" s="1" t="s">
        <v>285</v>
      </c>
      <c r="BI1768" s="1" t="s">
        <v>285</v>
      </c>
    </row>
    <row r="1769" spans="1:61">
      <c r="A1769" s="6">
        <v>12</v>
      </c>
      <c r="B1769" s="103" t="s">
        <v>546</v>
      </c>
      <c r="C1769" s="1" t="s">
        <v>594</v>
      </c>
      <c r="D1769" s="2"/>
      <c r="E1769" s="2"/>
      <c r="F1769" s="9">
        <v>2.5</v>
      </c>
      <c r="H1769" s="9">
        <v>2.5</v>
      </c>
      <c r="M1769" s="3">
        <v>2.5</v>
      </c>
      <c r="O1769" s="3">
        <v>2.5</v>
      </c>
      <c r="Q1769" s="3">
        <f>O1769-H1769</f>
        <v>0</v>
      </c>
      <c r="R1769" s="3">
        <v>2.5</v>
      </c>
      <c r="T1769" s="3">
        <f>R1769-O1769</f>
        <v>0</v>
      </c>
      <c r="U1769" s="3">
        <v>3</v>
      </c>
      <c r="W1769" s="3">
        <f>U1769-R1769</f>
        <v>0.5</v>
      </c>
      <c r="Y1769" s="1" t="s">
        <v>285</v>
      </c>
      <c r="AB1769" s="1" t="s">
        <v>285</v>
      </c>
      <c r="AE1769" s="1" t="s">
        <v>285</v>
      </c>
      <c r="AH1769" s="1" t="s">
        <v>285</v>
      </c>
      <c r="AK1769" s="1" t="s">
        <v>285</v>
      </c>
      <c r="AN1769" s="1" t="s">
        <v>285</v>
      </c>
      <c r="AQ1769" s="1" t="s">
        <v>285</v>
      </c>
      <c r="AT1769" s="1" t="s">
        <v>285</v>
      </c>
      <c r="AW1769" s="1" t="s">
        <v>285</v>
      </c>
      <c r="BA1769" s="1" t="s">
        <v>285</v>
      </c>
      <c r="BE1769" s="1" t="s">
        <v>285</v>
      </c>
      <c r="BI1769" s="1" t="s">
        <v>285</v>
      </c>
    </row>
    <row r="1770" spans="1:61">
      <c r="A1770" s="6">
        <v>14</v>
      </c>
      <c r="B1770" s="103" t="s">
        <v>546</v>
      </c>
      <c r="C1770" s="1" t="s">
        <v>58</v>
      </c>
      <c r="D1770" s="2"/>
      <c r="E1770" s="2"/>
      <c r="F1770" s="9">
        <v>8.5</v>
      </c>
      <c r="H1770" s="9">
        <v>8.5</v>
      </c>
      <c r="M1770" s="3">
        <v>8.5</v>
      </c>
      <c r="O1770" s="3">
        <v>8.5</v>
      </c>
      <c r="Q1770" s="3">
        <f>O1770-H1770</f>
        <v>0</v>
      </c>
      <c r="R1770" s="3">
        <v>8.5</v>
      </c>
      <c r="T1770" s="3">
        <f>R1770-O1770</f>
        <v>0</v>
      </c>
      <c r="Y1770" s="1" t="s">
        <v>285</v>
      </c>
      <c r="AB1770" s="1" t="s">
        <v>285</v>
      </c>
      <c r="AE1770" s="1" t="s">
        <v>285</v>
      </c>
      <c r="AH1770" s="1" t="s">
        <v>285</v>
      </c>
      <c r="AK1770" s="1" t="s">
        <v>285</v>
      </c>
      <c r="AN1770" s="1" t="s">
        <v>285</v>
      </c>
      <c r="AQ1770" s="1" t="s">
        <v>285</v>
      </c>
      <c r="AT1770" s="1" t="s">
        <v>285</v>
      </c>
      <c r="AW1770" s="1" t="s">
        <v>285</v>
      </c>
      <c r="BA1770" s="1" t="s">
        <v>285</v>
      </c>
      <c r="BE1770" s="1" t="s">
        <v>285</v>
      </c>
      <c r="BI1770" s="1" t="s">
        <v>285</v>
      </c>
    </row>
    <row r="1771" spans="1:61">
      <c r="A1771" s="6">
        <v>11</v>
      </c>
      <c r="B1771" s="103" t="s">
        <v>546</v>
      </c>
      <c r="C1771" s="1" t="s">
        <v>57</v>
      </c>
      <c r="D1771" s="2"/>
      <c r="E1771" s="2"/>
      <c r="M1771" s="2" t="s">
        <v>511</v>
      </c>
      <c r="O1771" s="2" t="s">
        <v>511</v>
      </c>
      <c r="Y1771" s="1" t="s">
        <v>285</v>
      </c>
      <c r="AB1771" s="1" t="s">
        <v>285</v>
      </c>
      <c r="AE1771" s="1" t="s">
        <v>285</v>
      </c>
      <c r="AH1771" s="1" t="s">
        <v>285</v>
      </c>
      <c r="AK1771" s="1" t="s">
        <v>285</v>
      </c>
      <c r="AN1771" s="1" t="s">
        <v>285</v>
      </c>
      <c r="AQ1771" s="1" t="s">
        <v>285</v>
      </c>
      <c r="AT1771" s="1" t="s">
        <v>285</v>
      </c>
      <c r="AW1771" s="1" t="s">
        <v>285</v>
      </c>
      <c r="BA1771" s="1" t="s">
        <v>285</v>
      </c>
      <c r="BE1771" s="1" t="s">
        <v>285</v>
      </c>
      <c r="BI1771" s="1" t="s">
        <v>285</v>
      </c>
    </row>
    <row r="1772" spans="1:61">
      <c r="A1772" s="6">
        <v>1</v>
      </c>
      <c r="B1772" s="1" t="s">
        <v>767</v>
      </c>
      <c r="C1772" s="1" t="s">
        <v>52</v>
      </c>
      <c r="D1772" s="2"/>
      <c r="E1772" s="2"/>
      <c r="F1772" s="9">
        <v>6.3</v>
      </c>
      <c r="H1772" s="9">
        <v>6.3</v>
      </c>
      <c r="M1772" s="3">
        <v>6.3</v>
      </c>
      <c r="O1772" s="3">
        <v>6.3</v>
      </c>
      <c r="Q1772" s="3">
        <f>O1772-H1772</f>
        <v>0</v>
      </c>
    </row>
    <row r="1773" spans="1:61">
      <c r="A1773" s="6">
        <v>3</v>
      </c>
      <c r="B1773" s="1" t="s">
        <v>767</v>
      </c>
      <c r="C1773" s="1" t="s">
        <v>54</v>
      </c>
      <c r="D1773" s="2"/>
      <c r="E1773" s="2"/>
      <c r="F1773" s="9">
        <v>0</v>
      </c>
      <c r="H1773" s="9">
        <v>0</v>
      </c>
    </row>
    <row r="1774" spans="1:61">
      <c r="A1774" s="6">
        <v>4</v>
      </c>
      <c r="B1774" s="1" t="s">
        <v>767</v>
      </c>
      <c r="C1774" s="1" t="s">
        <v>55</v>
      </c>
      <c r="D1774" s="2"/>
      <c r="E1774" s="2"/>
      <c r="F1774" s="9">
        <v>0</v>
      </c>
      <c r="H1774" s="9">
        <v>0</v>
      </c>
    </row>
    <row r="1775" spans="1:61">
      <c r="A1775" s="6">
        <v>5</v>
      </c>
      <c r="B1775" s="1" t="s">
        <v>767</v>
      </c>
      <c r="C1775" s="1" t="s">
        <v>56</v>
      </c>
      <c r="D1775" s="2"/>
      <c r="E1775" s="2"/>
      <c r="F1775" s="9">
        <v>0</v>
      </c>
      <c r="H1775" s="9">
        <v>0</v>
      </c>
    </row>
    <row r="1776" spans="1:61">
      <c r="A1776" s="6">
        <v>2</v>
      </c>
      <c r="B1776" s="1" t="s">
        <v>767</v>
      </c>
      <c r="C1776" s="1" t="s">
        <v>53</v>
      </c>
      <c r="D1776" s="2"/>
      <c r="E1776" s="2"/>
      <c r="F1776" s="9">
        <v>0</v>
      </c>
      <c r="H1776" s="9">
        <v>0</v>
      </c>
      <c r="R1776" s="3">
        <v>7.5</v>
      </c>
      <c r="T1776" s="3"/>
      <c r="U1776" s="3">
        <v>1.5</v>
      </c>
      <c r="W1776" s="3">
        <f>U1776-R1776</f>
        <v>-6</v>
      </c>
    </row>
    <row r="1777" spans="1:61">
      <c r="A1777" s="6">
        <v>12</v>
      </c>
      <c r="B1777" s="1" t="s">
        <v>767</v>
      </c>
      <c r="C1777" s="1" t="s">
        <v>594</v>
      </c>
      <c r="D1777" s="2"/>
      <c r="E1777" s="2"/>
      <c r="F1777" s="9">
        <v>5.13</v>
      </c>
      <c r="H1777" s="9">
        <v>5.13</v>
      </c>
      <c r="M1777" s="3">
        <v>5.13</v>
      </c>
      <c r="O1777" s="3">
        <v>5.13</v>
      </c>
      <c r="Q1777" s="3">
        <f>O1777-H1777</f>
        <v>0</v>
      </c>
      <c r="R1777" s="3">
        <v>6.75</v>
      </c>
      <c r="T1777" s="3">
        <f>R1777-O1777</f>
        <v>1.62</v>
      </c>
      <c r="U1777" s="3">
        <v>1</v>
      </c>
      <c r="W1777" s="3">
        <f>U1777-R1777</f>
        <v>-5.75</v>
      </c>
      <c r="X1777" s="3">
        <v>18.05</v>
      </c>
      <c r="Z1777" s="3">
        <f>X1777-U1777</f>
        <v>17.05</v>
      </c>
      <c r="AA1777" s="3">
        <v>18.05</v>
      </c>
      <c r="AC1777" s="3">
        <f>AA1777-X1777</f>
        <v>0</v>
      </c>
      <c r="AD1777" s="24">
        <v>18.05</v>
      </c>
      <c r="AF1777" s="24">
        <f>AD1777-AA1777</f>
        <v>0</v>
      </c>
      <c r="AG1777" s="3">
        <v>18.05</v>
      </c>
      <c r="AI1777" s="3">
        <f>AG1777-AD1777</f>
        <v>0</v>
      </c>
      <c r="AJ1777" s="3">
        <v>18.05</v>
      </c>
      <c r="AL1777" s="3">
        <f>AJ1777-AG1777</f>
        <v>0</v>
      </c>
      <c r="AM1777" s="3">
        <v>18.05</v>
      </c>
      <c r="AO1777" s="3">
        <f>AM1777-AJ1777</f>
        <v>0</v>
      </c>
      <c r="AP1777" s="3">
        <v>20.5</v>
      </c>
      <c r="AS1777" s="3">
        <v>20.5</v>
      </c>
      <c r="AV1777" s="3">
        <v>20.5</v>
      </c>
      <c r="AZ1777" s="3">
        <v>20</v>
      </c>
      <c r="BA1777" s="1" t="s">
        <v>852</v>
      </c>
      <c r="BD1777" s="3">
        <v>25</v>
      </c>
      <c r="BE1777" s="1" t="s">
        <v>852</v>
      </c>
      <c r="BG1777" s="3">
        <v>25</v>
      </c>
      <c r="BH1777" s="3">
        <v>25</v>
      </c>
      <c r="BI1777" s="1" t="s">
        <v>852</v>
      </c>
    </row>
    <row r="1778" spans="1:61">
      <c r="A1778" s="6">
        <v>14</v>
      </c>
      <c r="B1778" s="1" t="s">
        <v>767</v>
      </c>
      <c r="C1778" s="1" t="s">
        <v>58</v>
      </c>
      <c r="D1778" s="2"/>
      <c r="E1778" s="2"/>
      <c r="F1778" s="9">
        <v>0</v>
      </c>
      <c r="H1778" s="9">
        <v>0</v>
      </c>
      <c r="U1778" s="3">
        <v>6</v>
      </c>
      <c r="X1778" s="3">
        <v>22</v>
      </c>
      <c r="Z1778" s="3">
        <f>X1778-U1778</f>
        <v>16</v>
      </c>
      <c r="AA1778" s="3">
        <v>22</v>
      </c>
      <c r="AC1778" s="3">
        <f>AA1778-X1778</f>
        <v>0</v>
      </c>
      <c r="AD1778" s="24">
        <v>22</v>
      </c>
      <c r="AF1778" s="24">
        <f>AD1778-AA1778</f>
        <v>0</v>
      </c>
      <c r="AG1778" s="3">
        <v>22</v>
      </c>
      <c r="AI1778" s="3">
        <f>AG1778-AD1778</f>
        <v>0</v>
      </c>
      <c r="AJ1778" s="3">
        <v>22</v>
      </c>
      <c r="AL1778" s="3">
        <f>AJ1778-AG1778</f>
        <v>0</v>
      </c>
      <c r="AM1778" s="3">
        <v>22</v>
      </c>
      <c r="AO1778" s="3">
        <f>AM1778-AJ1778</f>
        <v>0</v>
      </c>
      <c r="AP1778" s="3">
        <v>24</v>
      </c>
      <c r="AS1778" s="3">
        <v>24</v>
      </c>
      <c r="AV1778" s="3">
        <v>24</v>
      </c>
      <c r="AZ1778" s="3">
        <v>18</v>
      </c>
      <c r="BA1778" s="1" t="s">
        <v>852</v>
      </c>
      <c r="BD1778" s="3">
        <v>30</v>
      </c>
      <c r="BE1778" s="1" t="s">
        <v>852</v>
      </c>
      <c r="BG1778" s="3">
        <v>30</v>
      </c>
      <c r="BH1778" s="3">
        <v>25</v>
      </c>
      <c r="BI1778" s="1" t="s">
        <v>852</v>
      </c>
    </row>
    <row r="1779" spans="1:61">
      <c r="B1779" s="1" t="s">
        <v>767</v>
      </c>
      <c r="C1779" s="1" t="s">
        <v>857</v>
      </c>
      <c r="D1779" s="2"/>
      <c r="E1779" s="2"/>
      <c r="AC1779" s="3"/>
      <c r="AF1779" s="24"/>
      <c r="AI1779" s="3"/>
      <c r="AL1779" s="3"/>
      <c r="AO1779" s="3"/>
      <c r="BH1779" s="3">
        <v>19.989999999999998</v>
      </c>
      <c r="BI1779" s="1" t="s">
        <v>852</v>
      </c>
    </row>
    <row r="1780" spans="1:61">
      <c r="B1780" s="1" t="s">
        <v>767</v>
      </c>
      <c r="C1780" s="1" t="s">
        <v>64</v>
      </c>
      <c r="D1780" s="2"/>
      <c r="E1780" s="2"/>
      <c r="U1780" s="3">
        <v>6</v>
      </c>
      <c r="X1780" s="3">
        <v>26</v>
      </c>
      <c r="Z1780" s="3">
        <f>X1780-U1780</f>
        <v>20</v>
      </c>
      <c r="AA1780" s="3">
        <v>26</v>
      </c>
      <c r="AC1780" s="3">
        <f>AA1780-X1780</f>
        <v>0</v>
      </c>
      <c r="AD1780" s="24">
        <v>26</v>
      </c>
      <c r="AF1780" s="24">
        <f>AD1780-AA1780</f>
        <v>0</v>
      </c>
      <c r="AG1780" s="3">
        <v>26</v>
      </c>
      <c r="AI1780" s="3">
        <f>AG1780-AD1780</f>
        <v>0</v>
      </c>
      <c r="AJ1780" s="3">
        <v>26</v>
      </c>
      <c r="AL1780" s="3">
        <f>AJ1780-AG1780</f>
        <v>0</v>
      </c>
      <c r="AM1780" s="3">
        <v>26</v>
      </c>
      <c r="AO1780" s="3">
        <f>AM1780-AJ1780</f>
        <v>0</v>
      </c>
      <c r="AP1780" s="3">
        <v>26.5</v>
      </c>
      <c r="AS1780" s="3">
        <v>26.5</v>
      </c>
      <c r="AV1780" s="3">
        <v>26.5</v>
      </c>
      <c r="AZ1780" s="3">
        <v>23</v>
      </c>
      <c r="BA1780" s="1" t="s">
        <v>852</v>
      </c>
      <c r="BD1780" s="3">
        <v>25</v>
      </c>
      <c r="BE1780" s="1" t="s">
        <v>852</v>
      </c>
      <c r="BG1780" s="3">
        <v>25</v>
      </c>
      <c r="BH1780" s="3">
        <v>25</v>
      </c>
      <c r="BI1780" s="1" t="s">
        <v>852</v>
      </c>
    </row>
    <row r="1781" spans="1:61">
      <c r="B1781" s="1" t="s">
        <v>767</v>
      </c>
      <c r="C1781" s="1" t="s">
        <v>286</v>
      </c>
      <c r="D1781" s="2"/>
      <c r="E1781" s="2"/>
      <c r="AG1781" s="3">
        <v>29</v>
      </c>
      <c r="AJ1781" s="3">
        <v>28</v>
      </c>
      <c r="AL1781" s="3">
        <f>AJ1781-AG1781</f>
        <v>-1</v>
      </c>
      <c r="AM1781" s="3">
        <v>28</v>
      </c>
      <c r="AO1781" s="3">
        <f>AM1781-AJ1781</f>
        <v>0</v>
      </c>
      <c r="AP1781" s="3">
        <v>28</v>
      </c>
      <c r="AS1781" s="3">
        <v>28</v>
      </c>
      <c r="AV1781" s="3">
        <v>28</v>
      </c>
      <c r="AZ1781" s="3">
        <v>24</v>
      </c>
      <c r="BA1781" s="1" t="s">
        <v>852</v>
      </c>
      <c r="BD1781" s="3">
        <v>27</v>
      </c>
      <c r="BE1781" s="1" t="s">
        <v>852</v>
      </c>
      <c r="BG1781" s="3">
        <v>27</v>
      </c>
      <c r="BH1781" s="3">
        <v>27</v>
      </c>
      <c r="BI1781" s="1" t="s">
        <v>852</v>
      </c>
    </row>
    <row r="1782" spans="1:61">
      <c r="B1782" s="1" t="s">
        <v>767</v>
      </c>
      <c r="C1782" s="1" t="s">
        <v>288</v>
      </c>
      <c r="D1782" s="2"/>
      <c r="E1782" s="2"/>
      <c r="U1782" s="3">
        <v>5</v>
      </c>
      <c r="AG1782" s="3">
        <v>21</v>
      </c>
      <c r="AJ1782" s="3">
        <v>21</v>
      </c>
      <c r="AL1782" s="3">
        <f>AJ1782-AG1782</f>
        <v>0</v>
      </c>
      <c r="AM1782" s="3">
        <v>21</v>
      </c>
      <c r="AO1782" s="3">
        <f>AM1782-AJ1782</f>
        <v>0</v>
      </c>
      <c r="AP1782" s="3">
        <v>25</v>
      </c>
      <c r="AS1782" s="3">
        <v>25</v>
      </c>
      <c r="AV1782" s="3">
        <v>25</v>
      </c>
      <c r="AZ1782" s="3">
        <v>28</v>
      </c>
      <c r="BA1782" s="1" t="s">
        <v>852</v>
      </c>
      <c r="BD1782" s="3">
        <v>45</v>
      </c>
      <c r="BE1782" s="1" t="s">
        <v>852</v>
      </c>
      <c r="BG1782" s="3">
        <v>45</v>
      </c>
      <c r="BH1782" s="3">
        <v>30</v>
      </c>
      <c r="BI1782" s="1" t="s">
        <v>852</v>
      </c>
    </row>
    <row r="1783" spans="1:61">
      <c r="A1783" s="6">
        <v>11</v>
      </c>
      <c r="B1783" s="1" t="s">
        <v>767</v>
      </c>
      <c r="C1783" s="1" t="s">
        <v>57</v>
      </c>
      <c r="D1783" s="2"/>
      <c r="E1783" s="2"/>
      <c r="F1783" s="9">
        <v>0</v>
      </c>
      <c r="H1783" s="9">
        <v>0</v>
      </c>
    </row>
    <row r="1784" spans="1:61">
      <c r="B1784" s="1" t="s">
        <v>767</v>
      </c>
      <c r="C1784" s="1" t="s">
        <v>287</v>
      </c>
      <c r="D1784" s="2"/>
      <c r="E1784" s="2"/>
      <c r="AS1784" s="3">
        <v>29</v>
      </c>
      <c r="AV1784" s="3">
        <v>29</v>
      </c>
    </row>
    <row r="1785" spans="1:61">
      <c r="A1785" s="6">
        <v>1</v>
      </c>
      <c r="B1785" s="1" t="s">
        <v>548</v>
      </c>
      <c r="C1785" s="1" t="s">
        <v>52</v>
      </c>
      <c r="D1785" s="2">
        <v>13.2</v>
      </c>
      <c r="E1785" s="2"/>
      <c r="F1785" s="9">
        <v>0</v>
      </c>
      <c r="H1785" s="9">
        <v>0</v>
      </c>
    </row>
    <row r="1786" spans="1:61">
      <c r="A1786" s="6">
        <v>3</v>
      </c>
      <c r="B1786" s="1" t="s">
        <v>548</v>
      </c>
      <c r="C1786" s="1" t="s">
        <v>54</v>
      </c>
      <c r="D1786" s="2"/>
      <c r="E1786" s="2"/>
      <c r="F1786" s="9">
        <v>0</v>
      </c>
      <c r="H1786" s="9">
        <v>0</v>
      </c>
    </row>
    <row r="1787" spans="1:61">
      <c r="A1787" s="6">
        <v>4</v>
      </c>
      <c r="B1787" s="1" t="s">
        <v>548</v>
      </c>
      <c r="C1787" s="1" t="s">
        <v>55</v>
      </c>
      <c r="D1787" s="2"/>
      <c r="E1787" s="2"/>
      <c r="F1787" s="9">
        <v>0</v>
      </c>
      <c r="H1787" s="9">
        <v>0</v>
      </c>
    </row>
    <row r="1788" spans="1:61">
      <c r="A1788" s="6">
        <v>5</v>
      </c>
      <c r="B1788" s="1" t="s">
        <v>548</v>
      </c>
      <c r="C1788" s="1" t="s">
        <v>56</v>
      </c>
      <c r="D1788" s="2"/>
      <c r="E1788" s="2"/>
      <c r="F1788" s="9">
        <v>0</v>
      </c>
      <c r="H1788" s="9">
        <v>0</v>
      </c>
      <c r="R1788" s="3">
        <v>2.85</v>
      </c>
    </row>
    <row r="1789" spans="1:61">
      <c r="A1789" s="6">
        <v>2</v>
      </c>
      <c r="B1789" s="1" t="s">
        <v>548</v>
      </c>
      <c r="C1789" s="1" t="s">
        <v>53</v>
      </c>
      <c r="D1789" s="2">
        <v>15.95</v>
      </c>
      <c r="E1789" s="2"/>
      <c r="F1789" s="9">
        <v>0</v>
      </c>
      <c r="H1789" s="9">
        <v>0</v>
      </c>
      <c r="M1789" s="3">
        <v>2.4700000000000002</v>
      </c>
      <c r="O1789" s="3">
        <v>2.4700000000000002</v>
      </c>
      <c r="Q1789" s="3"/>
      <c r="R1789" s="3">
        <v>2.6</v>
      </c>
      <c r="T1789" s="3">
        <f>R1789-O1789</f>
        <v>0.12999999999999989</v>
      </c>
    </row>
    <row r="1790" spans="1:61">
      <c r="B1790" s="1" t="s">
        <v>548</v>
      </c>
      <c r="C1790" s="1" t="s">
        <v>597</v>
      </c>
      <c r="D1790" s="2"/>
      <c r="E1790" s="2"/>
      <c r="U1790" s="3">
        <v>12</v>
      </c>
      <c r="X1790" s="3">
        <v>8</v>
      </c>
      <c r="Z1790" s="3">
        <f>X1790-U1790</f>
        <v>-4</v>
      </c>
      <c r="AG1790" s="3">
        <v>11.79</v>
      </c>
    </row>
    <row r="1791" spans="1:61">
      <c r="B1791" s="1" t="s">
        <v>548</v>
      </c>
      <c r="C1791" s="1" t="s">
        <v>595</v>
      </c>
      <c r="D1791" s="2"/>
      <c r="E1791" s="2"/>
      <c r="R1791" s="3">
        <v>4.16</v>
      </c>
      <c r="T1791" s="3"/>
      <c r="U1791" s="3">
        <v>4.4000000000000004</v>
      </c>
      <c r="W1791" s="3">
        <f>U1791-R1791</f>
        <v>0.24000000000000021</v>
      </c>
      <c r="AA1791" s="3">
        <v>4.03</v>
      </c>
      <c r="AD1791" s="24">
        <v>4.26</v>
      </c>
      <c r="AG1791" s="3">
        <v>9.44</v>
      </c>
      <c r="AI1791" s="3">
        <f>AG1791-AD1791</f>
        <v>5.18</v>
      </c>
    </row>
    <row r="1792" spans="1:61">
      <c r="B1792" s="1" t="s">
        <v>548</v>
      </c>
      <c r="C1792" s="1" t="s">
        <v>596</v>
      </c>
      <c r="D1792" s="2"/>
      <c r="E1792" s="2"/>
      <c r="R1792" s="3">
        <v>5.2</v>
      </c>
    </row>
    <row r="1793" spans="1:61">
      <c r="A1793" s="6">
        <v>12</v>
      </c>
      <c r="B1793" s="1" t="s">
        <v>548</v>
      </c>
      <c r="C1793" s="1" t="s">
        <v>594</v>
      </c>
      <c r="D1793" s="2">
        <v>6.6</v>
      </c>
      <c r="E1793" s="2"/>
      <c r="F1793" s="9">
        <v>0</v>
      </c>
      <c r="H1793" s="9">
        <v>0</v>
      </c>
      <c r="R1793" s="3">
        <v>3.14</v>
      </c>
      <c r="T1793" s="3"/>
      <c r="U1793" s="3">
        <v>3.48</v>
      </c>
      <c r="W1793" s="3">
        <f>U1793-R1793</f>
        <v>0.33999999999999986</v>
      </c>
      <c r="X1793" s="3">
        <v>7.5</v>
      </c>
      <c r="Z1793" s="3">
        <f>X1793-U1793</f>
        <v>4.0199999999999996</v>
      </c>
      <c r="AA1793" s="3">
        <v>4.03</v>
      </c>
      <c r="AD1793" s="24">
        <v>2.9</v>
      </c>
      <c r="AG1793" s="3">
        <v>3.54</v>
      </c>
      <c r="AI1793" s="3">
        <f>AG1793-AD1793</f>
        <v>0.64000000000000012</v>
      </c>
      <c r="AJ1793" s="3">
        <v>4</v>
      </c>
      <c r="AL1793" s="3">
        <f>AJ1793-AG1793</f>
        <v>0.45999999999999996</v>
      </c>
      <c r="AM1793" s="3">
        <v>5.88</v>
      </c>
      <c r="AO1793" s="3">
        <f>AM1793-AJ1793</f>
        <v>1.88</v>
      </c>
      <c r="AP1793" s="3">
        <v>5.88</v>
      </c>
      <c r="AS1793" s="3">
        <v>4.7699999999999996</v>
      </c>
      <c r="AV1793" s="3">
        <v>4.8</v>
      </c>
      <c r="AZ1793" s="3">
        <v>4.7</v>
      </c>
      <c r="BD1793" s="3">
        <v>8.19</v>
      </c>
      <c r="BH1793" s="3">
        <v>2.93</v>
      </c>
    </row>
    <row r="1794" spans="1:61">
      <c r="A1794" s="6">
        <v>14</v>
      </c>
      <c r="B1794" s="1" t="s">
        <v>548</v>
      </c>
      <c r="C1794" s="1" t="s">
        <v>58</v>
      </c>
      <c r="D1794" s="2">
        <v>11.55</v>
      </c>
      <c r="E1794" s="2"/>
      <c r="F1794" s="9">
        <v>0</v>
      </c>
      <c r="H1794" s="9">
        <v>0</v>
      </c>
      <c r="R1794" s="3">
        <v>5.47</v>
      </c>
      <c r="T1794" s="3"/>
      <c r="U1794" s="3">
        <v>9.4</v>
      </c>
      <c r="W1794" s="3">
        <f>U1794-R1794</f>
        <v>3.9300000000000006</v>
      </c>
      <c r="X1794" s="3">
        <v>10.5</v>
      </c>
      <c r="Z1794" s="3">
        <f>X1794-U1794</f>
        <v>1.0999999999999996</v>
      </c>
      <c r="AA1794" s="3">
        <v>8.07</v>
      </c>
      <c r="AD1794" s="24">
        <v>5.26</v>
      </c>
      <c r="AG1794" s="3">
        <v>5.42</v>
      </c>
      <c r="AI1794" s="3">
        <f>AG1794-AD1794</f>
        <v>0.16000000000000014</v>
      </c>
      <c r="AJ1794" s="3">
        <v>4.3499999999999996</v>
      </c>
      <c r="AL1794" s="3">
        <f>AJ1794-AG1794</f>
        <v>-1.0700000000000003</v>
      </c>
      <c r="AM1794" s="3">
        <v>6.98</v>
      </c>
      <c r="AO1794" s="3">
        <f>AM1794-AJ1794</f>
        <v>2.6300000000000008</v>
      </c>
      <c r="AP1794" s="3">
        <v>5.98</v>
      </c>
      <c r="AS1794" s="3">
        <v>5.51</v>
      </c>
      <c r="AV1794" s="3">
        <v>5.6</v>
      </c>
      <c r="AZ1794" s="3">
        <v>5.07</v>
      </c>
      <c r="BD1794" s="3">
        <v>8.9499999999999993</v>
      </c>
      <c r="BH1794" s="3">
        <v>4.13</v>
      </c>
    </row>
    <row r="1795" spans="1:61">
      <c r="B1795" s="1" t="s">
        <v>548</v>
      </c>
      <c r="C1795" s="1" t="s">
        <v>64</v>
      </c>
      <c r="D1795" s="2"/>
      <c r="E1795" s="2"/>
      <c r="R1795" s="3">
        <v>3.75</v>
      </c>
      <c r="T1795" s="3"/>
      <c r="U1795" s="3">
        <v>9.9</v>
      </c>
      <c r="W1795" s="3">
        <f>U1795-R1795</f>
        <v>6.15</v>
      </c>
      <c r="X1795" s="3">
        <v>8.6</v>
      </c>
      <c r="Z1795" s="3">
        <f>X1795-U1795</f>
        <v>-1.3000000000000007</v>
      </c>
      <c r="AA1795" s="3">
        <v>10.36</v>
      </c>
      <c r="AD1795" s="24">
        <v>7.25</v>
      </c>
      <c r="AG1795" s="3">
        <v>6.37</v>
      </c>
      <c r="AI1795" s="3">
        <f>AG1795-AD1795</f>
        <v>-0.87999999999999989</v>
      </c>
      <c r="AJ1795" s="3">
        <v>5.7</v>
      </c>
      <c r="AL1795" s="3">
        <f>AJ1795-AG1795</f>
        <v>-0.66999999999999993</v>
      </c>
      <c r="AM1795" s="3">
        <v>7.35</v>
      </c>
      <c r="AO1795" s="3">
        <f>AM1795-AJ1795</f>
        <v>1.6499999999999995</v>
      </c>
      <c r="AP1795" s="3">
        <v>6.5</v>
      </c>
      <c r="AS1795" s="3">
        <v>8.34</v>
      </c>
      <c r="AV1795" s="3">
        <v>8.5</v>
      </c>
      <c r="AZ1795" s="3">
        <v>4.4000000000000004</v>
      </c>
      <c r="BD1795" s="3">
        <v>11.86</v>
      </c>
      <c r="BH1795" s="3">
        <v>4.9800000000000004</v>
      </c>
    </row>
    <row r="1796" spans="1:61">
      <c r="B1796" s="1" t="s">
        <v>548</v>
      </c>
      <c r="C1796" s="1" t="s">
        <v>286</v>
      </c>
      <c r="D1796" s="2"/>
      <c r="E1796" s="2"/>
      <c r="R1796" s="3">
        <v>4.2</v>
      </c>
      <c r="T1796" s="3"/>
      <c r="U1796" s="3">
        <v>12.32</v>
      </c>
      <c r="W1796" s="3">
        <f>U1796-R1796</f>
        <v>8.120000000000001</v>
      </c>
      <c r="X1796" s="3">
        <v>10</v>
      </c>
      <c r="Z1796" s="3">
        <f>X1796-U1796</f>
        <v>-2.3200000000000003</v>
      </c>
      <c r="AA1796" s="3">
        <v>10.56</v>
      </c>
      <c r="AD1796" s="24">
        <v>10.57</v>
      </c>
      <c r="AG1796" s="3">
        <v>12.68</v>
      </c>
      <c r="AI1796" s="3">
        <f>AG1796-AD1796</f>
        <v>2.1099999999999994</v>
      </c>
      <c r="AJ1796" s="3">
        <v>11.8</v>
      </c>
      <c r="AL1796" s="3">
        <f>AJ1796-AG1796</f>
        <v>-0.87999999999999901</v>
      </c>
      <c r="AZ1796" s="3">
        <v>5.26</v>
      </c>
      <c r="BD1796" s="3">
        <v>8.9499999999999993</v>
      </c>
      <c r="BH1796" s="3">
        <v>4.43</v>
      </c>
    </row>
    <row r="1797" spans="1:61">
      <c r="B1797" s="1" t="s">
        <v>548</v>
      </c>
      <c r="C1797" s="1" t="s">
        <v>288</v>
      </c>
      <c r="D1797" s="2"/>
      <c r="E1797" s="2"/>
      <c r="R1797" s="3">
        <v>3.18</v>
      </c>
      <c r="T1797" s="3"/>
      <c r="U1797" s="3">
        <v>9.68</v>
      </c>
      <c r="W1797" s="3">
        <f>U1797-R1797</f>
        <v>6.5</v>
      </c>
      <c r="X1797" s="3">
        <v>10.25</v>
      </c>
      <c r="Z1797" s="3">
        <f>X1797-U1797</f>
        <v>0.57000000000000028</v>
      </c>
      <c r="AA1797" s="3">
        <v>8.89</v>
      </c>
      <c r="AD1797" s="24">
        <v>6.7</v>
      </c>
      <c r="AG1797" s="3">
        <v>8.52</v>
      </c>
      <c r="AI1797" s="3">
        <f>AG1797-AD1797</f>
        <v>1.8199999999999994</v>
      </c>
      <c r="AJ1797" s="3">
        <v>4.8499999999999996</v>
      </c>
      <c r="AL1797" s="3">
        <f>AJ1797-AG1797</f>
        <v>-3.67</v>
      </c>
      <c r="AM1797" s="3">
        <v>7.96</v>
      </c>
      <c r="AO1797" s="3">
        <f>AM1797-AJ1797</f>
        <v>3.1100000000000003</v>
      </c>
      <c r="AP1797" s="3">
        <v>6.9</v>
      </c>
      <c r="AS1797" s="3">
        <v>8.89</v>
      </c>
      <c r="AV1797" s="3">
        <v>8.9</v>
      </c>
      <c r="AZ1797" s="3">
        <v>3.68</v>
      </c>
      <c r="BD1797" s="3">
        <v>8.7200000000000006</v>
      </c>
      <c r="BH1797" s="3">
        <v>4.3600000000000003</v>
      </c>
    </row>
    <row r="1798" spans="1:61">
      <c r="A1798" s="6">
        <v>11</v>
      </c>
      <c r="B1798" s="1" t="s">
        <v>548</v>
      </c>
      <c r="C1798" s="1" t="s">
        <v>57</v>
      </c>
      <c r="D1798" s="2">
        <v>26.4</v>
      </c>
      <c r="E1798" s="2"/>
      <c r="F1798" s="9">
        <v>0</v>
      </c>
      <c r="H1798" s="9">
        <v>0</v>
      </c>
    </row>
    <row r="1799" spans="1:61">
      <c r="B1799" s="1" t="s">
        <v>548</v>
      </c>
      <c r="C1799" s="1" t="s">
        <v>287</v>
      </c>
      <c r="D1799" s="2"/>
      <c r="E1799" s="2"/>
      <c r="R1799" s="3">
        <v>2.93</v>
      </c>
      <c r="T1799" s="3"/>
      <c r="U1799" s="3">
        <v>9.9</v>
      </c>
      <c r="W1799" s="3">
        <f>U1799-R1799</f>
        <v>6.9700000000000006</v>
      </c>
      <c r="X1799" s="3">
        <v>8</v>
      </c>
      <c r="Z1799" s="3">
        <f>X1799-U1799</f>
        <v>-1.9000000000000004</v>
      </c>
      <c r="AA1799" s="3">
        <v>10.56</v>
      </c>
      <c r="AD1799" s="24">
        <v>6.52</v>
      </c>
      <c r="AG1799" s="3">
        <v>7.1</v>
      </c>
      <c r="AI1799" s="3">
        <f>AG1799-AD1799</f>
        <v>0.58000000000000007</v>
      </c>
      <c r="AJ1799" s="3">
        <v>5.2</v>
      </c>
      <c r="AL1799" s="3">
        <f>AJ1799-AG1799</f>
        <v>-1.8999999999999995</v>
      </c>
      <c r="AS1799" s="3">
        <v>8.89</v>
      </c>
      <c r="AV1799" s="3">
        <v>8.9499999999999993</v>
      </c>
      <c r="AZ1799" s="3">
        <v>5.08</v>
      </c>
      <c r="BD1799" s="3">
        <v>9.69</v>
      </c>
      <c r="BH1799" s="3">
        <v>4.68</v>
      </c>
    </row>
    <row r="1800" spans="1:61">
      <c r="A1800" s="6">
        <v>1</v>
      </c>
      <c r="B1800" s="1" t="s">
        <v>552</v>
      </c>
      <c r="C1800" s="1" t="s">
        <v>52</v>
      </c>
      <c r="D1800" s="2"/>
      <c r="E1800" s="2"/>
      <c r="F1800" s="9">
        <v>0</v>
      </c>
      <c r="H1800" s="9">
        <v>0</v>
      </c>
      <c r="AB1800" s="1" t="s">
        <v>285</v>
      </c>
    </row>
    <row r="1801" spans="1:61">
      <c r="A1801" s="6">
        <v>3</v>
      </c>
      <c r="B1801" s="1" t="s">
        <v>552</v>
      </c>
      <c r="C1801" s="1" t="s">
        <v>54</v>
      </c>
      <c r="D1801" s="2"/>
      <c r="E1801" s="2"/>
      <c r="F1801" s="9">
        <v>0</v>
      </c>
      <c r="H1801" s="9">
        <v>0</v>
      </c>
      <c r="AB1801" s="1" t="s">
        <v>285</v>
      </c>
    </row>
    <row r="1802" spans="1:61">
      <c r="A1802" s="6">
        <v>4</v>
      </c>
      <c r="B1802" s="1" t="s">
        <v>552</v>
      </c>
      <c r="C1802" s="1" t="s">
        <v>55</v>
      </c>
      <c r="D1802" s="2"/>
      <c r="E1802" s="2"/>
      <c r="F1802" s="9">
        <v>0</v>
      </c>
      <c r="H1802" s="9">
        <v>0</v>
      </c>
      <c r="AB1802" s="1" t="s">
        <v>285</v>
      </c>
    </row>
    <row r="1803" spans="1:61">
      <c r="A1803" s="6">
        <v>5</v>
      </c>
      <c r="B1803" s="1" t="s">
        <v>552</v>
      </c>
      <c r="C1803" s="1" t="s">
        <v>56</v>
      </c>
      <c r="D1803" s="2"/>
      <c r="E1803" s="2"/>
      <c r="F1803" s="9">
        <v>0</v>
      </c>
      <c r="H1803" s="9">
        <v>0</v>
      </c>
      <c r="AB1803" s="1" t="s">
        <v>285</v>
      </c>
    </row>
    <row r="1804" spans="1:61">
      <c r="A1804" s="6">
        <v>2</v>
      </c>
      <c r="B1804" s="1" t="s">
        <v>552</v>
      </c>
      <c r="C1804" s="1" t="s">
        <v>53</v>
      </c>
      <c r="D1804" s="2"/>
      <c r="E1804" s="2"/>
      <c r="F1804" s="9">
        <v>0</v>
      </c>
      <c r="H1804" s="9">
        <v>0</v>
      </c>
      <c r="M1804" s="3">
        <v>8.6199999999999992</v>
      </c>
      <c r="O1804" s="3">
        <v>8.6199999999999992</v>
      </c>
      <c r="Q1804" s="3"/>
      <c r="AB1804" s="1" t="s">
        <v>285</v>
      </c>
    </row>
    <row r="1805" spans="1:61">
      <c r="A1805" s="6">
        <v>12</v>
      </c>
      <c r="B1805" s="1" t="s">
        <v>552</v>
      </c>
      <c r="C1805" s="1" t="s">
        <v>594</v>
      </c>
      <c r="D1805" s="2"/>
      <c r="E1805" s="2"/>
      <c r="F1805" s="9">
        <v>0</v>
      </c>
      <c r="H1805" s="9">
        <v>0</v>
      </c>
      <c r="M1805" s="3">
        <v>4.38</v>
      </c>
      <c r="O1805" s="3">
        <v>4.38</v>
      </c>
      <c r="Q1805" s="3"/>
      <c r="U1805" s="3">
        <v>5.5</v>
      </c>
      <c r="X1805" s="3">
        <v>2.87</v>
      </c>
      <c r="AB1805" s="1" t="s">
        <v>285</v>
      </c>
      <c r="AD1805" s="24">
        <v>8.82</v>
      </c>
      <c r="AG1805" s="3">
        <v>8.5</v>
      </c>
      <c r="AI1805" s="3">
        <f>AG1805-AD1805</f>
        <v>-0.32000000000000028</v>
      </c>
      <c r="AJ1805" s="3">
        <v>6.55</v>
      </c>
      <c r="AL1805" s="3">
        <f>AJ1805-AG1805</f>
        <v>-1.9500000000000002</v>
      </c>
      <c r="AM1805" s="3">
        <v>5.12</v>
      </c>
      <c r="AO1805" s="3">
        <f>AM1805-AJ1805</f>
        <v>-1.4299999999999997</v>
      </c>
      <c r="AP1805" s="3">
        <v>5.1100000000000003</v>
      </c>
      <c r="AS1805" s="3">
        <v>7.98</v>
      </c>
      <c r="AV1805" s="3">
        <v>7.8</v>
      </c>
      <c r="AY1805" s="3">
        <v>7.8</v>
      </c>
      <c r="AZ1805" s="3">
        <v>19.48</v>
      </c>
      <c r="BA1805" s="1" t="s">
        <v>852</v>
      </c>
      <c r="BC1805" s="3">
        <v>19.48</v>
      </c>
      <c r="BD1805" s="3">
        <v>24.05</v>
      </c>
      <c r="BE1805" s="1" t="s">
        <v>852</v>
      </c>
      <c r="BG1805" s="3">
        <v>24.05</v>
      </c>
      <c r="BH1805" s="3">
        <v>17.190000000000001</v>
      </c>
      <c r="BI1805" s="1" t="s">
        <v>852</v>
      </c>
    </row>
    <row r="1806" spans="1:61">
      <c r="A1806" s="6">
        <v>14</v>
      </c>
      <c r="B1806" s="1" t="s">
        <v>552</v>
      </c>
      <c r="C1806" s="1" t="s">
        <v>58</v>
      </c>
      <c r="D1806" s="2"/>
      <c r="E1806" s="2"/>
      <c r="F1806" s="9">
        <v>0</v>
      </c>
      <c r="H1806" s="9">
        <v>0</v>
      </c>
      <c r="M1806" s="3">
        <v>24.26</v>
      </c>
      <c r="O1806" s="3">
        <v>24.26</v>
      </c>
      <c r="Q1806" s="3"/>
      <c r="U1806" s="3">
        <v>13.68</v>
      </c>
      <c r="X1806" s="3">
        <v>7.09</v>
      </c>
      <c r="AB1806" s="1" t="s">
        <v>285</v>
      </c>
      <c r="AD1806" s="24">
        <v>18.75</v>
      </c>
      <c r="AG1806" s="3">
        <v>26.5</v>
      </c>
      <c r="AI1806" s="3">
        <f>AG1806-AD1806</f>
        <v>7.75</v>
      </c>
      <c r="AJ1806" s="3">
        <v>20.16</v>
      </c>
      <c r="AL1806" s="3">
        <f>AJ1806-AG1806</f>
        <v>-6.34</v>
      </c>
      <c r="AM1806" s="3">
        <v>7.22</v>
      </c>
      <c r="AO1806" s="3">
        <f>AM1806-AJ1806</f>
        <v>-12.940000000000001</v>
      </c>
      <c r="AP1806" s="3">
        <v>5.76</v>
      </c>
      <c r="AS1806" s="3">
        <v>8.2899999999999991</v>
      </c>
      <c r="AV1806" s="3">
        <v>7.6</v>
      </c>
      <c r="AY1806" s="3">
        <v>7.6</v>
      </c>
      <c r="AZ1806" s="3">
        <v>7.31</v>
      </c>
      <c r="BA1806" s="1" t="s">
        <v>852</v>
      </c>
      <c r="BD1806" s="3">
        <v>10.15</v>
      </c>
      <c r="BE1806" s="1" t="s">
        <v>852</v>
      </c>
      <c r="BG1806" s="3">
        <v>10.15</v>
      </c>
      <c r="BH1806" s="3">
        <v>9.5399999999999991</v>
      </c>
      <c r="BI1806" s="1" t="s">
        <v>852</v>
      </c>
    </row>
    <row r="1807" spans="1:61">
      <c r="B1807" s="1" t="s">
        <v>552</v>
      </c>
      <c r="C1807" s="1" t="s">
        <v>289</v>
      </c>
      <c r="D1807" s="2"/>
      <c r="E1807" s="2"/>
      <c r="Q1807" s="3"/>
      <c r="U1807" s="3">
        <v>11.29</v>
      </c>
      <c r="X1807" s="3">
        <v>5.38</v>
      </c>
      <c r="AB1807" s="1" t="s">
        <v>285</v>
      </c>
      <c r="AD1807" s="24">
        <v>7.27</v>
      </c>
      <c r="AG1807" s="3">
        <v>12.5</v>
      </c>
      <c r="AI1807" s="3">
        <f>AG1807-AD1807</f>
        <v>5.23</v>
      </c>
      <c r="AJ1807" s="3">
        <v>9.1199999999999992</v>
      </c>
      <c r="AL1807" s="3">
        <f>AJ1807-AG1807</f>
        <v>-3.3800000000000008</v>
      </c>
      <c r="AM1807" s="3">
        <v>9.73</v>
      </c>
      <c r="AO1807" s="3">
        <f>AM1807-AJ1807</f>
        <v>0.61000000000000121</v>
      </c>
      <c r="AP1807" s="3">
        <v>8.49</v>
      </c>
      <c r="AS1807" s="3">
        <v>9.8699999999999992</v>
      </c>
      <c r="AV1807" s="3">
        <v>7.9</v>
      </c>
      <c r="AY1807" s="3">
        <v>7.9</v>
      </c>
      <c r="AZ1807" s="3">
        <v>7.14</v>
      </c>
      <c r="BA1807" s="1" t="s">
        <v>852</v>
      </c>
      <c r="BD1807" s="3">
        <v>10.63</v>
      </c>
      <c r="BE1807" s="1" t="s">
        <v>852</v>
      </c>
    </row>
    <row r="1808" spans="1:61">
      <c r="B1808" s="1" t="s">
        <v>552</v>
      </c>
      <c r="C1808" s="1" t="s">
        <v>64</v>
      </c>
      <c r="D1808" s="2"/>
      <c r="E1808" s="2"/>
      <c r="Q1808" s="3"/>
      <c r="U1808" s="3">
        <v>8.86</v>
      </c>
      <c r="X1808" s="3">
        <v>6.27</v>
      </c>
      <c r="AB1808" s="1" t="s">
        <v>285</v>
      </c>
      <c r="AD1808" s="24">
        <v>22.48</v>
      </c>
      <c r="AG1808" s="3">
        <v>28.3</v>
      </c>
      <c r="AI1808" s="3">
        <f>AG1808-AD1808</f>
        <v>5.82</v>
      </c>
      <c r="AJ1808" s="3">
        <v>18.68</v>
      </c>
      <c r="AL1808" s="3">
        <f>AJ1808-AG1808</f>
        <v>-9.620000000000001</v>
      </c>
      <c r="AM1808" s="3">
        <v>7.77</v>
      </c>
      <c r="AO1808" s="3">
        <f>AM1808-AJ1808</f>
        <v>-10.91</v>
      </c>
      <c r="AP1808" s="3">
        <v>7.05</v>
      </c>
      <c r="AS1808" s="3">
        <v>9.18</v>
      </c>
      <c r="AV1808" s="3">
        <v>10.5</v>
      </c>
      <c r="AY1808" s="3">
        <v>10.5</v>
      </c>
      <c r="AZ1808" s="3">
        <v>9.98</v>
      </c>
      <c r="BA1808" s="1" t="s">
        <v>852</v>
      </c>
      <c r="BD1808" s="3">
        <v>11.72</v>
      </c>
      <c r="BE1808" s="1" t="s">
        <v>852</v>
      </c>
      <c r="BG1808" s="3">
        <v>11.72</v>
      </c>
      <c r="BH1808" s="3">
        <v>13.36</v>
      </c>
      <c r="BI1808" s="1" t="s">
        <v>852</v>
      </c>
    </row>
    <row r="1809" spans="1:65">
      <c r="B1809" s="1" t="s">
        <v>552</v>
      </c>
      <c r="C1809" s="1" t="s">
        <v>962</v>
      </c>
      <c r="D1809" s="2"/>
      <c r="E1809" s="2"/>
      <c r="Q1809" s="3"/>
      <c r="AL1809" s="3"/>
      <c r="AO1809" s="3"/>
      <c r="AZ1809" s="3">
        <v>3.45</v>
      </c>
      <c r="BA1809" s="1" t="s">
        <v>852</v>
      </c>
      <c r="BD1809" s="3">
        <v>3.45</v>
      </c>
      <c r="BE1809" s="1" t="s">
        <v>852</v>
      </c>
    </row>
    <row r="1810" spans="1:65">
      <c r="B1810" s="1" t="s">
        <v>552</v>
      </c>
      <c r="C1810" s="1" t="s">
        <v>286</v>
      </c>
      <c r="D1810" s="2"/>
      <c r="E1810" s="2"/>
      <c r="Q1810" s="3"/>
      <c r="U1810" s="3">
        <v>11.69</v>
      </c>
      <c r="AB1810" s="1" t="s">
        <v>285</v>
      </c>
      <c r="AD1810" s="24">
        <v>13.27</v>
      </c>
      <c r="AG1810" s="3">
        <v>11.2</v>
      </c>
      <c r="AI1810" s="3">
        <f>AG1810-AD1810</f>
        <v>-2.0700000000000003</v>
      </c>
      <c r="AJ1810" s="3">
        <v>8.7799999999999994</v>
      </c>
      <c r="AL1810" s="3">
        <f>AJ1810-AG1810</f>
        <v>-2.42</v>
      </c>
      <c r="AP1810" s="3">
        <v>6.71</v>
      </c>
      <c r="AS1810" s="3">
        <v>9.77</v>
      </c>
      <c r="AV1810" s="3">
        <v>9.4</v>
      </c>
      <c r="AY1810" s="3">
        <v>9.4</v>
      </c>
      <c r="AZ1810" s="3">
        <v>8.5500000000000007</v>
      </c>
      <c r="BA1810" s="1" t="s">
        <v>852</v>
      </c>
      <c r="BD1810" s="3">
        <v>11.38</v>
      </c>
      <c r="BE1810" s="1" t="s">
        <v>852</v>
      </c>
      <c r="BG1810" s="3">
        <v>11.38</v>
      </c>
      <c r="BH1810" s="3">
        <v>9.31</v>
      </c>
      <c r="BI1810" s="1" t="s">
        <v>852</v>
      </c>
    </row>
    <row r="1811" spans="1:65">
      <c r="B1811" s="1" t="s">
        <v>552</v>
      </c>
      <c r="C1811" s="1" t="s">
        <v>963</v>
      </c>
      <c r="D1811" s="2"/>
      <c r="E1811" s="2"/>
      <c r="Q1811" s="3"/>
      <c r="AL1811" s="3"/>
      <c r="AO1811" s="3"/>
      <c r="AZ1811" s="3">
        <v>5.59</v>
      </c>
      <c r="BA1811" s="1" t="s">
        <v>852</v>
      </c>
      <c r="BD1811" s="3">
        <v>5.59</v>
      </c>
      <c r="BE1811" s="1" t="s">
        <v>852</v>
      </c>
    </row>
    <row r="1812" spans="1:65">
      <c r="B1812" s="1" t="s">
        <v>552</v>
      </c>
      <c r="C1812" s="1" t="s">
        <v>377</v>
      </c>
      <c r="D1812" s="2"/>
      <c r="E1812" s="2"/>
      <c r="Q1812" s="3"/>
      <c r="AL1812" s="3"/>
      <c r="AO1812" s="3"/>
      <c r="AZ1812" s="3">
        <v>6.25</v>
      </c>
      <c r="BA1812" s="1" t="s">
        <v>852</v>
      </c>
      <c r="BD1812" s="3">
        <v>6.25</v>
      </c>
      <c r="BE1812" s="1" t="s">
        <v>852</v>
      </c>
    </row>
    <row r="1813" spans="1:65">
      <c r="B1813" s="1" t="s">
        <v>552</v>
      </c>
      <c r="C1813" s="1" t="s">
        <v>288</v>
      </c>
      <c r="D1813" s="2"/>
      <c r="E1813" s="2"/>
      <c r="Q1813" s="3"/>
      <c r="U1813" s="3">
        <v>9.6300000000000008</v>
      </c>
      <c r="X1813" s="3">
        <v>5.7</v>
      </c>
      <c r="AB1813" s="1" t="s">
        <v>285</v>
      </c>
      <c r="AD1813" s="24">
        <v>21.68</v>
      </c>
      <c r="AG1813" s="3">
        <v>27.2</v>
      </c>
      <c r="AI1813" s="3">
        <f>AG1813-AD1813</f>
        <v>5.52</v>
      </c>
      <c r="AJ1813" s="3">
        <v>17.97</v>
      </c>
      <c r="AL1813" s="3">
        <f>AJ1813-AG1813</f>
        <v>-9.23</v>
      </c>
      <c r="AM1813" s="3">
        <v>7.5</v>
      </c>
      <c r="AO1813" s="3">
        <f>AM1813-AJ1813</f>
        <v>-10.469999999999999</v>
      </c>
      <c r="AP1813" s="3">
        <v>5.74</v>
      </c>
      <c r="AS1813" s="3">
        <v>12.29</v>
      </c>
      <c r="AV1813" s="3">
        <v>14.2</v>
      </c>
      <c r="AY1813" s="3">
        <v>14.2</v>
      </c>
      <c r="AZ1813" s="3">
        <v>11.87</v>
      </c>
      <c r="BA1813" s="1" t="s">
        <v>852</v>
      </c>
      <c r="BD1813" s="3">
        <v>13.24</v>
      </c>
      <c r="BE1813" s="1" t="s">
        <v>852</v>
      </c>
      <c r="BG1813" s="3">
        <v>13.24</v>
      </c>
      <c r="BH1813" s="3">
        <v>11.69</v>
      </c>
      <c r="BI1813" s="1" t="s">
        <v>852</v>
      </c>
    </row>
    <row r="1814" spans="1:65">
      <c r="A1814" s="6">
        <v>11</v>
      </c>
      <c r="B1814" s="1" t="s">
        <v>552</v>
      </c>
      <c r="C1814" s="1" t="s">
        <v>57</v>
      </c>
      <c r="D1814" s="2"/>
      <c r="E1814" s="2"/>
      <c r="F1814" s="9">
        <v>0</v>
      </c>
      <c r="H1814" s="9">
        <v>0</v>
      </c>
      <c r="AB1814" s="1" t="s">
        <v>285</v>
      </c>
    </row>
    <row r="1815" spans="1:65">
      <c r="B1815" s="1" t="s">
        <v>552</v>
      </c>
      <c r="C1815" s="1" t="s">
        <v>287</v>
      </c>
      <c r="D1815" s="2"/>
      <c r="E1815" s="2"/>
      <c r="Q1815" s="3"/>
      <c r="U1815" s="3">
        <v>11.26</v>
      </c>
      <c r="X1815" s="3">
        <v>6.7</v>
      </c>
      <c r="AB1815" s="1" t="s">
        <v>285</v>
      </c>
      <c r="AG1815" s="3">
        <v>17.3</v>
      </c>
      <c r="AJ1815" s="3">
        <v>13.89</v>
      </c>
      <c r="AL1815" s="3">
        <f>AJ1815-AG1815</f>
        <v>-3.41</v>
      </c>
      <c r="AM1815" s="3">
        <v>7.77</v>
      </c>
      <c r="AO1815" s="3">
        <f>AM1815-AJ1815</f>
        <v>-6.120000000000001</v>
      </c>
      <c r="AP1815" s="3">
        <v>7.05</v>
      </c>
      <c r="AS1815" s="3">
        <v>14.19</v>
      </c>
      <c r="AV1815" s="3">
        <v>14.4</v>
      </c>
      <c r="AY1815" s="3">
        <v>14.4</v>
      </c>
      <c r="AZ1815" s="3">
        <v>9.41</v>
      </c>
      <c r="BA1815" s="1" t="s">
        <v>852</v>
      </c>
      <c r="BD1815" s="3">
        <v>11.22</v>
      </c>
      <c r="BE1815" s="1" t="s">
        <v>852</v>
      </c>
      <c r="BG1815" s="3">
        <v>11.22</v>
      </c>
      <c r="BH1815" s="3">
        <v>9.5399999999999991</v>
      </c>
      <c r="BI1815" s="1" t="s">
        <v>852</v>
      </c>
    </row>
    <row r="1816" spans="1:65">
      <c r="A1816" s="6">
        <v>1</v>
      </c>
      <c r="B1816" s="103" t="s">
        <v>549</v>
      </c>
      <c r="C1816" s="1" t="s">
        <v>52</v>
      </c>
      <c r="D1816" s="2"/>
      <c r="E1816" s="2"/>
      <c r="F1816" s="9">
        <v>10.02</v>
      </c>
      <c r="H1816" s="9">
        <v>10.02</v>
      </c>
    </row>
    <row r="1817" spans="1:65" ht="9.6" customHeight="1">
      <c r="A1817" s="6">
        <v>3</v>
      </c>
      <c r="B1817" s="103" t="s">
        <v>549</v>
      </c>
      <c r="C1817" s="1" t="s">
        <v>54</v>
      </c>
      <c r="D1817" s="2"/>
      <c r="E1817" s="2"/>
      <c r="F1817" s="9">
        <v>0</v>
      </c>
      <c r="H1817" s="9">
        <v>0</v>
      </c>
    </row>
    <row r="1818" spans="1:65">
      <c r="A1818" s="6">
        <v>4</v>
      </c>
      <c r="B1818" s="103" t="s">
        <v>549</v>
      </c>
      <c r="C1818" s="1" t="s">
        <v>55</v>
      </c>
      <c r="D1818" s="2"/>
      <c r="E1818" s="2"/>
      <c r="F1818" s="9">
        <v>0</v>
      </c>
      <c r="H1818" s="9">
        <v>0</v>
      </c>
    </row>
    <row r="1819" spans="1:65">
      <c r="A1819" s="6">
        <v>5</v>
      </c>
      <c r="B1819" s="103" t="s">
        <v>549</v>
      </c>
      <c r="C1819" s="1" t="s">
        <v>56</v>
      </c>
      <c r="D1819" s="2"/>
      <c r="E1819" s="2"/>
      <c r="F1819" s="9">
        <v>0</v>
      </c>
      <c r="H1819" s="9">
        <v>0</v>
      </c>
    </row>
    <row r="1820" spans="1:65">
      <c r="A1820" s="6">
        <v>2</v>
      </c>
      <c r="B1820" s="103" t="s">
        <v>549</v>
      </c>
      <c r="C1820" s="1" t="s">
        <v>53</v>
      </c>
      <c r="D1820" s="2"/>
      <c r="E1820" s="2"/>
      <c r="F1820" s="9">
        <v>10.02</v>
      </c>
      <c r="H1820" s="9">
        <v>10.02</v>
      </c>
      <c r="M1820" s="3">
        <v>14.63</v>
      </c>
      <c r="O1820" s="3">
        <v>14.63</v>
      </c>
      <c r="Q1820" s="3">
        <f>O1820-H1820</f>
        <v>4.6100000000000012</v>
      </c>
      <c r="R1820" s="3">
        <v>14</v>
      </c>
      <c r="T1820" s="3">
        <f>R1820-O1820</f>
        <v>-0.63000000000000078</v>
      </c>
    </row>
    <row r="1821" spans="1:65">
      <c r="B1821" s="1" t="s">
        <v>549</v>
      </c>
      <c r="C1821" s="1" t="s">
        <v>1011</v>
      </c>
      <c r="D1821" s="2"/>
      <c r="E1821" s="2"/>
      <c r="Q1821" s="3"/>
      <c r="AL1821" s="3"/>
      <c r="AO1821" s="3"/>
      <c r="BH1821" s="3">
        <v>3.73</v>
      </c>
      <c r="BI1821" s="1" t="s">
        <v>862</v>
      </c>
    </row>
    <row r="1822" spans="1:65" ht="9.6" customHeight="1">
      <c r="B1822" s="103" t="s">
        <v>549</v>
      </c>
      <c r="C1822" s="1" t="s">
        <v>597</v>
      </c>
      <c r="D1822" s="2"/>
      <c r="E1822" s="2"/>
      <c r="Q1822" s="3"/>
      <c r="T1822" s="3"/>
      <c r="W1822" s="3"/>
      <c r="X1822" s="3">
        <v>29.72</v>
      </c>
      <c r="AA1822" s="3">
        <v>20.239999999999998</v>
      </c>
      <c r="AC1822" s="3">
        <f>AA1822-X1822</f>
        <v>-9.48</v>
      </c>
      <c r="AD1822" s="24">
        <v>20</v>
      </c>
      <c r="AF1822" s="24">
        <f>AD1822-AA1822</f>
        <v>-0.23999999999999844</v>
      </c>
      <c r="AG1822" s="3">
        <v>100.69</v>
      </c>
      <c r="AJ1822" s="3">
        <v>16.63</v>
      </c>
      <c r="AV1822" s="3">
        <v>15</v>
      </c>
      <c r="AZ1822" s="3">
        <v>16</v>
      </c>
      <c r="BA1822" s="1" t="s">
        <v>862</v>
      </c>
      <c r="BC1822" s="3">
        <v>16</v>
      </c>
      <c r="BD1822" s="3">
        <v>12.22</v>
      </c>
      <c r="BE1822" s="1" t="s">
        <v>862</v>
      </c>
      <c r="BG1822" s="3">
        <v>12.22</v>
      </c>
      <c r="BH1822" s="3">
        <v>15.97</v>
      </c>
      <c r="BI1822" s="1" t="s">
        <v>862</v>
      </c>
      <c r="BK1822" s="3">
        <v>15.97</v>
      </c>
      <c r="BL1822" s="3">
        <v>17</v>
      </c>
      <c r="BM1822" s="1" t="s">
        <v>862</v>
      </c>
    </row>
    <row r="1823" spans="1:65">
      <c r="B1823" s="103" t="s">
        <v>549</v>
      </c>
      <c r="C1823" s="1" t="s">
        <v>595</v>
      </c>
      <c r="D1823" s="2"/>
      <c r="E1823" s="2"/>
      <c r="Q1823" s="3"/>
      <c r="R1823" s="3">
        <v>10</v>
      </c>
      <c r="T1823" s="3"/>
      <c r="AA1823" s="3">
        <v>13.1</v>
      </c>
      <c r="AD1823" s="24">
        <v>13.75</v>
      </c>
      <c r="AF1823" s="24">
        <f>AD1823-AA1823</f>
        <v>0.65000000000000036</v>
      </c>
      <c r="AG1823" s="3">
        <v>5.43</v>
      </c>
      <c r="AI1823" s="3">
        <f>AG1823-AD1823</f>
        <v>-8.32</v>
      </c>
      <c r="AJ1823" s="3">
        <v>7.37</v>
      </c>
      <c r="AL1823" s="3">
        <f>AJ1823-AG1823</f>
        <v>1.9400000000000004</v>
      </c>
      <c r="AP1823" s="3">
        <v>10</v>
      </c>
      <c r="AS1823" s="3">
        <v>10</v>
      </c>
    </row>
    <row r="1824" spans="1:65">
      <c r="B1824" s="103" t="s">
        <v>549</v>
      </c>
      <c r="C1824" s="1" t="s">
        <v>700</v>
      </c>
      <c r="D1824" s="2"/>
      <c r="E1824" s="2"/>
      <c r="Q1824" s="3"/>
      <c r="T1824" s="3"/>
      <c r="AF1824" s="24"/>
      <c r="AG1824" s="3">
        <v>5</v>
      </c>
      <c r="AJ1824" s="3">
        <v>5</v>
      </c>
      <c r="AZ1824" s="3">
        <v>3.26</v>
      </c>
      <c r="BA1824" s="1" t="s">
        <v>862</v>
      </c>
      <c r="BC1824" s="3">
        <v>3.26</v>
      </c>
      <c r="BD1824" s="3">
        <v>3.61</v>
      </c>
      <c r="BE1824" s="1" t="s">
        <v>862</v>
      </c>
      <c r="BG1824" s="3">
        <v>3.61</v>
      </c>
      <c r="BH1824" s="3">
        <v>3</v>
      </c>
      <c r="BI1824" s="1" t="s">
        <v>862</v>
      </c>
    </row>
    <row r="1825" spans="1:65">
      <c r="B1825" s="103" t="s">
        <v>549</v>
      </c>
      <c r="C1825" s="1" t="s">
        <v>596</v>
      </c>
      <c r="D1825" s="2"/>
      <c r="E1825" s="2"/>
      <c r="Q1825" s="3"/>
      <c r="T1825" s="3"/>
      <c r="AD1825" s="24">
        <v>20</v>
      </c>
      <c r="AF1825" s="24"/>
    </row>
    <row r="1826" spans="1:65">
      <c r="A1826" s="6">
        <v>12</v>
      </c>
      <c r="B1826" s="103" t="s">
        <v>549</v>
      </c>
      <c r="C1826" s="1" t="s">
        <v>594</v>
      </c>
      <c r="D1826" s="2"/>
      <c r="E1826" s="2"/>
      <c r="F1826" s="9">
        <v>4.26</v>
      </c>
      <c r="H1826" s="9">
        <v>4.26</v>
      </c>
      <c r="M1826" s="3">
        <v>5.61</v>
      </c>
      <c r="O1826" s="3">
        <v>5.61</v>
      </c>
      <c r="Q1826" s="3">
        <f>O1826-H1826</f>
        <v>1.3500000000000005</v>
      </c>
      <c r="R1826" s="3">
        <v>4</v>
      </c>
      <c r="T1826" s="3">
        <f>R1826-O1826</f>
        <v>-1.6100000000000003</v>
      </c>
      <c r="U1826" s="3">
        <v>4.42</v>
      </c>
      <c r="W1826" s="3">
        <f>U1826-R1826</f>
        <v>0.41999999999999993</v>
      </c>
      <c r="X1826" s="3">
        <v>4.42</v>
      </c>
      <c r="Z1826" s="3">
        <f>X1826-U1826</f>
        <v>0</v>
      </c>
      <c r="AA1826" s="3">
        <v>6.19</v>
      </c>
      <c r="AC1826" s="3">
        <f>AA1826-X1826</f>
        <v>1.7700000000000005</v>
      </c>
      <c r="AD1826" s="24">
        <v>6.25</v>
      </c>
      <c r="AF1826" s="24">
        <f>AD1826-AA1826</f>
        <v>5.9999999999999609E-2</v>
      </c>
      <c r="AG1826" s="3">
        <v>6.89</v>
      </c>
      <c r="AI1826" s="3">
        <f>AG1826-AD1826</f>
        <v>0.63999999999999968</v>
      </c>
      <c r="AJ1826" s="3">
        <v>10.84</v>
      </c>
      <c r="AL1826" s="3">
        <f>AJ1826-AG1826</f>
        <v>3.95</v>
      </c>
      <c r="AM1826" s="3">
        <v>9.85</v>
      </c>
      <c r="AO1826" s="3">
        <f>AM1826-AJ1826</f>
        <v>-0.99000000000000021</v>
      </c>
      <c r="AP1826" s="3">
        <v>13</v>
      </c>
      <c r="AS1826" s="3">
        <v>13</v>
      </c>
      <c r="AV1826" s="3">
        <v>3</v>
      </c>
      <c r="AZ1826" s="3">
        <v>3</v>
      </c>
      <c r="BA1826" s="1" t="s">
        <v>862</v>
      </c>
      <c r="BC1826" s="3">
        <v>3</v>
      </c>
      <c r="BD1826" s="3">
        <v>2.19</v>
      </c>
      <c r="BE1826" s="1" t="s">
        <v>862</v>
      </c>
      <c r="BG1826" s="3">
        <v>2.19</v>
      </c>
      <c r="BH1826" s="3">
        <v>2.5</v>
      </c>
      <c r="BI1826" s="1" t="s">
        <v>862</v>
      </c>
      <c r="BK1826" s="3">
        <v>2.5</v>
      </c>
      <c r="BL1826" s="3">
        <v>3.22</v>
      </c>
      <c r="BM1826" s="1" t="s">
        <v>862</v>
      </c>
    </row>
    <row r="1827" spans="1:65">
      <c r="A1827" s="6">
        <v>14</v>
      </c>
      <c r="B1827" s="103" t="s">
        <v>549</v>
      </c>
      <c r="C1827" s="1" t="s">
        <v>58</v>
      </c>
      <c r="D1827" s="2"/>
      <c r="E1827" s="2"/>
      <c r="F1827" s="9">
        <v>20.74</v>
      </c>
      <c r="H1827" s="9">
        <v>20.74</v>
      </c>
      <c r="L1827" s="1" t="s">
        <v>388</v>
      </c>
      <c r="M1827" s="3">
        <v>12.19</v>
      </c>
      <c r="O1827" s="3">
        <v>12.19</v>
      </c>
      <c r="Q1827" s="3">
        <f>O1827-H1827</f>
        <v>-8.5499999999999989</v>
      </c>
      <c r="R1827" s="3">
        <v>8</v>
      </c>
      <c r="T1827" s="3">
        <f>R1827-O1827</f>
        <v>-4.1899999999999995</v>
      </c>
      <c r="U1827" s="3">
        <v>12.23</v>
      </c>
      <c r="W1827" s="3">
        <f>U1827-R1827</f>
        <v>4.2300000000000004</v>
      </c>
      <c r="X1827" s="3">
        <v>12.23</v>
      </c>
      <c r="Z1827" s="3">
        <f>X1827-U1827</f>
        <v>0</v>
      </c>
      <c r="AA1827" s="3">
        <v>13.1</v>
      </c>
      <c r="AC1827" s="3">
        <f>AA1827-X1827</f>
        <v>0.86999999999999922</v>
      </c>
      <c r="AD1827" s="24">
        <v>12.5</v>
      </c>
      <c r="AF1827" s="24">
        <f>AD1827-AA1827</f>
        <v>-0.59999999999999964</v>
      </c>
      <c r="AG1827" s="3">
        <v>6.24</v>
      </c>
      <c r="AI1827" s="3">
        <f>AG1827-AD1827</f>
        <v>-6.26</v>
      </c>
      <c r="AJ1827" s="3">
        <v>5.88</v>
      </c>
      <c r="AL1827" s="3">
        <f>AJ1827-AG1827</f>
        <v>-0.36000000000000032</v>
      </c>
      <c r="AM1827" s="3">
        <v>4.7300000000000004</v>
      </c>
      <c r="AO1827" s="3">
        <f>AM1827-AJ1827</f>
        <v>-1.1499999999999995</v>
      </c>
      <c r="AP1827" s="3">
        <v>6</v>
      </c>
      <c r="AS1827" s="3">
        <v>6</v>
      </c>
      <c r="AV1827" s="3">
        <v>5</v>
      </c>
      <c r="AZ1827" s="3">
        <v>4</v>
      </c>
      <c r="BA1827" s="1" t="s">
        <v>862</v>
      </c>
      <c r="BC1827" s="3">
        <v>4</v>
      </c>
      <c r="BD1827" s="3">
        <v>2.82</v>
      </c>
      <c r="BE1827" s="1" t="s">
        <v>862</v>
      </c>
      <c r="BG1827" s="3">
        <v>2.82</v>
      </c>
      <c r="BH1827" s="3">
        <v>2.4700000000000002</v>
      </c>
      <c r="BI1827" s="1" t="s">
        <v>862</v>
      </c>
      <c r="BK1827" s="3">
        <v>2.4700000000000002</v>
      </c>
      <c r="BL1827" s="3">
        <v>5.24</v>
      </c>
      <c r="BM1827" s="1" t="s">
        <v>862</v>
      </c>
    </row>
    <row r="1828" spans="1:65">
      <c r="B1828" s="103" t="s">
        <v>549</v>
      </c>
      <c r="C1828" s="1" t="s">
        <v>607</v>
      </c>
      <c r="D1828" s="2"/>
      <c r="E1828" s="2"/>
      <c r="Q1828" s="3"/>
      <c r="T1828" s="3"/>
      <c r="W1828" s="3"/>
      <c r="AC1828" s="3"/>
      <c r="AF1828" s="24"/>
      <c r="AI1828" s="3"/>
      <c r="AL1828" s="3"/>
      <c r="AO1828" s="3"/>
      <c r="BD1828" s="3">
        <v>6.58</v>
      </c>
      <c r="BE1828" s="1" t="s">
        <v>862</v>
      </c>
      <c r="BG1828" s="3">
        <v>6.58</v>
      </c>
      <c r="BH1828" s="3">
        <v>8.0500000000000007</v>
      </c>
      <c r="BI1828" s="1" t="s">
        <v>862</v>
      </c>
      <c r="BK1828" s="3">
        <v>8.0500000000000007</v>
      </c>
      <c r="BL1828" s="3">
        <v>21.35</v>
      </c>
      <c r="BM1828" s="1" t="s">
        <v>862</v>
      </c>
    </row>
    <row r="1829" spans="1:65" ht="9.6" customHeight="1">
      <c r="B1829" s="103" t="s">
        <v>549</v>
      </c>
      <c r="C1829" s="1" t="s">
        <v>854</v>
      </c>
      <c r="D1829" s="2"/>
      <c r="E1829" s="2"/>
      <c r="Q1829" s="3"/>
      <c r="T1829" s="3"/>
      <c r="W1829" s="3"/>
      <c r="AF1829" s="24"/>
      <c r="BH1829" s="3">
        <v>277</v>
      </c>
      <c r="BI1829" s="1" t="s">
        <v>862</v>
      </c>
    </row>
    <row r="1830" spans="1:65">
      <c r="B1830" s="103" t="s">
        <v>549</v>
      </c>
      <c r="C1830" s="1" t="s">
        <v>869</v>
      </c>
      <c r="D1830" s="2"/>
      <c r="E1830" s="2"/>
      <c r="Q1830" s="3"/>
      <c r="T1830" s="3"/>
      <c r="W1830" s="3"/>
      <c r="AC1830" s="3"/>
      <c r="AF1830" s="24"/>
      <c r="AI1830" s="3"/>
      <c r="AL1830" s="3"/>
      <c r="AO1830" s="3"/>
      <c r="BD1830" s="3">
        <v>8.5</v>
      </c>
      <c r="BE1830" s="1" t="s">
        <v>862</v>
      </c>
      <c r="BG1830" s="3">
        <v>8.5</v>
      </c>
      <c r="BH1830" s="3">
        <v>6.63</v>
      </c>
      <c r="BI1830" s="1" t="s">
        <v>862</v>
      </c>
    </row>
    <row r="1831" spans="1:65">
      <c r="B1831" s="103" t="s">
        <v>549</v>
      </c>
      <c r="C1831" s="1" t="s">
        <v>291</v>
      </c>
      <c r="D1831" s="2"/>
      <c r="E1831" s="2"/>
      <c r="Q1831" s="3"/>
      <c r="T1831" s="3"/>
      <c r="W1831" s="3"/>
      <c r="AC1831" s="3"/>
      <c r="AF1831" s="24"/>
      <c r="AI1831" s="3"/>
      <c r="AL1831" s="3"/>
      <c r="AO1831" s="3"/>
      <c r="BD1831" s="3">
        <v>6.5</v>
      </c>
      <c r="BE1831" s="1" t="s">
        <v>862</v>
      </c>
      <c r="BG1831" s="3">
        <v>6.5</v>
      </c>
      <c r="BH1831" s="3">
        <v>13.32</v>
      </c>
      <c r="BI1831" s="1" t="s">
        <v>862</v>
      </c>
    </row>
    <row r="1832" spans="1:65">
      <c r="B1832" s="103" t="s">
        <v>549</v>
      </c>
      <c r="C1832" s="1" t="s">
        <v>857</v>
      </c>
      <c r="D1832" s="2"/>
      <c r="E1832" s="2"/>
      <c r="Q1832" s="3"/>
      <c r="T1832" s="3"/>
      <c r="W1832" s="3"/>
      <c r="AF1832" s="24"/>
      <c r="BH1832" s="3">
        <v>22.05</v>
      </c>
      <c r="BI1832" s="1" t="s">
        <v>862</v>
      </c>
    </row>
    <row r="1833" spans="1:65">
      <c r="B1833" s="103" t="s">
        <v>549</v>
      </c>
      <c r="C1833" s="1" t="s">
        <v>1012</v>
      </c>
      <c r="D1833" s="2"/>
      <c r="E1833" s="2"/>
      <c r="Q1833" s="3"/>
      <c r="T1833" s="3"/>
      <c r="W1833" s="3"/>
      <c r="AF1833" s="24"/>
      <c r="AZ1833" s="3">
        <v>3.06</v>
      </c>
      <c r="BA1833" s="1" t="s">
        <v>862</v>
      </c>
      <c r="BC1833" s="3">
        <v>3.06</v>
      </c>
      <c r="BD1833" s="3">
        <v>3.4</v>
      </c>
      <c r="BE1833" s="1" t="s">
        <v>862</v>
      </c>
      <c r="BG1833" s="3">
        <v>3.4</v>
      </c>
      <c r="BH1833" s="3">
        <v>3.79</v>
      </c>
      <c r="BI1833" s="1" t="s">
        <v>862</v>
      </c>
    </row>
    <row r="1834" spans="1:65">
      <c r="B1834" s="103" t="s">
        <v>549</v>
      </c>
      <c r="C1834" s="1" t="s">
        <v>289</v>
      </c>
      <c r="D1834" s="2"/>
      <c r="E1834" s="2"/>
      <c r="Q1834" s="3"/>
      <c r="T1834" s="3"/>
      <c r="W1834" s="3"/>
      <c r="AA1834" s="3">
        <v>16.670000000000002</v>
      </c>
      <c r="AD1834" s="24">
        <v>60</v>
      </c>
      <c r="AF1834" s="24">
        <f>AD1834-AA1834</f>
        <v>43.33</v>
      </c>
      <c r="AG1834" s="3">
        <v>74.400000000000006</v>
      </c>
      <c r="AI1834" s="3">
        <f>AG1834-AD1834</f>
        <v>14.400000000000006</v>
      </c>
      <c r="AJ1834" s="3">
        <v>14.57</v>
      </c>
      <c r="AL1834" s="3">
        <f>AJ1834-AG1834</f>
        <v>-59.830000000000005</v>
      </c>
      <c r="AM1834" s="3">
        <v>12.26</v>
      </c>
      <c r="AO1834" s="3">
        <f>AM1834-AJ1834</f>
        <v>-2.3100000000000005</v>
      </c>
      <c r="AP1834" s="3">
        <v>53</v>
      </c>
      <c r="AS1834" s="3">
        <v>53</v>
      </c>
      <c r="AV1834" s="3">
        <v>6</v>
      </c>
    </row>
    <row r="1835" spans="1:65">
      <c r="B1835" s="103" t="s">
        <v>549</v>
      </c>
      <c r="C1835" s="1" t="s">
        <v>290</v>
      </c>
      <c r="D1835" s="2"/>
      <c r="E1835" s="2"/>
      <c r="Q1835" s="3"/>
      <c r="T1835" s="3"/>
      <c r="W1835" s="3"/>
      <c r="AF1835" s="24"/>
      <c r="AG1835" s="3">
        <v>95.66</v>
      </c>
      <c r="AJ1835" s="3">
        <v>85.35</v>
      </c>
      <c r="AL1835" s="3">
        <f>AJ1835-AG1835</f>
        <v>-10.310000000000002</v>
      </c>
      <c r="AM1835" s="3">
        <v>71.8</v>
      </c>
      <c r="AO1835" s="3">
        <f>AM1835-AJ1835</f>
        <v>-13.549999999999997</v>
      </c>
      <c r="AP1835" s="3">
        <v>56</v>
      </c>
      <c r="AS1835" s="3">
        <v>56</v>
      </c>
      <c r="AV1835" s="3">
        <v>7</v>
      </c>
    </row>
    <row r="1836" spans="1:65">
      <c r="B1836" s="103" t="s">
        <v>549</v>
      </c>
      <c r="C1836" s="1" t="s">
        <v>860</v>
      </c>
      <c r="D1836" s="2"/>
      <c r="E1836" s="2"/>
      <c r="Q1836" s="3"/>
      <c r="T1836" s="3"/>
      <c r="W1836" s="3"/>
      <c r="AF1836" s="24"/>
      <c r="AZ1836" s="3">
        <v>118.95447870778268</v>
      </c>
      <c r="BA1836" s="1" t="s">
        <v>862</v>
      </c>
    </row>
    <row r="1837" spans="1:65">
      <c r="B1837" s="103" t="s">
        <v>549</v>
      </c>
      <c r="C1837" s="1" t="s">
        <v>64</v>
      </c>
      <c r="D1837" s="2"/>
      <c r="E1837" s="2"/>
      <c r="Q1837" s="3"/>
      <c r="R1837" s="3">
        <v>8.5</v>
      </c>
      <c r="T1837" s="3"/>
      <c r="U1837" s="3">
        <v>7.73</v>
      </c>
      <c r="W1837" s="3">
        <f>U1837-R1837</f>
        <v>-0.76999999999999957</v>
      </c>
      <c r="X1837" s="3">
        <v>7.73</v>
      </c>
      <c r="Z1837" s="3">
        <f>X1837-U1837</f>
        <v>0</v>
      </c>
      <c r="AA1837" s="3">
        <v>13.1</v>
      </c>
      <c r="AC1837" s="3">
        <f>AA1837-X1837</f>
        <v>5.3699999999999992</v>
      </c>
      <c r="AD1837" s="24">
        <v>12.5</v>
      </c>
      <c r="AF1837" s="24">
        <f>AD1837-AA1837</f>
        <v>-0.59999999999999964</v>
      </c>
      <c r="AG1837" s="3">
        <v>10.65</v>
      </c>
      <c r="AI1837" s="3">
        <f>AG1837-AD1837</f>
        <v>-1.8499999999999996</v>
      </c>
      <c r="AJ1837" s="3">
        <v>10.039999999999999</v>
      </c>
      <c r="AL1837" s="3">
        <f>AJ1837-AG1837</f>
        <v>-0.61000000000000121</v>
      </c>
      <c r="AM1837" s="3">
        <v>5.96</v>
      </c>
      <c r="AO1837" s="3">
        <f>AM1837-AJ1837</f>
        <v>-4.0799999999999992</v>
      </c>
      <c r="AP1837" s="3">
        <v>9</v>
      </c>
      <c r="AS1837" s="3">
        <v>9</v>
      </c>
      <c r="AV1837" s="3">
        <v>7</v>
      </c>
      <c r="AZ1837" s="3">
        <v>3.8</v>
      </c>
      <c r="BA1837" s="1" t="s">
        <v>862</v>
      </c>
      <c r="BC1837" s="3">
        <v>3.8</v>
      </c>
      <c r="BD1837" s="3">
        <v>2.81</v>
      </c>
      <c r="BE1837" s="1" t="s">
        <v>862</v>
      </c>
      <c r="BG1837" s="3">
        <v>2.81</v>
      </c>
      <c r="BH1837" s="3">
        <v>7.34</v>
      </c>
      <c r="BI1837" s="1" t="s">
        <v>862</v>
      </c>
      <c r="BK1837" s="3">
        <v>0</v>
      </c>
      <c r="BL1837" s="3">
        <v>8.14</v>
      </c>
    </row>
    <row r="1838" spans="1:65">
      <c r="B1838" s="103" t="s">
        <v>549</v>
      </c>
      <c r="C1838" s="1" t="s">
        <v>286</v>
      </c>
      <c r="D1838" s="2"/>
      <c r="E1838" s="2"/>
      <c r="Q1838" s="3"/>
      <c r="T1838" s="3"/>
      <c r="W1838" s="3"/>
      <c r="AA1838" s="3">
        <v>16.670000000000002</v>
      </c>
      <c r="AD1838" s="24">
        <v>17</v>
      </c>
      <c r="AF1838" s="24">
        <f>AD1838-AA1838</f>
        <v>0.32999999999999829</v>
      </c>
      <c r="AG1838" s="3">
        <v>13.62</v>
      </c>
      <c r="AI1838" s="3">
        <f>AG1838-AD1838</f>
        <v>-3.3800000000000008</v>
      </c>
      <c r="AJ1838" s="3">
        <v>6.46</v>
      </c>
      <c r="AL1838" s="3">
        <f>AJ1838-AG1838</f>
        <v>-7.1599999999999993</v>
      </c>
      <c r="AM1838" s="3">
        <v>5.84</v>
      </c>
      <c r="AO1838" s="3">
        <f>AM1838-AJ1838</f>
        <v>-0.62000000000000011</v>
      </c>
      <c r="AP1838" s="3">
        <v>7</v>
      </c>
      <c r="AS1838" s="3">
        <v>7</v>
      </c>
      <c r="AV1838" s="3">
        <v>5</v>
      </c>
      <c r="AZ1838" s="3">
        <v>3.95</v>
      </c>
      <c r="BA1838" s="1" t="s">
        <v>862</v>
      </c>
      <c r="BC1838" s="3">
        <v>3.95</v>
      </c>
      <c r="BD1838" s="3">
        <v>2.63</v>
      </c>
      <c r="BE1838" s="1" t="s">
        <v>862</v>
      </c>
      <c r="BG1838" s="3">
        <v>2.63</v>
      </c>
      <c r="BH1838" s="3">
        <v>3.38</v>
      </c>
      <c r="BI1838" s="1" t="s">
        <v>862</v>
      </c>
      <c r="BK1838" s="3">
        <v>3.38</v>
      </c>
      <c r="BL1838" s="3">
        <v>4.2</v>
      </c>
      <c r="BM1838" s="1" t="s">
        <v>862</v>
      </c>
    </row>
    <row r="1839" spans="1:65">
      <c r="B1839" s="103" t="s">
        <v>549</v>
      </c>
      <c r="C1839" s="1" t="s">
        <v>288</v>
      </c>
      <c r="D1839" s="2"/>
      <c r="E1839" s="2"/>
      <c r="Q1839" s="3"/>
      <c r="T1839" s="3"/>
      <c r="W1839" s="3"/>
      <c r="AA1839" s="3">
        <v>15.48</v>
      </c>
      <c r="AD1839" s="24">
        <v>16.25</v>
      </c>
      <c r="AF1839" s="24">
        <f>AD1839-AA1839</f>
        <v>0.76999999999999957</v>
      </c>
      <c r="AG1839" s="3">
        <v>13.04</v>
      </c>
      <c r="AI1839" s="3">
        <f>AG1839-AD1839</f>
        <v>-3.2100000000000009</v>
      </c>
      <c r="AJ1839" s="3">
        <v>6.46</v>
      </c>
      <c r="AL1839" s="3">
        <f>AJ1839-AG1839</f>
        <v>-6.5799999999999992</v>
      </c>
      <c r="AM1839" s="3">
        <v>5.13</v>
      </c>
      <c r="AO1839" s="3">
        <f>AM1839-AJ1839</f>
        <v>-1.33</v>
      </c>
      <c r="AP1839" s="3">
        <v>8</v>
      </c>
      <c r="AS1839" s="3">
        <v>8</v>
      </c>
      <c r="AV1839" s="3">
        <v>7</v>
      </c>
      <c r="AZ1839" s="3">
        <v>3.65</v>
      </c>
      <c r="BA1839" s="1" t="s">
        <v>862</v>
      </c>
      <c r="BC1839" s="3">
        <v>3.65</v>
      </c>
      <c r="BD1839" s="2" t="s">
        <v>944</v>
      </c>
      <c r="BE1839" s="1" t="s">
        <v>862</v>
      </c>
      <c r="BG1839" s="3">
        <v>2.63</v>
      </c>
      <c r="BH1839" s="3">
        <v>3.55</v>
      </c>
      <c r="BI1839" s="1" t="s">
        <v>862</v>
      </c>
      <c r="BK1839" s="3">
        <v>3.55</v>
      </c>
      <c r="BL1839" s="3">
        <v>4.58</v>
      </c>
      <c r="BM1839" s="1" t="s">
        <v>862</v>
      </c>
    </row>
    <row r="1840" spans="1:65">
      <c r="B1840" s="103" t="s">
        <v>549</v>
      </c>
      <c r="C1840" s="1" t="s">
        <v>873</v>
      </c>
      <c r="D1840" s="2"/>
      <c r="E1840" s="2"/>
      <c r="Q1840" s="3"/>
      <c r="T1840" s="3"/>
      <c r="W1840" s="3"/>
      <c r="AF1840" s="24"/>
      <c r="AI1840" s="3"/>
      <c r="AL1840" s="3"/>
      <c r="AO1840" s="3"/>
      <c r="BD1840" s="2"/>
      <c r="BH1840" s="3">
        <v>4.8</v>
      </c>
      <c r="BI1840" s="1" t="s">
        <v>862</v>
      </c>
      <c r="BK1840" s="3">
        <v>4.8</v>
      </c>
      <c r="BL1840" s="3">
        <v>5.63</v>
      </c>
      <c r="BM1840" s="1" t="s">
        <v>862</v>
      </c>
    </row>
    <row r="1841" spans="1:65">
      <c r="B1841" s="103" t="s">
        <v>549</v>
      </c>
      <c r="C1841" s="1" t="s">
        <v>945</v>
      </c>
      <c r="D1841" s="2"/>
      <c r="E1841" s="2"/>
      <c r="Q1841" s="3"/>
      <c r="T1841" s="3"/>
      <c r="W1841" s="3"/>
      <c r="AF1841" s="24"/>
      <c r="BD1841" s="3">
        <v>3.3</v>
      </c>
      <c r="BE1841" s="1" t="s">
        <v>862</v>
      </c>
      <c r="BG1841" s="3">
        <v>3.3</v>
      </c>
      <c r="BH1841" s="3">
        <v>2.88</v>
      </c>
      <c r="BI1841" s="1" t="s">
        <v>862</v>
      </c>
      <c r="BK1841" s="3">
        <v>2.88</v>
      </c>
      <c r="BL1841" s="3">
        <v>5.77</v>
      </c>
      <c r="BM1841" s="1" t="s">
        <v>862</v>
      </c>
    </row>
    <row r="1842" spans="1:65">
      <c r="A1842" s="6">
        <v>11</v>
      </c>
      <c r="B1842" s="103" t="s">
        <v>549</v>
      </c>
      <c r="C1842" s="1" t="s">
        <v>57</v>
      </c>
      <c r="D1842" s="2"/>
      <c r="E1842" s="2"/>
      <c r="F1842" s="9">
        <v>0</v>
      </c>
      <c r="H1842" s="9">
        <v>0</v>
      </c>
      <c r="R1842" s="3">
        <v>44</v>
      </c>
      <c r="T1842" s="3"/>
    </row>
    <row r="1843" spans="1:65">
      <c r="B1843" s="103" t="s">
        <v>549</v>
      </c>
      <c r="C1843" s="1" t="s">
        <v>287</v>
      </c>
      <c r="D1843" s="2"/>
      <c r="E1843" s="2"/>
      <c r="Q1843" s="3"/>
      <c r="T1843" s="3"/>
      <c r="W1843" s="3"/>
      <c r="AA1843" s="3">
        <v>26.19</v>
      </c>
      <c r="AD1843" s="24">
        <v>27</v>
      </c>
      <c r="AF1843" s="24">
        <f>AD1843-AA1843</f>
        <v>0.80999999999999872</v>
      </c>
      <c r="AS1843" s="3">
        <v>7</v>
      </c>
      <c r="AZ1843" s="3">
        <v>3.7</v>
      </c>
      <c r="BA1843" s="1" t="s">
        <v>862</v>
      </c>
      <c r="BC1843" s="3">
        <v>3.7</v>
      </c>
      <c r="BD1843" s="3">
        <v>2.69</v>
      </c>
      <c r="BE1843" s="1" t="s">
        <v>862</v>
      </c>
      <c r="BG1843" s="3">
        <v>2.69</v>
      </c>
      <c r="BH1843" s="3">
        <v>5.4</v>
      </c>
      <c r="BI1843" s="1" t="s">
        <v>862</v>
      </c>
      <c r="BK1843" s="3">
        <v>5.4</v>
      </c>
      <c r="BL1843" s="3">
        <v>4.45</v>
      </c>
      <c r="BM1843" s="1" t="s">
        <v>862</v>
      </c>
    </row>
    <row r="1844" spans="1:65">
      <c r="B1844" s="103" t="s">
        <v>549</v>
      </c>
      <c r="C1844" s="1" t="s">
        <v>946</v>
      </c>
      <c r="D1844" s="2"/>
      <c r="E1844" s="2"/>
      <c r="Q1844" s="3"/>
      <c r="T1844" s="3"/>
      <c r="W1844" s="3"/>
      <c r="AF1844" s="24"/>
      <c r="BD1844" s="3">
        <v>2.84</v>
      </c>
      <c r="BE1844" s="1" t="s">
        <v>862</v>
      </c>
    </row>
    <row r="1845" spans="1:65">
      <c r="A1845" s="6">
        <v>1</v>
      </c>
      <c r="B1845" s="103" t="s">
        <v>550</v>
      </c>
      <c r="C1845" s="1" t="s">
        <v>52</v>
      </c>
      <c r="D1845" s="2"/>
      <c r="E1845" s="2"/>
      <c r="F1845" s="9">
        <v>0</v>
      </c>
      <c r="H1845" s="9">
        <v>0</v>
      </c>
      <c r="AE1845" s="1" t="s">
        <v>285</v>
      </c>
    </row>
    <row r="1846" spans="1:65">
      <c r="A1846" s="6">
        <v>3</v>
      </c>
      <c r="B1846" s="103" t="s">
        <v>550</v>
      </c>
      <c r="C1846" s="1" t="s">
        <v>54</v>
      </c>
      <c r="D1846" s="2"/>
      <c r="E1846" s="2"/>
      <c r="F1846" s="9">
        <v>0</v>
      </c>
      <c r="H1846" s="9">
        <v>0</v>
      </c>
      <c r="AE1846" s="1" t="s">
        <v>285</v>
      </c>
    </row>
    <row r="1847" spans="1:65">
      <c r="A1847" s="6">
        <v>4</v>
      </c>
      <c r="B1847" s="103" t="s">
        <v>550</v>
      </c>
      <c r="C1847" s="1" t="s">
        <v>55</v>
      </c>
      <c r="D1847" s="2"/>
      <c r="E1847" s="2"/>
      <c r="F1847" s="9">
        <v>0</v>
      </c>
      <c r="H1847" s="9">
        <v>0</v>
      </c>
      <c r="AE1847" s="1" t="s">
        <v>285</v>
      </c>
    </row>
    <row r="1848" spans="1:65">
      <c r="A1848" s="6">
        <v>5</v>
      </c>
      <c r="B1848" s="103" t="s">
        <v>550</v>
      </c>
      <c r="C1848" s="1" t="s">
        <v>56</v>
      </c>
      <c r="D1848" s="2"/>
      <c r="E1848" s="2"/>
      <c r="F1848" s="9">
        <v>0</v>
      </c>
      <c r="H1848" s="9">
        <v>0</v>
      </c>
      <c r="AE1848" s="1" t="s">
        <v>285</v>
      </c>
    </row>
    <row r="1849" spans="1:65">
      <c r="A1849" s="6">
        <v>2</v>
      </c>
      <c r="B1849" s="103" t="s">
        <v>550</v>
      </c>
      <c r="C1849" s="1" t="s">
        <v>53</v>
      </c>
      <c r="D1849" s="2"/>
      <c r="E1849" s="2"/>
      <c r="F1849" s="9">
        <v>0</v>
      </c>
      <c r="H1849" s="9">
        <v>0</v>
      </c>
      <c r="N1849" s="3">
        <v>19.71</v>
      </c>
      <c r="O1849" s="3">
        <v>19.71</v>
      </c>
      <c r="Q1849" s="3"/>
      <c r="R1849" s="3">
        <v>12.8</v>
      </c>
      <c r="T1849" s="3">
        <f>R1849-O1849</f>
        <v>-6.91</v>
      </c>
      <c r="AE1849" s="1" t="s">
        <v>285</v>
      </c>
    </row>
    <row r="1850" spans="1:65">
      <c r="B1850" s="103" t="s">
        <v>550</v>
      </c>
      <c r="C1850" s="1" t="s">
        <v>595</v>
      </c>
      <c r="D1850" s="2"/>
      <c r="E1850" s="2"/>
      <c r="Q1850" s="3"/>
      <c r="R1850" s="3">
        <v>12</v>
      </c>
      <c r="T1850" s="3"/>
      <c r="U1850" s="3">
        <v>11.66</v>
      </c>
      <c r="W1850" s="3">
        <f>U1850-R1850</f>
        <v>-0.33999999999999986</v>
      </c>
      <c r="X1850" s="3">
        <v>3.09</v>
      </c>
      <c r="AA1850" s="3">
        <v>13.07</v>
      </c>
      <c r="AC1850" s="3">
        <f>AA1850-X1850</f>
        <v>9.98</v>
      </c>
      <c r="AE1850" s="1" t="s">
        <v>285</v>
      </c>
      <c r="AG1850" s="3">
        <v>2.73</v>
      </c>
      <c r="AJ1850" s="3">
        <v>12.61</v>
      </c>
      <c r="AL1850" s="3">
        <f>AJ1850-AG1850</f>
        <v>9.879999999999999</v>
      </c>
      <c r="AM1850" s="3">
        <v>11.84</v>
      </c>
      <c r="AO1850" s="3">
        <f>AM1850-AJ1850</f>
        <v>-0.76999999999999957</v>
      </c>
      <c r="AP1850" s="3">
        <v>11.96</v>
      </c>
    </row>
    <row r="1851" spans="1:65">
      <c r="B1851" s="103" t="s">
        <v>550</v>
      </c>
      <c r="C1851" s="1" t="s">
        <v>700</v>
      </c>
      <c r="D1851" s="2"/>
      <c r="E1851" s="2"/>
      <c r="Q1851" s="3"/>
      <c r="T1851" s="3"/>
      <c r="W1851" s="3"/>
      <c r="AC1851" s="3"/>
      <c r="AG1851" s="3">
        <v>3.51</v>
      </c>
    </row>
    <row r="1852" spans="1:65">
      <c r="A1852" s="6">
        <v>12</v>
      </c>
      <c r="B1852" s="103" t="s">
        <v>550</v>
      </c>
      <c r="C1852" s="1" t="s">
        <v>594</v>
      </c>
      <c r="D1852" s="2"/>
      <c r="E1852" s="2"/>
      <c r="F1852" s="9">
        <v>0</v>
      </c>
      <c r="H1852" s="9">
        <v>0</v>
      </c>
      <c r="N1852" s="3">
        <v>5.63</v>
      </c>
      <c r="O1852" s="3">
        <v>5.63</v>
      </c>
      <c r="Q1852" s="3"/>
      <c r="R1852" s="3">
        <v>3.9</v>
      </c>
      <c r="T1852" s="3">
        <f>R1852-O1852</f>
        <v>-1.73</v>
      </c>
      <c r="U1852" s="3">
        <v>6.11</v>
      </c>
      <c r="W1852" s="3">
        <f>U1852-R1852</f>
        <v>2.2100000000000004</v>
      </c>
      <c r="X1852" s="3">
        <v>3.08</v>
      </c>
      <c r="AA1852" s="3">
        <v>6.81</v>
      </c>
      <c r="AC1852" s="3">
        <f>AA1852-X1852</f>
        <v>3.7299999999999995</v>
      </c>
      <c r="AE1852" s="1" t="s">
        <v>285</v>
      </c>
      <c r="AG1852" s="3">
        <v>1.85</v>
      </c>
      <c r="AJ1852" s="3">
        <v>5.44</v>
      </c>
      <c r="AL1852" s="3">
        <f>AJ1852-AG1852</f>
        <v>3.5900000000000003</v>
      </c>
      <c r="AM1852" s="3">
        <v>8.7799999999999994</v>
      </c>
      <c r="AO1852" s="3">
        <f>AM1852-AJ1852</f>
        <v>3.339999999999999</v>
      </c>
      <c r="AP1852" s="3">
        <v>9.4600000000000009</v>
      </c>
      <c r="AS1852" s="3">
        <v>8.1300000000000008</v>
      </c>
      <c r="AV1852" s="3">
        <v>4.78</v>
      </c>
      <c r="AY1852" s="3">
        <v>4.78</v>
      </c>
      <c r="AZ1852" s="3">
        <v>5.35</v>
      </c>
      <c r="BC1852" s="3">
        <v>5.35</v>
      </c>
      <c r="BD1852" s="3">
        <v>5.25</v>
      </c>
      <c r="BG1852" s="3">
        <v>5.25</v>
      </c>
      <c r="BH1852" s="3">
        <v>7.92</v>
      </c>
      <c r="BI1852" s="1" t="s">
        <v>852</v>
      </c>
    </row>
    <row r="1853" spans="1:65">
      <c r="A1853" s="6">
        <v>14</v>
      </c>
      <c r="B1853" s="103" t="s">
        <v>550</v>
      </c>
      <c r="C1853" s="1" t="s">
        <v>58</v>
      </c>
      <c r="D1853" s="2"/>
      <c r="E1853" s="2"/>
      <c r="F1853" s="9">
        <v>0</v>
      </c>
      <c r="H1853" s="9">
        <v>0</v>
      </c>
      <c r="N1853" s="3">
        <v>11.26</v>
      </c>
      <c r="O1853" s="3">
        <v>11.26</v>
      </c>
      <c r="Q1853" s="3"/>
      <c r="R1853" s="3">
        <v>13</v>
      </c>
      <c r="T1853" s="3">
        <f>R1853-O1853</f>
        <v>1.7400000000000002</v>
      </c>
      <c r="U1853" s="3">
        <v>17.34</v>
      </c>
      <c r="W1853" s="3">
        <f>U1853-R1853</f>
        <v>4.34</v>
      </c>
      <c r="X1853" s="3">
        <v>6.77</v>
      </c>
      <c r="AA1853" s="3">
        <v>19.2</v>
      </c>
      <c r="AC1853" s="3">
        <f>AA1853-X1853</f>
        <v>12.43</v>
      </c>
      <c r="AE1853" s="1" t="s">
        <v>285</v>
      </c>
      <c r="AG1853" s="3">
        <v>2.94</v>
      </c>
      <c r="AM1853" s="3">
        <v>6.21</v>
      </c>
      <c r="AP1853" s="3">
        <v>6.58</v>
      </c>
      <c r="AS1853" s="3">
        <v>10.27</v>
      </c>
      <c r="AV1853" s="3">
        <v>7.21</v>
      </c>
      <c r="AY1853" s="3">
        <v>7.21</v>
      </c>
      <c r="AZ1853" s="3">
        <v>8.02</v>
      </c>
      <c r="BC1853" s="3">
        <v>8.02</v>
      </c>
      <c r="BD1853" s="3">
        <v>7.35</v>
      </c>
      <c r="BG1853" s="3">
        <v>7.35</v>
      </c>
      <c r="BH1853" s="3">
        <v>10.56</v>
      </c>
      <c r="BI1853" s="1" t="s">
        <v>852</v>
      </c>
    </row>
    <row r="1854" spans="1:65">
      <c r="B1854" s="103" t="s">
        <v>550</v>
      </c>
      <c r="C1854" s="1" t="s">
        <v>289</v>
      </c>
      <c r="D1854" s="2"/>
      <c r="E1854" s="2"/>
      <c r="Q1854" s="3"/>
      <c r="T1854" s="3"/>
      <c r="W1854" s="3"/>
      <c r="AC1854" s="3"/>
      <c r="AV1854" s="3">
        <v>21</v>
      </c>
      <c r="AY1854" s="3">
        <v>21</v>
      </c>
      <c r="AZ1854" s="3">
        <v>21.21</v>
      </c>
      <c r="BC1854" s="3">
        <v>21.21</v>
      </c>
      <c r="BD1854" s="3">
        <v>18.57</v>
      </c>
      <c r="BG1854" s="3">
        <v>18.57</v>
      </c>
      <c r="BH1854" s="3">
        <v>16.66</v>
      </c>
      <c r="BI1854" s="1" t="s">
        <v>852</v>
      </c>
    </row>
    <row r="1855" spans="1:65">
      <c r="B1855" s="103" t="s">
        <v>550</v>
      </c>
      <c r="C1855" s="1" t="s">
        <v>160</v>
      </c>
      <c r="D1855" s="2"/>
      <c r="E1855" s="2"/>
      <c r="Q1855" s="3"/>
      <c r="T1855" s="3"/>
      <c r="AC1855" s="3"/>
      <c r="AG1855" s="3">
        <v>2.67</v>
      </c>
    </row>
    <row r="1856" spans="1:65">
      <c r="B1856" s="103" t="s">
        <v>550</v>
      </c>
      <c r="C1856" s="1" t="s">
        <v>290</v>
      </c>
      <c r="D1856" s="2"/>
      <c r="E1856" s="2"/>
      <c r="Q1856" s="3"/>
      <c r="T1856" s="3"/>
      <c r="W1856" s="3"/>
      <c r="AC1856" s="3"/>
      <c r="BD1856" s="3">
        <v>21.77</v>
      </c>
      <c r="BG1856" s="3">
        <v>21.77</v>
      </c>
      <c r="BH1856" s="3">
        <v>18.59</v>
      </c>
      <c r="BI1856" s="1" t="s">
        <v>852</v>
      </c>
    </row>
    <row r="1857" spans="1:61">
      <c r="B1857" s="103" t="s">
        <v>550</v>
      </c>
      <c r="C1857" s="1" t="s">
        <v>64</v>
      </c>
      <c r="D1857" s="2"/>
      <c r="E1857" s="2"/>
      <c r="Q1857" s="3"/>
      <c r="R1857" s="3">
        <v>18.899999999999999</v>
      </c>
      <c r="T1857" s="3"/>
      <c r="U1857" s="3">
        <v>19.7</v>
      </c>
      <c r="W1857" s="3">
        <f>U1857-R1857</f>
        <v>0.80000000000000071</v>
      </c>
      <c r="X1857" s="3">
        <v>7.33</v>
      </c>
      <c r="AA1857" s="3">
        <v>25.14</v>
      </c>
      <c r="AC1857" s="3">
        <f>AA1857-X1857</f>
        <v>17.810000000000002</v>
      </c>
      <c r="AE1857" s="1" t="s">
        <v>285</v>
      </c>
      <c r="AG1857" s="3">
        <v>3.87</v>
      </c>
      <c r="AM1857" s="3">
        <v>7.36</v>
      </c>
      <c r="AP1857" s="3">
        <v>8.2899999999999991</v>
      </c>
      <c r="AS1857" s="3">
        <v>12.82</v>
      </c>
      <c r="AV1857" s="3">
        <v>7.66</v>
      </c>
      <c r="AY1857" s="3">
        <v>7.66</v>
      </c>
      <c r="AZ1857" s="3">
        <v>8.76</v>
      </c>
      <c r="BC1857" s="3">
        <v>8.76</v>
      </c>
      <c r="BD1857" s="3">
        <v>8.39</v>
      </c>
      <c r="BG1857" s="3">
        <v>8.39</v>
      </c>
      <c r="BH1857" s="3">
        <v>14.35</v>
      </c>
      <c r="BI1857" s="1" t="s">
        <v>852</v>
      </c>
    </row>
    <row r="1858" spans="1:61">
      <c r="B1858" s="103" t="s">
        <v>550</v>
      </c>
      <c r="C1858" s="1" t="s">
        <v>286</v>
      </c>
      <c r="D1858" s="2"/>
      <c r="E1858" s="2"/>
      <c r="Q1858" s="3"/>
      <c r="T1858" s="3"/>
      <c r="U1858" s="3">
        <v>20.8</v>
      </c>
      <c r="X1858" s="3">
        <v>10.47</v>
      </c>
      <c r="AA1858" s="3">
        <v>26.13</v>
      </c>
      <c r="AC1858" s="3">
        <f>AA1858-X1858</f>
        <v>15.659999999999998</v>
      </c>
      <c r="AE1858" s="1" t="s">
        <v>285</v>
      </c>
      <c r="AG1858" s="3">
        <v>4.01</v>
      </c>
      <c r="AJ1858" s="3">
        <v>6.81</v>
      </c>
      <c r="AL1858" s="3">
        <f>AJ1858-AG1858</f>
        <v>2.8</v>
      </c>
      <c r="AS1858" s="3">
        <v>12.76</v>
      </c>
      <c r="BH1858" s="3">
        <v>10.89</v>
      </c>
      <c r="BI1858" s="1" t="s">
        <v>852</v>
      </c>
    </row>
    <row r="1859" spans="1:61">
      <c r="B1859" s="103" t="s">
        <v>550</v>
      </c>
      <c r="C1859" s="1" t="s">
        <v>288</v>
      </c>
      <c r="D1859" s="2"/>
      <c r="E1859" s="2"/>
      <c r="Q1859" s="3"/>
      <c r="T1859" s="3"/>
      <c r="U1859" s="3">
        <v>23.08</v>
      </c>
      <c r="X1859" s="3">
        <v>8.8000000000000007</v>
      </c>
      <c r="AA1859" s="3">
        <v>23.98</v>
      </c>
      <c r="AC1859" s="3">
        <f>AA1859-X1859</f>
        <v>15.18</v>
      </c>
      <c r="AE1859" s="1" t="s">
        <v>285</v>
      </c>
      <c r="AG1859" s="3">
        <v>3.82</v>
      </c>
      <c r="AJ1859" s="3">
        <v>6.73</v>
      </c>
      <c r="AL1859" s="3">
        <f>AJ1859-AG1859</f>
        <v>2.9100000000000006</v>
      </c>
      <c r="AM1859" s="3">
        <v>7.02</v>
      </c>
      <c r="AO1859" s="3">
        <f>AM1859-AJ1859</f>
        <v>0.28999999999999915</v>
      </c>
      <c r="AP1859" s="3">
        <v>7.58</v>
      </c>
      <c r="AS1859" s="3">
        <v>13.44</v>
      </c>
      <c r="AV1859" s="3">
        <v>7.89</v>
      </c>
      <c r="AY1859" s="3">
        <v>7.89</v>
      </c>
      <c r="AZ1859" s="3">
        <v>9.65</v>
      </c>
      <c r="BC1859" s="3">
        <v>9.65</v>
      </c>
      <c r="BD1859" s="3">
        <v>7.33</v>
      </c>
      <c r="BG1859" s="3">
        <v>7.33</v>
      </c>
      <c r="BH1859" s="3">
        <v>9.76</v>
      </c>
      <c r="BI1859" s="1" t="s">
        <v>852</v>
      </c>
    </row>
    <row r="1860" spans="1:61">
      <c r="A1860" s="6">
        <v>11</v>
      </c>
      <c r="B1860" s="103" t="s">
        <v>550</v>
      </c>
      <c r="C1860" s="1" t="s">
        <v>57</v>
      </c>
      <c r="D1860" s="2"/>
      <c r="E1860" s="2"/>
      <c r="F1860" s="9">
        <v>0</v>
      </c>
      <c r="H1860" s="9">
        <v>0</v>
      </c>
      <c r="R1860" s="3">
        <v>20</v>
      </c>
      <c r="T1860" s="3"/>
      <c r="AE1860" s="1" t="s">
        <v>285</v>
      </c>
    </row>
    <row r="1861" spans="1:61">
      <c r="B1861" s="103" t="s">
        <v>550</v>
      </c>
      <c r="C1861" s="1" t="s">
        <v>287</v>
      </c>
      <c r="D1861" s="2"/>
      <c r="E1861" s="2"/>
      <c r="Q1861" s="3"/>
      <c r="T1861" s="3"/>
      <c r="U1861" s="3">
        <v>20.28</v>
      </c>
      <c r="X1861" s="3">
        <v>8.5</v>
      </c>
      <c r="AA1861" s="3">
        <v>24.15</v>
      </c>
      <c r="AC1861" s="3">
        <f>AA1861-X1861</f>
        <v>15.649999999999999</v>
      </c>
      <c r="AE1861" s="1" t="s">
        <v>285</v>
      </c>
      <c r="AG1861" s="3">
        <v>3.83</v>
      </c>
      <c r="AM1861" s="3">
        <v>7.46</v>
      </c>
      <c r="AV1861" s="3">
        <v>8.01</v>
      </c>
      <c r="AY1861" s="3">
        <v>8.01</v>
      </c>
      <c r="AZ1861" s="3">
        <v>9.65</v>
      </c>
      <c r="BC1861" s="3">
        <v>9.65</v>
      </c>
      <c r="BD1861" s="3">
        <v>8.59</v>
      </c>
      <c r="BG1861" s="3">
        <v>8.59</v>
      </c>
      <c r="BH1861" s="3">
        <v>14.29</v>
      </c>
      <c r="BI1861" s="1" t="s">
        <v>852</v>
      </c>
    </row>
    <row r="1862" spans="1:61">
      <c r="A1862" s="6">
        <v>1</v>
      </c>
      <c r="B1862" s="103" t="s">
        <v>551</v>
      </c>
      <c r="C1862" s="1" t="s">
        <v>52</v>
      </c>
      <c r="D1862" s="113" t="s">
        <v>685</v>
      </c>
      <c r="E1862" s="113"/>
      <c r="F1862" s="113" t="s">
        <v>685</v>
      </c>
      <c r="G1862" s="113"/>
      <c r="H1862" s="113" t="s">
        <v>685</v>
      </c>
      <c r="I1862" s="113"/>
      <c r="M1862" s="2" t="s">
        <v>685</v>
      </c>
      <c r="O1862" s="2" t="s">
        <v>685</v>
      </c>
      <c r="R1862" s="2" t="s">
        <v>685</v>
      </c>
    </row>
    <row r="1863" spans="1:61">
      <c r="A1863" s="6">
        <v>3</v>
      </c>
      <c r="B1863" s="103" t="s">
        <v>551</v>
      </c>
      <c r="C1863" s="1" t="s">
        <v>54</v>
      </c>
      <c r="D1863" s="113" t="s">
        <v>685</v>
      </c>
      <c r="E1863" s="113"/>
      <c r="F1863" s="113" t="s">
        <v>685</v>
      </c>
      <c r="G1863" s="113"/>
      <c r="H1863" s="113" t="s">
        <v>685</v>
      </c>
      <c r="I1863" s="113"/>
      <c r="M1863" s="2" t="s">
        <v>685</v>
      </c>
      <c r="O1863" s="2" t="s">
        <v>685</v>
      </c>
      <c r="R1863" s="2" t="s">
        <v>685</v>
      </c>
    </row>
    <row r="1864" spans="1:61">
      <c r="A1864" s="6">
        <v>4</v>
      </c>
      <c r="B1864" s="103" t="s">
        <v>551</v>
      </c>
      <c r="C1864" s="1" t="s">
        <v>55</v>
      </c>
      <c r="D1864" s="113" t="s">
        <v>685</v>
      </c>
      <c r="E1864" s="113"/>
      <c r="F1864" s="113" t="s">
        <v>685</v>
      </c>
      <c r="G1864" s="113"/>
      <c r="H1864" s="113" t="s">
        <v>685</v>
      </c>
      <c r="I1864" s="113"/>
      <c r="M1864" s="2" t="s">
        <v>685</v>
      </c>
      <c r="O1864" s="2" t="s">
        <v>685</v>
      </c>
      <c r="R1864" s="2" t="s">
        <v>685</v>
      </c>
    </row>
    <row r="1865" spans="1:61">
      <c r="A1865" s="6">
        <v>5</v>
      </c>
      <c r="B1865" s="103" t="s">
        <v>551</v>
      </c>
      <c r="C1865" s="1" t="s">
        <v>56</v>
      </c>
      <c r="D1865" s="113" t="s">
        <v>685</v>
      </c>
      <c r="E1865" s="113"/>
      <c r="F1865" s="113" t="s">
        <v>685</v>
      </c>
      <c r="G1865" s="113"/>
      <c r="H1865" s="113" t="s">
        <v>685</v>
      </c>
      <c r="I1865" s="113"/>
      <c r="M1865" s="2" t="s">
        <v>685</v>
      </c>
      <c r="O1865" s="2" t="s">
        <v>685</v>
      </c>
      <c r="R1865" s="2" t="s">
        <v>685</v>
      </c>
    </row>
    <row r="1866" spans="1:61">
      <c r="A1866" s="6">
        <v>2</v>
      </c>
      <c r="B1866" s="103" t="s">
        <v>551</v>
      </c>
      <c r="C1866" s="1" t="s">
        <v>53</v>
      </c>
      <c r="D1866" s="113" t="s">
        <v>407</v>
      </c>
      <c r="E1866" s="113"/>
      <c r="F1866" s="9">
        <v>5.25</v>
      </c>
      <c r="H1866" s="9">
        <v>5.25</v>
      </c>
      <c r="I1866" s="10">
        <f>H1866-D1866</f>
        <v>-314.75</v>
      </c>
      <c r="J1866" s="12" t="s">
        <v>191</v>
      </c>
      <c r="M1866" s="2">
        <v>5.625</v>
      </c>
      <c r="O1866" s="2">
        <v>5.625</v>
      </c>
      <c r="P1866" s="1" t="s">
        <v>93</v>
      </c>
      <c r="Q1866" s="3">
        <f>O1866-H1866</f>
        <v>0.375</v>
      </c>
      <c r="R1866" s="3">
        <v>6.9950000000000001</v>
      </c>
      <c r="S1866" s="1" t="s">
        <v>296</v>
      </c>
      <c r="T1866" s="3">
        <f>R1866-O1866</f>
        <v>1.37</v>
      </c>
      <c r="U1866" s="3">
        <v>6.22</v>
      </c>
      <c r="W1866" s="3">
        <f>U1866-R1866</f>
        <v>-0.77500000000000036</v>
      </c>
      <c r="X1866" s="3">
        <v>7.42</v>
      </c>
      <c r="Z1866" s="3">
        <f t="shared" ref="Z1866:Z1874" si="12">X1866-U1866</f>
        <v>1.2000000000000002</v>
      </c>
      <c r="AA1866" s="3">
        <v>8.33</v>
      </c>
      <c r="AC1866" s="3">
        <f t="shared" ref="AC1866:AC1874" si="13">AA1866-X1866</f>
        <v>0.91000000000000014</v>
      </c>
    </row>
    <row r="1867" spans="1:61" ht="9.6" customHeight="1">
      <c r="B1867" s="103" t="s">
        <v>551</v>
      </c>
      <c r="C1867" s="1" t="s">
        <v>158</v>
      </c>
      <c r="D1867" s="113"/>
      <c r="E1867" s="113"/>
      <c r="F1867" s="8"/>
      <c r="G1867" s="8"/>
      <c r="H1867" s="8"/>
      <c r="I1867" s="8"/>
      <c r="M1867" s="2"/>
      <c r="O1867" s="2"/>
      <c r="Q1867" s="3"/>
      <c r="T1867" s="3"/>
      <c r="U1867" s="3">
        <v>3.88</v>
      </c>
      <c r="X1867" s="3">
        <v>4.29</v>
      </c>
      <c r="Z1867" s="3">
        <f t="shared" si="12"/>
        <v>0.41000000000000014</v>
      </c>
      <c r="AA1867" s="3">
        <v>4.6399999999999997</v>
      </c>
      <c r="AC1867" s="3">
        <f t="shared" si="13"/>
        <v>0.34999999999999964</v>
      </c>
      <c r="AD1867" s="24">
        <v>4</v>
      </c>
      <c r="AG1867" s="3">
        <v>4.54</v>
      </c>
      <c r="AJ1867" s="3">
        <v>3.52</v>
      </c>
      <c r="AM1867" s="3">
        <v>3.15</v>
      </c>
      <c r="AP1867" s="3">
        <v>4</v>
      </c>
      <c r="AS1867" s="3">
        <v>4</v>
      </c>
      <c r="AV1867" s="3">
        <v>4.8</v>
      </c>
      <c r="AZ1867" s="3">
        <v>4.8</v>
      </c>
      <c r="BD1867" s="3">
        <v>3.125</v>
      </c>
      <c r="BE1867" s="1" t="s">
        <v>852</v>
      </c>
      <c r="BH1867" s="3">
        <v>4</v>
      </c>
      <c r="BI1867" s="1" t="s">
        <v>852</v>
      </c>
    </row>
    <row r="1868" spans="1:61">
      <c r="B1868" s="103" t="s">
        <v>551</v>
      </c>
      <c r="C1868" s="1" t="s">
        <v>597</v>
      </c>
      <c r="D1868" s="113"/>
      <c r="E1868" s="113"/>
      <c r="F1868" s="8"/>
      <c r="G1868" s="8"/>
      <c r="H1868" s="8"/>
      <c r="I1868" s="8"/>
      <c r="M1868" s="2"/>
      <c r="O1868" s="2"/>
      <c r="Q1868" s="3"/>
      <c r="T1868" s="3"/>
      <c r="U1868" s="3">
        <v>6.66</v>
      </c>
      <c r="X1868" s="3">
        <v>8.11</v>
      </c>
      <c r="Z1868" s="3">
        <f t="shared" si="12"/>
        <v>1.4499999999999993</v>
      </c>
      <c r="AA1868" s="3">
        <v>9.52</v>
      </c>
      <c r="AC1868" s="3">
        <f t="shared" si="13"/>
        <v>1.4100000000000001</v>
      </c>
      <c r="AD1868" s="24">
        <v>8.625</v>
      </c>
      <c r="AG1868" s="3">
        <v>11.36</v>
      </c>
      <c r="AJ1868" s="3">
        <v>14.32</v>
      </c>
      <c r="AM1868" s="3">
        <v>15.22</v>
      </c>
      <c r="AP1868" s="3">
        <v>17</v>
      </c>
      <c r="AS1868" s="3">
        <v>17</v>
      </c>
      <c r="AV1868" s="3">
        <v>17</v>
      </c>
      <c r="AZ1868" s="3">
        <v>38.82</v>
      </c>
      <c r="BA1868" s="1" t="s">
        <v>852</v>
      </c>
      <c r="BC1868" s="3">
        <v>38.82</v>
      </c>
      <c r="BD1868" s="3">
        <v>41.66</v>
      </c>
      <c r="BE1868" s="1" t="s">
        <v>852</v>
      </c>
      <c r="BH1868" s="3">
        <v>48.5</v>
      </c>
      <c r="BI1868" s="1" t="s">
        <v>852</v>
      </c>
    </row>
    <row r="1869" spans="1:61">
      <c r="B1869" s="103" t="s">
        <v>551</v>
      </c>
      <c r="C1869" s="1" t="s">
        <v>595</v>
      </c>
      <c r="D1869" s="113"/>
      <c r="E1869" s="113"/>
      <c r="F1869" s="8"/>
      <c r="G1869" s="8"/>
      <c r="H1869" s="8"/>
      <c r="I1869" s="8"/>
      <c r="M1869" s="2"/>
      <c r="O1869" s="2"/>
      <c r="Q1869" s="3"/>
      <c r="R1869" s="3">
        <v>3.39</v>
      </c>
      <c r="S1869" s="1" t="s">
        <v>298</v>
      </c>
      <c r="T1869" s="3"/>
      <c r="U1869" s="3">
        <v>2.77</v>
      </c>
      <c r="W1869" s="3">
        <f>U1869-R1869</f>
        <v>-0.62000000000000011</v>
      </c>
      <c r="X1869" s="3">
        <v>3.71</v>
      </c>
      <c r="Z1869" s="3">
        <f t="shared" si="12"/>
        <v>0.94</v>
      </c>
      <c r="AA1869" s="3">
        <v>3.57</v>
      </c>
      <c r="AC1869" s="3">
        <f t="shared" si="13"/>
        <v>-0.14000000000000012</v>
      </c>
      <c r="AD1869" s="24">
        <v>4</v>
      </c>
      <c r="AG1869" s="3">
        <v>3.41</v>
      </c>
      <c r="AI1869" s="3">
        <f>AG1869-AD1869</f>
        <v>-0.58999999999999986</v>
      </c>
      <c r="AJ1869" s="3">
        <v>5.68</v>
      </c>
      <c r="AL1869" s="3">
        <f>AJ1869-AG1869</f>
        <v>2.2699999999999996</v>
      </c>
      <c r="AM1869" s="3">
        <v>5.43</v>
      </c>
      <c r="AO1869" s="3">
        <f>AM1869-AJ1869</f>
        <v>-0.25</v>
      </c>
      <c r="AP1869" s="3">
        <v>9</v>
      </c>
      <c r="AS1869" s="3">
        <v>4.4000000000000004</v>
      </c>
      <c r="AV1869" s="3">
        <v>6.73</v>
      </c>
      <c r="AZ1869" s="3">
        <v>6.86</v>
      </c>
      <c r="BA1869" s="1" t="s">
        <v>852</v>
      </c>
      <c r="BC1869" s="3">
        <v>6.86</v>
      </c>
      <c r="BD1869" s="3">
        <v>5.21</v>
      </c>
      <c r="BE1869" s="1" t="s">
        <v>852</v>
      </c>
      <c r="BH1869" s="3">
        <v>7</v>
      </c>
      <c r="BI1869" s="1" t="s">
        <v>852</v>
      </c>
    </row>
    <row r="1870" spans="1:61">
      <c r="B1870" s="103" t="s">
        <v>551</v>
      </c>
      <c r="C1870" s="1" t="s">
        <v>700</v>
      </c>
      <c r="D1870" s="113"/>
      <c r="E1870" s="113"/>
      <c r="F1870" s="8"/>
      <c r="G1870" s="8"/>
      <c r="H1870" s="8"/>
      <c r="I1870" s="8"/>
      <c r="M1870" s="2"/>
      <c r="O1870" s="2"/>
      <c r="Q1870" s="3"/>
      <c r="T1870" s="3"/>
      <c r="U1870" s="3">
        <v>5.84</v>
      </c>
      <c r="X1870" s="3">
        <v>4.87</v>
      </c>
      <c r="Z1870" s="3">
        <f t="shared" si="12"/>
        <v>-0.96999999999999975</v>
      </c>
      <c r="AA1870" s="3">
        <v>3.57</v>
      </c>
      <c r="AC1870" s="3">
        <f t="shared" si="13"/>
        <v>-1.3000000000000003</v>
      </c>
      <c r="AD1870" s="24">
        <v>4</v>
      </c>
      <c r="AG1870" s="3">
        <v>2.84</v>
      </c>
      <c r="AJ1870" s="3">
        <v>3.41</v>
      </c>
    </row>
    <row r="1871" spans="1:61">
      <c r="A1871" s="6">
        <v>12</v>
      </c>
      <c r="B1871" s="103" t="s">
        <v>551</v>
      </c>
      <c r="C1871" s="1" t="s">
        <v>594</v>
      </c>
      <c r="D1871" s="113" t="s">
        <v>408</v>
      </c>
      <c r="E1871" s="113"/>
      <c r="F1871" s="8">
        <v>2.1</v>
      </c>
      <c r="G1871" s="8"/>
      <c r="H1871" s="8">
        <v>2.1</v>
      </c>
      <c r="I1871" s="8">
        <f>H1871-D1871</f>
        <v>-127.9</v>
      </c>
      <c r="J1871" s="1" t="s">
        <v>192</v>
      </c>
      <c r="M1871" s="2">
        <v>2.6850000000000001</v>
      </c>
      <c r="O1871" s="2">
        <v>2.6850000000000001</v>
      </c>
      <c r="P1871" s="1" t="s">
        <v>94</v>
      </c>
      <c r="Q1871" s="3">
        <f>O1871-H1871</f>
        <v>0.58499999999999996</v>
      </c>
      <c r="R1871" s="3">
        <v>3.81</v>
      </c>
      <c r="S1871" s="1" t="s">
        <v>297</v>
      </c>
      <c r="T1871" s="3">
        <f>R1871-O1871</f>
        <v>1.125</v>
      </c>
      <c r="U1871" s="3">
        <v>2.7149999999999999</v>
      </c>
      <c r="V1871" s="1" t="s">
        <v>307</v>
      </c>
      <c r="W1871" s="3">
        <f>U1871-R1871</f>
        <v>-1.0950000000000002</v>
      </c>
      <c r="X1871" s="3">
        <v>5.68</v>
      </c>
      <c r="Z1871" s="3">
        <f t="shared" si="12"/>
        <v>2.9649999999999999</v>
      </c>
      <c r="AA1871" s="3">
        <v>3.09</v>
      </c>
      <c r="AC1871" s="3">
        <f t="shared" si="13"/>
        <v>-2.59</v>
      </c>
      <c r="AD1871" s="24">
        <v>3</v>
      </c>
      <c r="AG1871" s="3">
        <v>3.41</v>
      </c>
      <c r="AI1871" s="3">
        <f>AG1871-AD1871</f>
        <v>0.41000000000000014</v>
      </c>
      <c r="AJ1871" s="3">
        <v>5.2270000000000003</v>
      </c>
      <c r="AL1871" s="3">
        <f>AJ1871-AG1871</f>
        <v>1.8170000000000002</v>
      </c>
      <c r="AM1871" s="3">
        <v>4.13</v>
      </c>
      <c r="AO1871" s="3">
        <f>AM1871-AJ1871</f>
        <v>-1.0970000000000004</v>
      </c>
      <c r="AP1871" s="3">
        <v>4.4000000000000004</v>
      </c>
      <c r="AS1871" s="3">
        <v>6</v>
      </c>
      <c r="AV1871" s="3">
        <v>5.7690000000000001</v>
      </c>
      <c r="AZ1871" s="3">
        <v>5.88</v>
      </c>
      <c r="BA1871" s="1" t="s">
        <v>852</v>
      </c>
      <c r="BC1871" s="3">
        <v>5.88</v>
      </c>
      <c r="BD1871" s="3">
        <v>5.41</v>
      </c>
      <c r="BE1871" s="1" t="s">
        <v>852</v>
      </c>
      <c r="BH1871" s="3">
        <v>8.4</v>
      </c>
      <c r="BI1871" s="1" t="s">
        <v>852</v>
      </c>
    </row>
    <row r="1872" spans="1:61">
      <c r="B1872" s="103" t="s">
        <v>551</v>
      </c>
      <c r="C1872" s="1" t="s">
        <v>405</v>
      </c>
      <c r="D1872" s="113"/>
      <c r="E1872" s="113"/>
      <c r="F1872" s="8"/>
      <c r="G1872" s="8"/>
      <c r="H1872" s="8"/>
      <c r="I1872" s="8"/>
      <c r="M1872" s="2"/>
      <c r="O1872" s="2"/>
      <c r="Q1872" s="3"/>
      <c r="T1872" s="3"/>
      <c r="U1872" s="3">
        <v>32.22</v>
      </c>
      <c r="X1872" s="3">
        <v>37.1</v>
      </c>
      <c r="Z1872" s="3">
        <f t="shared" si="12"/>
        <v>4.8800000000000026</v>
      </c>
      <c r="AA1872" s="3">
        <v>42.86</v>
      </c>
      <c r="AC1872" s="3">
        <f t="shared" si="13"/>
        <v>5.759999999999998</v>
      </c>
      <c r="AG1872" s="3">
        <v>18.18</v>
      </c>
      <c r="AJ1872" s="3">
        <v>20.454999999999998</v>
      </c>
      <c r="AM1872" s="3">
        <v>20.65</v>
      </c>
      <c r="AP1872" s="3">
        <v>18</v>
      </c>
      <c r="AS1872" s="3">
        <v>18</v>
      </c>
      <c r="AV1872" s="3">
        <v>38.07</v>
      </c>
    </row>
    <row r="1873" spans="1:61">
      <c r="B1873" s="103" t="s">
        <v>551</v>
      </c>
      <c r="C1873" s="1" t="s">
        <v>406</v>
      </c>
      <c r="D1873" s="113"/>
      <c r="E1873" s="113"/>
      <c r="F1873" s="8"/>
      <c r="G1873" s="8"/>
      <c r="H1873" s="8"/>
      <c r="I1873" s="8"/>
      <c r="M1873" s="2"/>
      <c r="O1873" s="2"/>
      <c r="Q1873" s="3"/>
      <c r="T1873" s="3"/>
      <c r="U1873" s="3">
        <v>32.22</v>
      </c>
      <c r="X1873" s="3">
        <v>37.1</v>
      </c>
      <c r="Z1873" s="3">
        <f t="shared" si="12"/>
        <v>4.8800000000000026</v>
      </c>
      <c r="AA1873" s="3">
        <v>42.86</v>
      </c>
      <c r="AC1873" s="3">
        <f t="shared" si="13"/>
        <v>5.759999999999998</v>
      </c>
      <c r="AG1873" s="3">
        <v>18.18</v>
      </c>
      <c r="AJ1873" s="3">
        <v>20.454999999999998</v>
      </c>
      <c r="AM1873" s="3">
        <v>20.65</v>
      </c>
      <c r="AP1873" s="3">
        <v>18</v>
      </c>
      <c r="AS1873" s="3">
        <v>18</v>
      </c>
    </row>
    <row r="1874" spans="1:61">
      <c r="A1874" s="6">
        <v>14</v>
      </c>
      <c r="B1874" s="103" t="s">
        <v>551</v>
      </c>
      <c r="C1874" s="1" t="s">
        <v>58</v>
      </c>
      <c r="D1874" s="113" t="s">
        <v>409</v>
      </c>
      <c r="E1874" s="113"/>
      <c r="F1874" s="8">
        <v>6.72</v>
      </c>
      <c r="G1874" s="8"/>
      <c r="H1874" s="8">
        <v>6.72</v>
      </c>
      <c r="I1874" s="8">
        <f>H1874-D1874</f>
        <v>-458.28</v>
      </c>
      <c r="J1874" s="1" t="s">
        <v>593</v>
      </c>
      <c r="M1874" s="2">
        <v>6.75</v>
      </c>
      <c r="O1874" s="2">
        <v>6.75</v>
      </c>
      <c r="Q1874" s="3">
        <f>O1874-H1874</f>
        <v>3.0000000000000249E-2</v>
      </c>
      <c r="R1874" s="3">
        <v>7.95</v>
      </c>
      <c r="S1874" s="1" t="s">
        <v>299</v>
      </c>
      <c r="T1874" s="3">
        <f>R1874-O1874</f>
        <v>1.2000000000000002</v>
      </c>
      <c r="U1874" s="3">
        <v>9.5549999999999997</v>
      </c>
      <c r="V1874" s="1" t="s">
        <v>308</v>
      </c>
      <c r="W1874" s="3">
        <f>U1874-R1874</f>
        <v>1.6049999999999995</v>
      </c>
      <c r="X1874" s="3">
        <v>13.91</v>
      </c>
      <c r="Z1874" s="3">
        <f t="shared" si="12"/>
        <v>4.3550000000000004</v>
      </c>
      <c r="AA1874" s="3">
        <v>10.24</v>
      </c>
      <c r="AC1874" s="3">
        <f t="shared" si="13"/>
        <v>-3.67</v>
      </c>
      <c r="AD1874" s="24">
        <v>6.5</v>
      </c>
      <c r="AG1874" s="3">
        <v>5</v>
      </c>
      <c r="AI1874" s="3">
        <f>AG1874-AD1874</f>
        <v>-1.5</v>
      </c>
      <c r="AJ1874" s="3">
        <v>5.34</v>
      </c>
      <c r="AL1874" s="3">
        <f>AJ1874-AG1874</f>
        <v>0.33999999999999986</v>
      </c>
      <c r="AM1874" s="3">
        <v>3.91</v>
      </c>
      <c r="AO1874" s="3">
        <f>AM1874-AJ1874</f>
        <v>-1.4299999999999997</v>
      </c>
      <c r="AP1874" s="3">
        <v>4.4000000000000004</v>
      </c>
      <c r="AS1874" s="3">
        <v>7</v>
      </c>
      <c r="AV1874" s="3">
        <v>6.73</v>
      </c>
      <c r="AZ1874" s="3">
        <v>7.84</v>
      </c>
      <c r="BA1874" s="1" t="s">
        <v>852</v>
      </c>
      <c r="BC1874" s="3">
        <v>7.84</v>
      </c>
      <c r="BD1874" s="3">
        <v>5.35</v>
      </c>
      <c r="BE1874" s="1" t="s">
        <v>852</v>
      </c>
      <c r="BH1874" s="3">
        <v>9.9</v>
      </c>
      <c r="BI1874" s="1" t="s">
        <v>852</v>
      </c>
    </row>
    <row r="1875" spans="1:61">
      <c r="B1875" s="103" t="s">
        <v>551</v>
      </c>
      <c r="C1875" s="1" t="s">
        <v>868</v>
      </c>
      <c r="D1875" s="113"/>
      <c r="E1875" s="113"/>
      <c r="F1875" s="8"/>
      <c r="G1875" s="8"/>
      <c r="H1875" s="8"/>
      <c r="I1875" s="8"/>
      <c r="M1875" s="2"/>
      <c r="O1875" s="2"/>
      <c r="Q1875" s="3"/>
      <c r="T1875" s="3"/>
      <c r="W1875" s="3"/>
      <c r="AC1875" s="3"/>
      <c r="AI1875" s="3"/>
      <c r="AL1875" s="3"/>
      <c r="AO1875" s="3"/>
      <c r="BD1875" s="3">
        <v>5</v>
      </c>
      <c r="BE1875" s="1" t="s">
        <v>852</v>
      </c>
      <c r="BH1875" s="3">
        <v>9</v>
      </c>
      <c r="BI1875" s="1" t="s">
        <v>852</v>
      </c>
    </row>
    <row r="1876" spans="1:61" ht="9.6" customHeight="1">
      <c r="B1876" s="103" t="s">
        <v>551</v>
      </c>
      <c r="C1876" s="1" t="s">
        <v>607</v>
      </c>
      <c r="D1876" s="113"/>
      <c r="E1876" s="113"/>
      <c r="F1876" s="8"/>
      <c r="G1876" s="8"/>
      <c r="H1876" s="8"/>
      <c r="I1876" s="8"/>
      <c r="M1876" s="2"/>
      <c r="O1876" s="2"/>
      <c r="Q1876" s="3"/>
      <c r="T1876" s="3"/>
      <c r="U1876" s="3">
        <v>73.33</v>
      </c>
      <c r="X1876" s="3">
        <v>127.52</v>
      </c>
      <c r="Z1876" s="3">
        <f>X1876-U1876</f>
        <v>54.19</v>
      </c>
      <c r="AA1876" s="3">
        <v>95.24</v>
      </c>
      <c r="AC1876" s="3">
        <f>AA1876-X1876</f>
        <v>-32.28</v>
      </c>
      <c r="AD1876" s="24">
        <v>137.78700000000001</v>
      </c>
      <c r="AG1876" s="3">
        <v>68.2</v>
      </c>
      <c r="AJ1876" s="3">
        <v>90.19</v>
      </c>
      <c r="AM1876" s="3">
        <v>90.19</v>
      </c>
      <c r="AP1876" s="3">
        <v>90.19</v>
      </c>
      <c r="AS1876" s="3">
        <v>90.19</v>
      </c>
      <c r="AV1876" s="3">
        <v>90.19</v>
      </c>
      <c r="AZ1876" s="3">
        <v>78.430000000000007</v>
      </c>
      <c r="BA1876" s="1" t="s">
        <v>852</v>
      </c>
      <c r="BD1876" s="3">
        <v>68.75</v>
      </c>
      <c r="BE1876" s="1" t="s">
        <v>852</v>
      </c>
      <c r="BH1876" s="3">
        <v>104.28</v>
      </c>
      <c r="BI1876" s="1" t="s">
        <v>852</v>
      </c>
    </row>
    <row r="1877" spans="1:61" ht="9.6" customHeight="1">
      <c r="B1877" s="103" t="s">
        <v>551</v>
      </c>
      <c r="C1877" s="1" t="s">
        <v>854</v>
      </c>
      <c r="D1877" s="113"/>
      <c r="E1877" s="113"/>
      <c r="F1877" s="8"/>
      <c r="G1877" s="8"/>
      <c r="H1877" s="8"/>
      <c r="I1877" s="8"/>
      <c r="M1877" s="2"/>
      <c r="O1877" s="2"/>
      <c r="Q1877" s="3"/>
      <c r="T1877" s="3"/>
      <c r="W1877" s="3"/>
      <c r="AC1877" s="3"/>
      <c r="AI1877" s="3"/>
      <c r="AL1877" s="3"/>
      <c r="AO1877" s="3"/>
      <c r="AZ1877" s="3">
        <v>6.657</v>
      </c>
      <c r="BA1877" s="1" t="s">
        <v>852</v>
      </c>
      <c r="BD1877" s="3">
        <v>62.5</v>
      </c>
      <c r="BE1877" s="1" t="s">
        <v>852</v>
      </c>
      <c r="BH1877" s="3">
        <v>60</v>
      </c>
      <c r="BI1877" s="1" t="s">
        <v>852</v>
      </c>
    </row>
    <row r="1878" spans="1:61">
      <c r="B1878" s="103" t="s">
        <v>551</v>
      </c>
      <c r="C1878" s="1" t="s">
        <v>869</v>
      </c>
      <c r="D1878" s="113"/>
      <c r="E1878" s="113"/>
      <c r="F1878" s="8"/>
      <c r="G1878" s="8"/>
      <c r="H1878" s="8"/>
      <c r="I1878" s="8"/>
      <c r="M1878" s="2"/>
      <c r="O1878" s="2"/>
      <c r="Q1878" s="3"/>
      <c r="T1878" s="3"/>
      <c r="W1878" s="3"/>
      <c r="AC1878" s="3"/>
      <c r="AI1878" s="3"/>
      <c r="AL1878" s="3"/>
      <c r="AO1878" s="3"/>
      <c r="AZ1878" s="3">
        <v>52.94</v>
      </c>
      <c r="BA1878" s="1" t="s">
        <v>852</v>
      </c>
      <c r="BD1878" s="3">
        <v>55</v>
      </c>
      <c r="BE1878" s="1" t="s">
        <v>852</v>
      </c>
      <c r="BH1878" s="3">
        <v>39.68</v>
      </c>
      <c r="BI1878" s="1" t="s">
        <v>852</v>
      </c>
    </row>
    <row r="1879" spans="1:61">
      <c r="B1879" s="103" t="s">
        <v>551</v>
      </c>
      <c r="C1879" s="1" t="s">
        <v>291</v>
      </c>
      <c r="D1879" s="113"/>
      <c r="E1879" s="113"/>
      <c r="F1879" s="8"/>
      <c r="G1879" s="8"/>
      <c r="H1879" s="8"/>
      <c r="I1879" s="8"/>
      <c r="M1879" s="2"/>
      <c r="O1879" s="2"/>
      <c r="Q1879" s="3"/>
      <c r="T1879" s="3"/>
      <c r="W1879" s="3"/>
      <c r="AC1879" s="3"/>
      <c r="AI1879" s="3"/>
      <c r="AL1879" s="3"/>
      <c r="AO1879" s="3"/>
      <c r="AV1879" s="3">
        <v>10.36</v>
      </c>
      <c r="AZ1879" s="3">
        <v>10.36</v>
      </c>
      <c r="BA1879" s="1" t="s">
        <v>852</v>
      </c>
      <c r="BD1879" s="3">
        <v>10.79</v>
      </c>
      <c r="BE1879" s="1" t="s">
        <v>852</v>
      </c>
      <c r="BH1879" s="3">
        <v>10.78</v>
      </c>
      <c r="BI1879" s="1" t="s">
        <v>852</v>
      </c>
    </row>
    <row r="1880" spans="1:61">
      <c r="B1880" s="103" t="s">
        <v>551</v>
      </c>
      <c r="C1880" s="1" t="s">
        <v>857</v>
      </c>
      <c r="D1880" s="113"/>
      <c r="E1880" s="113"/>
      <c r="F1880" s="8"/>
      <c r="G1880" s="8"/>
      <c r="H1880" s="8"/>
      <c r="I1880" s="8"/>
      <c r="M1880" s="2"/>
      <c r="O1880" s="2"/>
      <c r="Q1880" s="3"/>
      <c r="T1880" s="3"/>
      <c r="W1880" s="3"/>
      <c r="AC1880" s="3"/>
      <c r="AI1880" s="3"/>
      <c r="AL1880" s="3"/>
      <c r="AO1880" s="3"/>
      <c r="AZ1880" s="3">
        <v>9.8000000000000007</v>
      </c>
      <c r="BA1880" s="1" t="s">
        <v>852</v>
      </c>
      <c r="BC1880" s="3">
        <v>9.8000000000000007</v>
      </c>
      <c r="BD1880" s="3">
        <v>8.33</v>
      </c>
      <c r="BE1880" s="1" t="s">
        <v>852</v>
      </c>
      <c r="BH1880" s="3">
        <v>50</v>
      </c>
      <c r="BI1880" s="1" t="s">
        <v>852</v>
      </c>
    </row>
    <row r="1881" spans="1:61">
      <c r="B1881" s="103" t="s">
        <v>551</v>
      </c>
      <c r="C1881" s="1" t="s">
        <v>870</v>
      </c>
      <c r="D1881" s="113"/>
      <c r="E1881" s="113"/>
      <c r="F1881" s="8"/>
      <c r="G1881" s="8"/>
      <c r="H1881" s="8"/>
      <c r="I1881" s="8"/>
      <c r="M1881" s="2"/>
      <c r="O1881" s="2"/>
      <c r="Q1881" s="3"/>
      <c r="T1881" s="3"/>
      <c r="W1881" s="3"/>
      <c r="AC1881" s="3"/>
      <c r="AI1881" s="3"/>
      <c r="AL1881" s="3"/>
      <c r="AO1881" s="3"/>
      <c r="BD1881" s="3">
        <v>83.33</v>
      </c>
      <c r="BE1881" s="1" t="s">
        <v>852</v>
      </c>
      <c r="BH1881" s="3">
        <v>91.6</v>
      </c>
      <c r="BI1881" s="1" t="s">
        <v>852</v>
      </c>
    </row>
    <row r="1882" spans="1:61">
      <c r="B1882" s="103" t="s">
        <v>551</v>
      </c>
      <c r="C1882" s="1" t="s">
        <v>289</v>
      </c>
      <c r="D1882" s="113"/>
      <c r="E1882" s="113"/>
      <c r="F1882" s="8"/>
      <c r="G1882" s="8"/>
      <c r="H1882" s="8"/>
      <c r="I1882" s="8"/>
      <c r="M1882" s="2"/>
      <c r="O1882" s="2"/>
      <c r="Q1882" s="3"/>
      <c r="T1882" s="3"/>
      <c r="W1882" s="3"/>
      <c r="X1882" s="3">
        <v>20.87</v>
      </c>
      <c r="AA1882" s="3">
        <v>66.66</v>
      </c>
      <c r="AC1882" s="3">
        <f>AA1882-X1882</f>
        <v>45.789999999999992</v>
      </c>
      <c r="AD1882" s="24">
        <v>21.25</v>
      </c>
      <c r="AG1882" s="3">
        <v>34.1</v>
      </c>
      <c r="AI1882" s="3">
        <f>AG1882-AD1882</f>
        <v>12.850000000000001</v>
      </c>
      <c r="AJ1882" s="3">
        <v>36.36</v>
      </c>
      <c r="AL1882" s="3">
        <f>AJ1882-AG1882</f>
        <v>2.259999999999998</v>
      </c>
      <c r="AM1882" s="3">
        <v>34.78</v>
      </c>
      <c r="AO1882" s="3">
        <f>AM1882-AJ1882</f>
        <v>-1.5799999999999983</v>
      </c>
      <c r="AP1882" s="3">
        <v>10</v>
      </c>
      <c r="AS1882" s="3">
        <v>10</v>
      </c>
      <c r="AV1882" s="3">
        <v>9.61</v>
      </c>
      <c r="AZ1882" s="3">
        <v>12.744999999999999</v>
      </c>
      <c r="BA1882" s="1" t="s">
        <v>852</v>
      </c>
      <c r="BD1882" s="3">
        <v>13.54</v>
      </c>
      <c r="BE1882" s="1" t="s">
        <v>852</v>
      </c>
      <c r="BH1882" s="3">
        <v>11</v>
      </c>
      <c r="BI1882" s="1" t="s">
        <v>852</v>
      </c>
    </row>
    <row r="1883" spans="1:61">
      <c r="B1883" s="103" t="s">
        <v>551</v>
      </c>
      <c r="C1883" s="1" t="s">
        <v>160</v>
      </c>
      <c r="D1883" s="113"/>
      <c r="E1883" s="113"/>
      <c r="F1883" s="8"/>
      <c r="G1883" s="8"/>
      <c r="H1883" s="8"/>
      <c r="I1883" s="8"/>
      <c r="M1883" s="2"/>
      <c r="O1883" s="2"/>
      <c r="Q1883" s="3"/>
      <c r="R1883" s="3">
        <v>3.18</v>
      </c>
      <c r="U1883" s="3">
        <v>2.66</v>
      </c>
      <c r="W1883" s="3">
        <f>U1883-R1883</f>
        <v>-0.52</v>
      </c>
      <c r="X1883" s="3">
        <v>3.13</v>
      </c>
      <c r="Z1883" s="3">
        <f>X1883-U1883</f>
        <v>0.46999999999999975</v>
      </c>
      <c r="AA1883" s="3">
        <v>3.1</v>
      </c>
      <c r="AC1883" s="3">
        <f>AA1883-X1883</f>
        <v>-2.9999999999999805E-2</v>
      </c>
      <c r="AD1883" s="24">
        <v>3.25</v>
      </c>
      <c r="AG1883" s="3">
        <v>3.41</v>
      </c>
      <c r="AJ1883" s="3">
        <v>3.41</v>
      </c>
      <c r="AM1883" s="3">
        <v>2.17</v>
      </c>
      <c r="AP1883" s="3">
        <v>3.4</v>
      </c>
      <c r="AS1883" s="3">
        <v>3.4</v>
      </c>
      <c r="AV1883" s="3">
        <v>4.8</v>
      </c>
    </row>
    <row r="1884" spans="1:61">
      <c r="B1884" s="103" t="s">
        <v>551</v>
      </c>
      <c r="C1884" s="1" t="s">
        <v>238</v>
      </c>
      <c r="D1884" s="113"/>
      <c r="E1884" s="113"/>
      <c r="F1884" s="8"/>
      <c r="G1884" s="8"/>
      <c r="H1884" s="8"/>
      <c r="I1884" s="8"/>
      <c r="M1884" s="2"/>
      <c r="O1884" s="2"/>
      <c r="Q1884" s="3"/>
      <c r="T1884" s="3"/>
      <c r="W1884" s="3"/>
      <c r="AC1884" s="3"/>
      <c r="AG1884" s="3">
        <v>3.41</v>
      </c>
      <c r="AJ1884" s="3">
        <v>3.41</v>
      </c>
      <c r="AM1884" s="3">
        <v>3.41</v>
      </c>
      <c r="AP1884" s="3">
        <v>3.41</v>
      </c>
      <c r="AS1884" s="3">
        <v>3.41</v>
      </c>
      <c r="AV1884" s="3">
        <v>5.7690000000000001</v>
      </c>
      <c r="AZ1884" s="3">
        <v>4.9000000000000004</v>
      </c>
      <c r="BA1884" s="1" t="s">
        <v>852</v>
      </c>
      <c r="BD1884" s="3">
        <v>5.83</v>
      </c>
      <c r="BE1884" s="1" t="s">
        <v>852</v>
      </c>
      <c r="BH1884" s="3">
        <v>6.8</v>
      </c>
      <c r="BI1884" s="1" t="s">
        <v>852</v>
      </c>
    </row>
    <row r="1885" spans="1:61">
      <c r="B1885" s="103" t="s">
        <v>551</v>
      </c>
      <c r="C1885" s="1" t="s">
        <v>290</v>
      </c>
      <c r="D1885" s="113"/>
      <c r="E1885" s="113"/>
      <c r="F1885" s="8"/>
      <c r="G1885" s="8"/>
      <c r="H1885" s="8"/>
      <c r="I1885" s="8"/>
      <c r="M1885" s="2"/>
      <c r="O1885" s="2"/>
      <c r="Q1885" s="3"/>
      <c r="T1885" s="3"/>
      <c r="W1885" s="3"/>
      <c r="X1885" s="3">
        <v>37.1</v>
      </c>
      <c r="AA1885" s="3">
        <v>52.38</v>
      </c>
      <c r="AC1885" s="3">
        <f>AA1885-X1885</f>
        <v>15.280000000000001</v>
      </c>
      <c r="AD1885" s="24">
        <v>21.25</v>
      </c>
      <c r="AG1885" s="3">
        <v>31.82</v>
      </c>
      <c r="AI1885" s="3">
        <f>AG1885-AD1885</f>
        <v>10.57</v>
      </c>
      <c r="AJ1885" s="3">
        <v>36.36</v>
      </c>
      <c r="AL1885" s="3">
        <f>AJ1885-AG1885</f>
        <v>4.5399999999999991</v>
      </c>
      <c r="AM1885" s="3">
        <v>34.78</v>
      </c>
      <c r="AO1885" s="3">
        <f>AM1885-AJ1885</f>
        <v>-1.5799999999999983</v>
      </c>
      <c r="AP1885" s="3">
        <v>8</v>
      </c>
      <c r="AS1885" s="3">
        <v>8</v>
      </c>
      <c r="AV1885" s="3">
        <v>7.69</v>
      </c>
      <c r="AZ1885" s="3">
        <v>4.8</v>
      </c>
      <c r="BD1885" s="3">
        <v>13.54</v>
      </c>
      <c r="BE1885" s="1" t="s">
        <v>852</v>
      </c>
      <c r="BH1885" s="3">
        <v>10</v>
      </c>
      <c r="BI1885" s="1" t="s">
        <v>852</v>
      </c>
    </row>
    <row r="1886" spans="1:61">
      <c r="B1886" s="103" t="s">
        <v>551</v>
      </c>
      <c r="C1886" s="1" t="s">
        <v>64</v>
      </c>
      <c r="D1886" s="113"/>
      <c r="E1886" s="113"/>
      <c r="F1886" s="8"/>
      <c r="G1886" s="8"/>
      <c r="H1886" s="8"/>
      <c r="I1886" s="8"/>
      <c r="M1886" s="2"/>
      <c r="O1886" s="2"/>
      <c r="Q1886" s="3"/>
      <c r="R1886" s="3">
        <v>10.17</v>
      </c>
      <c r="T1886" s="3"/>
      <c r="U1886" s="3">
        <v>9.6649999999999991</v>
      </c>
      <c r="V1886" s="1" t="s">
        <v>309</v>
      </c>
      <c r="W1886" s="3">
        <f>U1886-R1886</f>
        <v>-0.50500000000000078</v>
      </c>
      <c r="X1886" s="3">
        <v>14.37</v>
      </c>
      <c r="Z1886" s="3">
        <f>X1886-U1886</f>
        <v>4.7050000000000001</v>
      </c>
      <c r="AA1886" s="3">
        <v>14.29</v>
      </c>
      <c r="AC1886" s="3">
        <f>AA1886-X1886</f>
        <v>-8.0000000000000071E-2</v>
      </c>
      <c r="AD1886" s="24">
        <v>9</v>
      </c>
      <c r="AG1886" s="3">
        <v>7.95</v>
      </c>
      <c r="AI1886" s="3">
        <f>AG1886-AD1886</f>
        <v>-1.0499999999999998</v>
      </c>
      <c r="AJ1886" s="3">
        <v>7.27</v>
      </c>
      <c r="AL1886" s="3">
        <f>AJ1886-AG1886</f>
        <v>-0.6800000000000006</v>
      </c>
      <c r="AM1886" s="3">
        <v>6.08</v>
      </c>
      <c r="AO1886" s="3">
        <f>AM1886-AJ1886</f>
        <v>-1.1899999999999995</v>
      </c>
      <c r="AP1886" s="3">
        <v>6</v>
      </c>
      <c r="AS1886" s="3">
        <v>6</v>
      </c>
      <c r="AV1886" s="3">
        <v>7.69</v>
      </c>
      <c r="AZ1886" s="3">
        <v>10.78</v>
      </c>
      <c r="BA1886" s="1" t="s">
        <v>852</v>
      </c>
      <c r="BD1886" s="3">
        <v>5.42</v>
      </c>
      <c r="BE1886" s="1" t="s">
        <v>852</v>
      </c>
      <c r="BH1886" s="3">
        <v>14.6</v>
      </c>
      <c r="BI1886" s="1" t="s">
        <v>852</v>
      </c>
    </row>
    <row r="1887" spans="1:61">
      <c r="B1887" s="103" t="s">
        <v>551</v>
      </c>
      <c r="C1887" s="1" t="s">
        <v>855</v>
      </c>
      <c r="D1887" s="113"/>
      <c r="E1887" s="113"/>
      <c r="F1887" s="8"/>
      <c r="G1887" s="8"/>
      <c r="H1887" s="8"/>
      <c r="I1887" s="8"/>
      <c r="M1887" s="2"/>
      <c r="O1887" s="2"/>
      <c r="Q1887" s="3"/>
      <c r="T1887" s="3"/>
      <c r="W1887" s="3"/>
      <c r="AC1887" s="3"/>
      <c r="AI1887" s="3"/>
      <c r="AL1887" s="3"/>
      <c r="AO1887" s="3"/>
      <c r="AZ1887" s="3">
        <v>10.78</v>
      </c>
      <c r="BA1887" s="1" t="s">
        <v>852</v>
      </c>
      <c r="BH1887" s="3">
        <v>14.98</v>
      </c>
      <c r="BI1887" s="1" t="s">
        <v>852</v>
      </c>
    </row>
    <row r="1888" spans="1:61">
      <c r="B1888" s="103" t="s">
        <v>551</v>
      </c>
      <c r="C1888" s="1" t="s">
        <v>286</v>
      </c>
      <c r="D1888" s="113"/>
      <c r="E1888" s="113"/>
      <c r="F1888" s="8"/>
      <c r="G1888" s="8"/>
      <c r="H1888" s="8"/>
      <c r="I1888" s="8"/>
      <c r="M1888" s="2"/>
      <c r="O1888" s="2"/>
      <c r="Q1888" s="3"/>
      <c r="R1888" s="3">
        <v>12.19</v>
      </c>
      <c r="S1888" s="1" t="s">
        <v>300</v>
      </c>
      <c r="T1888" s="3"/>
      <c r="U1888" s="3">
        <v>10</v>
      </c>
      <c r="W1888" s="3">
        <f>U1888-R1888</f>
        <v>-2.1899999999999995</v>
      </c>
      <c r="X1888" s="3">
        <v>15.07</v>
      </c>
      <c r="Z1888" s="3">
        <f>X1888-U1888</f>
        <v>5.07</v>
      </c>
      <c r="AA1888" s="3">
        <v>14.29</v>
      </c>
      <c r="AC1888" s="3">
        <f>AA1888-X1888</f>
        <v>-0.78000000000000114</v>
      </c>
      <c r="AD1888" s="24">
        <v>9.25</v>
      </c>
      <c r="AG1888" s="3">
        <v>7.27</v>
      </c>
      <c r="AI1888" s="3">
        <f>AG1888-AD1888</f>
        <v>-1.9800000000000004</v>
      </c>
      <c r="AJ1888" s="3">
        <v>7.27</v>
      </c>
      <c r="AL1888" s="3">
        <f>AJ1888-AG1888</f>
        <v>0</v>
      </c>
      <c r="AM1888" s="3">
        <v>6.08</v>
      </c>
      <c r="AO1888" s="3">
        <f>AM1888-AJ1888</f>
        <v>-1.1899999999999995</v>
      </c>
      <c r="AP1888" s="3">
        <v>6</v>
      </c>
      <c r="AS1888" s="3">
        <v>6</v>
      </c>
      <c r="AV1888" s="3">
        <v>7.69</v>
      </c>
      <c r="AZ1888" s="3">
        <v>10.78</v>
      </c>
      <c r="BA1888" s="1" t="s">
        <v>852</v>
      </c>
      <c r="BD1888" s="3">
        <v>7.29</v>
      </c>
      <c r="BE1888" s="1" t="s">
        <v>852</v>
      </c>
      <c r="BH1888" s="3">
        <v>17</v>
      </c>
      <c r="BI1888" s="1" t="s">
        <v>852</v>
      </c>
    </row>
    <row r="1889" spans="1:61">
      <c r="B1889" s="103" t="s">
        <v>551</v>
      </c>
      <c r="C1889" s="1" t="s">
        <v>288</v>
      </c>
      <c r="D1889" s="113"/>
      <c r="E1889" s="113"/>
      <c r="F1889" s="8"/>
      <c r="G1889" s="8"/>
      <c r="H1889" s="8"/>
      <c r="I1889" s="8"/>
      <c r="M1889" s="2"/>
      <c r="O1889" s="2"/>
      <c r="Q1889" s="3"/>
      <c r="R1889" s="3">
        <v>12.19</v>
      </c>
      <c r="S1889" s="1" t="s">
        <v>300</v>
      </c>
      <c r="T1889" s="3"/>
      <c r="U1889" s="3">
        <v>10.88</v>
      </c>
      <c r="W1889" s="3">
        <f>U1889-R1889</f>
        <v>-1.3099999999999987</v>
      </c>
      <c r="X1889" s="3">
        <v>15.07</v>
      </c>
      <c r="Z1889" s="3">
        <f>X1889-U1889</f>
        <v>4.1899999999999995</v>
      </c>
      <c r="AA1889" s="3">
        <v>14.29</v>
      </c>
      <c r="AC1889" s="3">
        <f>AA1889-X1889</f>
        <v>-0.78000000000000114</v>
      </c>
      <c r="AD1889" s="24">
        <v>9</v>
      </c>
      <c r="AG1889" s="3">
        <v>7.27</v>
      </c>
      <c r="AI1889" s="3">
        <f>AG1889-AD1889</f>
        <v>-1.7300000000000004</v>
      </c>
      <c r="AJ1889" s="3">
        <v>7.27</v>
      </c>
      <c r="AL1889" s="3">
        <f>AJ1889-AG1889</f>
        <v>0</v>
      </c>
      <c r="AM1889" s="3">
        <v>5.98</v>
      </c>
      <c r="AO1889" s="3">
        <f>AM1889-AJ1889</f>
        <v>-1.2899999999999991</v>
      </c>
      <c r="AP1889" s="3">
        <v>5.6</v>
      </c>
      <c r="AS1889" s="3">
        <v>10</v>
      </c>
      <c r="AV1889" s="3">
        <v>10.19</v>
      </c>
      <c r="AZ1889" s="3">
        <v>10.78</v>
      </c>
      <c r="BA1889" s="1" t="s">
        <v>852</v>
      </c>
      <c r="BD1889" s="3">
        <v>6.25</v>
      </c>
      <c r="BE1889" s="1" t="s">
        <v>852</v>
      </c>
      <c r="BH1889" s="3">
        <v>15.6</v>
      </c>
      <c r="BI1889" s="1" t="s">
        <v>852</v>
      </c>
    </row>
    <row r="1890" spans="1:61">
      <c r="A1890" s="6">
        <v>11</v>
      </c>
      <c r="B1890" s="103" t="s">
        <v>551</v>
      </c>
      <c r="C1890" s="1" t="s">
        <v>57</v>
      </c>
      <c r="D1890" s="113" t="s">
        <v>685</v>
      </c>
      <c r="E1890" s="113"/>
      <c r="F1890" s="113" t="s">
        <v>685</v>
      </c>
      <c r="G1890" s="113"/>
      <c r="H1890" s="113" t="s">
        <v>685</v>
      </c>
      <c r="I1890" s="113"/>
      <c r="M1890" s="2" t="s">
        <v>685</v>
      </c>
      <c r="O1890" s="2" t="s">
        <v>685</v>
      </c>
      <c r="R1890" s="2" t="s">
        <v>685</v>
      </c>
    </row>
    <row r="1891" spans="1:61">
      <c r="B1891" s="103" t="s">
        <v>551</v>
      </c>
      <c r="C1891" s="1" t="s">
        <v>287</v>
      </c>
      <c r="D1891" s="113"/>
      <c r="E1891" s="113"/>
      <c r="F1891" s="8"/>
      <c r="G1891" s="8"/>
      <c r="H1891" s="8"/>
      <c r="I1891" s="8"/>
      <c r="M1891" s="2"/>
      <c r="O1891" s="2"/>
      <c r="Q1891" s="3"/>
      <c r="R1891" s="3">
        <v>10.17</v>
      </c>
      <c r="T1891" s="3"/>
      <c r="U1891" s="3">
        <v>9.6649999999999991</v>
      </c>
      <c r="V1891" s="1" t="s">
        <v>309</v>
      </c>
      <c r="W1891" s="3">
        <f>U1891-R1891</f>
        <v>-0.50500000000000078</v>
      </c>
      <c r="X1891" s="3">
        <v>14.6</v>
      </c>
      <c r="Z1891" s="3">
        <f>X1891-U1891</f>
        <v>4.9350000000000005</v>
      </c>
      <c r="AA1891" s="3">
        <v>15.48</v>
      </c>
      <c r="AC1891" s="3">
        <f>AA1891-X1891</f>
        <v>0.88000000000000078</v>
      </c>
      <c r="AD1891" s="24">
        <v>9</v>
      </c>
      <c r="AG1891" s="3">
        <v>7.27</v>
      </c>
      <c r="AI1891" s="3">
        <f>AG1891-AD1891</f>
        <v>-1.7300000000000004</v>
      </c>
      <c r="AJ1891" s="3">
        <v>7.27</v>
      </c>
      <c r="AL1891" s="3">
        <f>AJ1891-AG1891</f>
        <v>0</v>
      </c>
      <c r="AM1891" s="3">
        <v>6.08</v>
      </c>
      <c r="AO1891" s="3">
        <f>AM1891-AJ1891</f>
        <v>-1.1899999999999995</v>
      </c>
      <c r="AP1891" s="3">
        <v>6</v>
      </c>
      <c r="AS1891" s="3">
        <v>6</v>
      </c>
      <c r="AV1891" s="3">
        <v>7.69</v>
      </c>
      <c r="AZ1891" s="3">
        <v>10.78</v>
      </c>
      <c r="BA1891" s="1" t="s">
        <v>852</v>
      </c>
      <c r="BD1891" s="3">
        <v>7.29</v>
      </c>
      <c r="BE1891" s="1" t="s">
        <v>852</v>
      </c>
      <c r="BH1891" s="3">
        <v>11</v>
      </c>
      <c r="BI1891" s="1" t="s">
        <v>852</v>
      </c>
    </row>
    <row r="1892" spans="1:61">
      <c r="B1892" s="103" t="s">
        <v>551</v>
      </c>
      <c r="C1892" s="1" t="s">
        <v>872</v>
      </c>
      <c r="D1892" s="113"/>
      <c r="E1892" s="113"/>
      <c r="F1892" s="8"/>
      <c r="G1892" s="8"/>
      <c r="H1892" s="8"/>
      <c r="I1892" s="8"/>
      <c r="M1892" s="2"/>
      <c r="O1892" s="2"/>
      <c r="Q1892" s="3"/>
      <c r="T1892" s="3"/>
      <c r="W1892" s="3"/>
      <c r="AC1892" s="3"/>
      <c r="AI1892" s="3"/>
      <c r="AL1892" s="3"/>
      <c r="AO1892" s="3"/>
      <c r="AZ1892" s="3">
        <v>19.260000000000002</v>
      </c>
      <c r="BD1892" s="3">
        <v>166.67</v>
      </c>
      <c r="BE1892" s="1" t="s">
        <v>852</v>
      </c>
      <c r="BH1892" s="3">
        <v>177.76</v>
      </c>
      <c r="BI1892" s="1" t="s">
        <v>852</v>
      </c>
    </row>
    <row r="1893" spans="1:61">
      <c r="A1893" s="6">
        <v>1</v>
      </c>
      <c r="B1893" s="103" t="s">
        <v>554</v>
      </c>
      <c r="C1893" s="1" t="s">
        <v>52</v>
      </c>
      <c r="D1893" s="2"/>
      <c r="E1893" s="2"/>
      <c r="F1893" s="9">
        <v>4.8</v>
      </c>
      <c r="H1893" s="9">
        <v>4.8</v>
      </c>
      <c r="P1893" s="1" t="s">
        <v>285</v>
      </c>
      <c r="S1893" s="1" t="s">
        <v>285</v>
      </c>
      <c r="AH1893" s="1" t="s">
        <v>285</v>
      </c>
    </row>
    <row r="1894" spans="1:61">
      <c r="A1894" s="6">
        <v>3</v>
      </c>
      <c r="B1894" s="103" t="s">
        <v>554</v>
      </c>
      <c r="C1894" s="1" t="s">
        <v>54</v>
      </c>
      <c r="D1894" s="2"/>
      <c r="E1894" s="2"/>
      <c r="F1894" s="9">
        <v>0</v>
      </c>
      <c r="H1894" s="9">
        <v>0</v>
      </c>
      <c r="P1894" s="1" t="s">
        <v>285</v>
      </c>
      <c r="S1894" s="1" t="s">
        <v>285</v>
      </c>
      <c r="AH1894" s="1" t="s">
        <v>285</v>
      </c>
    </row>
    <row r="1895" spans="1:61">
      <c r="A1895" s="6">
        <v>4</v>
      </c>
      <c r="B1895" s="103" t="s">
        <v>554</v>
      </c>
      <c r="C1895" s="1" t="s">
        <v>55</v>
      </c>
      <c r="D1895" s="2"/>
      <c r="E1895" s="2"/>
      <c r="F1895" s="9">
        <v>0</v>
      </c>
      <c r="H1895" s="9">
        <v>0</v>
      </c>
      <c r="P1895" s="1" t="s">
        <v>285</v>
      </c>
      <c r="S1895" s="1" t="s">
        <v>285</v>
      </c>
      <c r="AH1895" s="1" t="s">
        <v>285</v>
      </c>
    </row>
    <row r="1896" spans="1:61">
      <c r="A1896" s="6">
        <v>5</v>
      </c>
      <c r="B1896" s="103" t="s">
        <v>554</v>
      </c>
      <c r="C1896" s="1" t="s">
        <v>56</v>
      </c>
      <c r="D1896" s="2"/>
      <c r="E1896" s="2"/>
      <c r="F1896" s="9">
        <v>0</v>
      </c>
      <c r="H1896" s="9">
        <v>0</v>
      </c>
      <c r="P1896" s="1" t="s">
        <v>285</v>
      </c>
      <c r="S1896" s="1" t="s">
        <v>285</v>
      </c>
      <c r="AH1896" s="1" t="s">
        <v>285</v>
      </c>
    </row>
    <row r="1897" spans="1:61">
      <c r="A1897" s="6">
        <v>2</v>
      </c>
      <c r="B1897" s="103" t="s">
        <v>554</v>
      </c>
      <c r="C1897" s="1" t="s">
        <v>53</v>
      </c>
      <c r="D1897" s="2"/>
      <c r="E1897" s="2"/>
      <c r="F1897" s="9">
        <v>7.4</v>
      </c>
      <c r="H1897" s="9">
        <v>7.4</v>
      </c>
      <c r="P1897" s="1" t="s">
        <v>285</v>
      </c>
      <c r="S1897" s="1" t="s">
        <v>285</v>
      </c>
      <c r="U1897" s="3">
        <v>7</v>
      </c>
      <c r="X1897" s="3">
        <v>7</v>
      </c>
      <c r="Z1897" s="3">
        <f>X1897-U1897</f>
        <v>0</v>
      </c>
      <c r="AA1897" s="3">
        <v>7</v>
      </c>
      <c r="AC1897" s="3">
        <f>AA1897-X1897</f>
        <v>0</v>
      </c>
      <c r="AD1897" s="24">
        <v>7</v>
      </c>
      <c r="AH1897" s="1" t="s">
        <v>285</v>
      </c>
    </row>
    <row r="1898" spans="1:61">
      <c r="B1898" s="103" t="s">
        <v>554</v>
      </c>
      <c r="C1898" s="1" t="s">
        <v>597</v>
      </c>
      <c r="D1898" s="2"/>
      <c r="E1898" s="2"/>
      <c r="AJ1898" s="3">
        <v>11</v>
      </c>
      <c r="AM1898" s="3">
        <v>10</v>
      </c>
      <c r="AP1898" s="3">
        <v>9.1999999999999993</v>
      </c>
    </row>
    <row r="1899" spans="1:61">
      <c r="B1899" s="103" t="s">
        <v>554</v>
      </c>
      <c r="C1899" s="1" t="s">
        <v>595</v>
      </c>
      <c r="D1899" s="2"/>
      <c r="E1899" s="2"/>
      <c r="U1899" s="3">
        <v>4.4000000000000004</v>
      </c>
      <c r="X1899" s="3">
        <v>4.4000000000000004</v>
      </c>
      <c r="Z1899" s="3">
        <f t="shared" ref="Z1899:Z1904" si="14">X1899-U1899</f>
        <v>0</v>
      </c>
      <c r="AA1899" s="3">
        <v>4</v>
      </c>
      <c r="AC1899" s="3">
        <f>AA1899-X1899</f>
        <v>-0.40000000000000036</v>
      </c>
      <c r="AD1899" s="24">
        <v>4</v>
      </c>
      <c r="AH1899" s="1" t="s">
        <v>285</v>
      </c>
      <c r="AJ1899" s="3">
        <v>8.1999999999999993</v>
      </c>
      <c r="AM1899" s="3">
        <v>7.5</v>
      </c>
      <c r="AP1899" s="3">
        <v>7</v>
      </c>
      <c r="AS1899" s="3">
        <v>7</v>
      </c>
      <c r="AV1899" s="3">
        <v>7</v>
      </c>
    </row>
    <row r="1900" spans="1:61" ht="9.6" customHeight="1">
      <c r="A1900" s="6">
        <v>12</v>
      </c>
      <c r="B1900" s="103" t="s">
        <v>554</v>
      </c>
      <c r="C1900" s="1" t="s">
        <v>594</v>
      </c>
      <c r="D1900" s="2"/>
      <c r="E1900" s="2"/>
      <c r="F1900" s="9">
        <v>2.08</v>
      </c>
      <c r="H1900" s="9">
        <v>2.08</v>
      </c>
      <c r="P1900" s="1" t="s">
        <v>285</v>
      </c>
      <c r="S1900" s="1" t="s">
        <v>285</v>
      </c>
      <c r="U1900" s="3">
        <v>5</v>
      </c>
      <c r="X1900" s="3">
        <v>5</v>
      </c>
      <c r="Z1900" s="3">
        <f t="shared" si="14"/>
        <v>0</v>
      </c>
      <c r="AA1900" s="3">
        <v>5.5</v>
      </c>
      <c r="AC1900" s="3">
        <f>AA1900-X1900</f>
        <v>0.5</v>
      </c>
      <c r="AH1900" s="1" t="s">
        <v>285</v>
      </c>
      <c r="AJ1900" s="3">
        <v>4.5999999999999996</v>
      </c>
      <c r="AM1900" s="3">
        <v>3.8</v>
      </c>
      <c r="AP1900" s="3">
        <v>3.1</v>
      </c>
      <c r="AS1900" s="3">
        <v>3.1</v>
      </c>
      <c r="AV1900" s="3">
        <v>3.1</v>
      </c>
      <c r="AZ1900" s="3">
        <v>6.8</v>
      </c>
      <c r="BC1900" s="3">
        <v>6.8</v>
      </c>
      <c r="BD1900" s="3">
        <v>7.04</v>
      </c>
      <c r="BG1900" s="3">
        <v>7.04</v>
      </c>
      <c r="BH1900" s="3">
        <v>6.5</v>
      </c>
    </row>
    <row r="1901" spans="1:61">
      <c r="A1901" s="6">
        <v>14</v>
      </c>
      <c r="B1901" s="103" t="s">
        <v>554</v>
      </c>
      <c r="C1901" s="1" t="s">
        <v>58</v>
      </c>
      <c r="D1901" s="2"/>
      <c r="E1901" s="2"/>
      <c r="F1901" s="9">
        <v>6.67</v>
      </c>
      <c r="H1901" s="9">
        <v>6.67</v>
      </c>
      <c r="P1901" s="1" t="s">
        <v>285</v>
      </c>
      <c r="S1901" s="1" t="s">
        <v>285</v>
      </c>
      <c r="U1901" s="3">
        <v>12.8</v>
      </c>
      <c r="X1901" s="3">
        <v>12.8</v>
      </c>
      <c r="Z1901" s="3">
        <f t="shared" si="14"/>
        <v>0</v>
      </c>
      <c r="AA1901" s="3">
        <v>11</v>
      </c>
      <c r="AC1901" s="3">
        <f>AA1901-X1901</f>
        <v>-1.8000000000000007</v>
      </c>
      <c r="AD1901" s="24">
        <v>11</v>
      </c>
      <c r="AH1901" s="1" t="s">
        <v>285</v>
      </c>
      <c r="AJ1901" s="3">
        <v>8</v>
      </c>
      <c r="AM1901" s="3">
        <v>7.7</v>
      </c>
      <c r="AP1901" s="3">
        <v>7.1</v>
      </c>
      <c r="AS1901" s="3">
        <v>7.1</v>
      </c>
      <c r="AV1901" s="3">
        <v>7.1</v>
      </c>
      <c r="AZ1901" s="3">
        <v>6.5</v>
      </c>
      <c r="BC1901" s="3">
        <v>6.5</v>
      </c>
      <c r="BD1901" s="3">
        <v>5.96</v>
      </c>
      <c r="BG1901" s="3">
        <v>5.96</v>
      </c>
      <c r="BH1901" s="3">
        <v>7.4</v>
      </c>
    </row>
    <row r="1902" spans="1:61">
      <c r="B1902" s="103" t="s">
        <v>554</v>
      </c>
      <c r="C1902" s="1" t="s">
        <v>64</v>
      </c>
      <c r="D1902" s="2"/>
      <c r="E1902" s="2"/>
      <c r="U1902" s="3">
        <v>16</v>
      </c>
      <c r="X1902" s="3">
        <v>16</v>
      </c>
      <c r="Z1902" s="3">
        <f t="shared" si="14"/>
        <v>0</v>
      </c>
      <c r="AA1902" s="3">
        <v>12</v>
      </c>
      <c r="AC1902" s="3">
        <f>AA1902-X1902</f>
        <v>-4</v>
      </c>
      <c r="AD1902" s="24">
        <v>12</v>
      </c>
      <c r="AH1902" s="1" t="s">
        <v>285</v>
      </c>
      <c r="AJ1902" s="3">
        <v>10</v>
      </c>
      <c r="AM1902" s="3">
        <v>9.4</v>
      </c>
      <c r="AP1902" s="3">
        <v>8.6999999999999993</v>
      </c>
      <c r="AS1902" s="3">
        <v>8.6999999999999993</v>
      </c>
      <c r="AV1902" s="3">
        <v>8.6999999999999993</v>
      </c>
      <c r="AZ1902" s="3">
        <v>6.3</v>
      </c>
      <c r="BC1902" s="3">
        <v>6.3</v>
      </c>
      <c r="BD1902" s="3">
        <v>7.32</v>
      </c>
      <c r="BG1902" s="3">
        <v>7.32</v>
      </c>
      <c r="BH1902" s="3">
        <v>8.8000000000000007</v>
      </c>
    </row>
    <row r="1903" spans="1:61">
      <c r="B1903" s="103" t="s">
        <v>554</v>
      </c>
      <c r="C1903" s="1" t="s">
        <v>286</v>
      </c>
      <c r="D1903" s="2"/>
      <c r="E1903" s="2"/>
      <c r="U1903" s="3">
        <v>16</v>
      </c>
      <c r="X1903" s="3">
        <v>16</v>
      </c>
      <c r="Z1903" s="3">
        <f t="shared" si="14"/>
        <v>0</v>
      </c>
      <c r="AA1903" s="3">
        <v>12.5</v>
      </c>
      <c r="AC1903" s="3">
        <f>AA1903-X1903</f>
        <v>-3.5</v>
      </c>
      <c r="AH1903" s="1" t="s">
        <v>285</v>
      </c>
      <c r="AJ1903" s="3">
        <v>9</v>
      </c>
      <c r="AM1903" s="3">
        <v>8.5</v>
      </c>
      <c r="AP1903" s="3">
        <v>8.1999999999999993</v>
      </c>
      <c r="AS1903" s="3">
        <v>8.1999999999999993</v>
      </c>
      <c r="AV1903" s="3">
        <v>8.1999999999999993</v>
      </c>
      <c r="AZ1903" s="3">
        <v>6.3</v>
      </c>
      <c r="BC1903" s="3">
        <v>6.3</v>
      </c>
      <c r="BD1903" s="3">
        <v>6.77</v>
      </c>
      <c r="BG1903" s="3">
        <v>6.77</v>
      </c>
      <c r="BH1903" s="3">
        <v>8.6999999999999993</v>
      </c>
    </row>
    <row r="1904" spans="1:61">
      <c r="B1904" s="103" t="s">
        <v>554</v>
      </c>
      <c r="C1904" s="1" t="s">
        <v>288</v>
      </c>
      <c r="D1904" s="2"/>
      <c r="E1904" s="2"/>
      <c r="U1904" s="3">
        <v>16</v>
      </c>
      <c r="X1904" s="3">
        <v>16</v>
      </c>
      <c r="Z1904" s="3">
        <f t="shared" si="14"/>
        <v>0</v>
      </c>
      <c r="AH1904" s="1" t="s">
        <v>285</v>
      </c>
      <c r="AJ1904" s="3">
        <v>9</v>
      </c>
      <c r="AM1904" s="3">
        <v>8.5</v>
      </c>
      <c r="AP1904" s="3">
        <v>8.1999999999999993</v>
      </c>
      <c r="AS1904" s="3">
        <v>8.1999999999999993</v>
      </c>
      <c r="AV1904" s="3">
        <v>8.1999999999999993</v>
      </c>
      <c r="AZ1904" s="3">
        <v>6.3</v>
      </c>
      <c r="BC1904" s="3">
        <v>6.3</v>
      </c>
      <c r="BD1904" s="3">
        <v>6.75</v>
      </c>
      <c r="BG1904" s="3">
        <v>6.75</v>
      </c>
      <c r="BH1904" s="3">
        <v>7.85</v>
      </c>
    </row>
    <row r="1905" spans="1:60">
      <c r="A1905" s="6">
        <v>11</v>
      </c>
      <c r="B1905" s="103" t="s">
        <v>554</v>
      </c>
      <c r="C1905" s="1" t="s">
        <v>57</v>
      </c>
      <c r="D1905" s="2"/>
      <c r="E1905" s="2"/>
      <c r="F1905" s="9">
        <v>0</v>
      </c>
      <c r="H1905" s="9">
        <v>0</v>
      </c>
      <c r="P1905" s="1" t="s">
        <v>285</v>
      </c>
      <c r="S1905" s="1" t="s">
        <v>285</v>
      </c>
      <c r="AH1905" s="1" t="s">
        <v>285</v>
      </c>
    </row>
    <row r="1906" spans="1:60">
      <c r="A1906" s="6">
        <v>1</v>
      </c>
      <c r="B1906" s="103" t="s">
        <v>417</v>
      </c>
      <c r="C1906" s="1" t="s">
        <v>52</v>
      </c>
      <c r="D1906" s="2"/>
      <c r="E1906" s="2"/>
      <c r="F1906" s="9">
        <v>0</v>
      </c>
      <c r="H1906" s="9">
        <v>0</v>
      </c>
    </row>
    <row r="1907" spans="1:60">
      <c r="A1907" s="6">
        <v>3</v>
      </c>
      <c r="B1907" s="103" t="s">
        <v>417</v>
      </c>
      <c r="C1907" s="1" t="s">
        <v>54</v>
      </c>
      <c r="D1907" s="2"/>
      <c r="E1907" s="2"/>
      <c r="F1907" s="9">
        <v>0</v>
      </c>
      <c r="H1907" s="9">
        <v>0</v>
      </c>
    </row>
    <row r="1908" spans="1:60">
      <c r="A1908" s="6">
        <v>4</v>
      </c>
      <c r="B1908" s="103" t="s">
        <v>417</v>
      </c>
      <c r="C1908" s="1" t="s">
        <v>55</v>
      </c>
      <c r="D1908" s="2"/>
      <c r="E1908" s="2"/>
      <c r="F1908" s="9">
        <v>0</v>
      </c>
      <c r="H1908" s="9">
        <v>0</v>
      </c>
    </row>
    <row r="1909" spans="1:60">
      <c r="A1909" s="6">
        <v>5</v>
      </c>
      <c r="B1909" s="103" t="s">
        <v>417</v>
      </c>
      <c r="C1909" s="1" t="s">
        <v>56</v>
      </c>
      <c r="D1909" s="2"/>
      <c r="E1909" s="2"/>
      <c r="F1909" s="9">
        <v>0</v>
      </c>
      <c r="H1909" s="9">
        <v>0</v>
      </c>
    </row>
    <row r="1910" spans="1:60">
      <c r="A1910" s="6">
        <v>2</v>
      </c>
      <c r="B1910" s="103" t="s">
        <v>417</v>
      </c>
      <c r="C1910" s="1" t="s">
        <v>53</v>
      </c>
      <c r="D1910" s="2">
        <v>10</v>
      </c>
      <c r="E1910" s="2"/>
      <c r="F1910" s="9">
        <v>14</v>
      </c>
      <c r="H1910" s="9">
        <v>14</v>
      </c>
      <c r="I1910" s="10">
        <f>H1910-D1910</f>
        <v>4</v>
      </c>
      <c r="K1910" s="3"/>
      <c r="L1910" s="1" t="s">
        <v>532</v>
      </c>
      <c r="M1910" s="3">
        <v>14</v>
      </c>
      <c r="O1910" s="3">
        <v>14</v>
      </c>
      <c r="P1910" s="1" t="s">
        <v>711</v>
      </c>
      <c r="Q1910" s="3">
        <f>O1910-H1910</f>
        <v>0</v>
      </c>
      <c r="R1910" s="3">
        <v>14.55</v>
      </c>
      <c r="S1910" s="1" t="s">
        <v>459</v>
      </c>
      <c r="T1910" s="3">
        <f>R1910-O1910</f>
        <v>0.55000000000000071</v>
      </c>
    </row>
    <row r="1911" spans="1:60">
      <c r="B1911" s="103" t="s">
        <v>417</v>
      </c>
      <c r="C1911" s="1" t="s">
        <v>595</v>
      </c>
      <c r="D1911" s="2"/>
      <c r="E1911" s="2"/>
      <c r="I1911" s="10"/>
      <c r="K1911" s="3"/>
      <c r="Q1911" s="3"/>
      <c r="T1911" s="3"/>
      <c r="AS1911" s="3">
        <v>9.1999999999999993</v>
      </c>
      <c r="AV1911" s="3">
        <v>7.35</v>
      </c>
      <c r="AY1911" s="3">
        <v>7.35</v>
      </c>
    </row>
    <row r="1912" spans="1:60">
      <c r="A1912" s="6">
        <v>12</v>
      </c>
      <c r="B1912" s="103" t="s">
        <v>417</v>
      </c>
      <c r="C1912" s="1" t="s">
        <v>594</v>
      </c>
      <c r="D1912" s="2">
        <v>7</v>
      </c>
      <c r="E1912" s="2"/>
      <c r="F1912" s="9">
        <v>7.1</v>
      </c>
      <c r="H1912" s="9">
        <v>7.1</v>
      </c>
      <c r="I1912" s="8">
        <f>H1912-D1912</f>
        <v>9.9999999999999645E-2</v>
      </c>
      <c r="K1912" s="3"/>
      <c r="M1912" s="3">
        <v>9</v>
      </c>
      <c r="O1912" s="3">
        <v>9</v>
      </c>
      <c r="P1912" s="1" t="s">
        <v>711</v>
      </c>
      <c r="Q1912" s="3">
        <f>O1912-H1912</f>
        <v>1.9000000000000004</v>
      </c>
      <c r="R1912" s="3">
        <v>7.55</v>
      </c>
      <c r="S1912" s="1" t="s">
        <v>460</v>
      </c>
      <c r="T1912" s="3">
        <f>R1912-O1912</f>
        <v>-1.4500000000000002</v>
      </c>
      <c r="U1912" s="3">
        <v>5.0999999999999996</v>
      </c>
      <c r="W1912" s="3">
        <f>U1912-R1912</f>
        <v>-2.4500000000000002</v>
      </c>
      <c r="X1912" s="3">
        <v>8</v>
      </c>
      <c r="Z1912" s="3">
        <f>X1912-U1912</f>
        <v>2.9000000000000004</v>
      </c>
      <c r="AA1912" s="3">
        <v>8.5</v>
      </c>
      <c r="AC1912" s="3">
        <f>AA1912-X1912</f>
        <v>0.5</v>
      </c>
      <c r="AD1912" s="24">
        <v>4.5</v>
      </c>
      <c r="AF1912" s="24">
        <f>AD1912-AA1912</f>
        <v>-4</v>
      </c>
      <c r="AG1912" s="3">
        <v>5.45</v>
      </c>
      <c r="AI1912" s="3">
        <f>AG1912-AD1912</f>
        <v>0.95000000000000018</v>
      </c>
      <c r="AJ1912" s="3">
        <v>3.85</v>
      </c>
      <c r="AL1912" s="3">
        <f>AJ1912-AG1912</f>
        <v>-1.6</v>
      </c>
      <c r="AM1912" s="3">
        <v>7.4</v>
      </c>
      <c r="AO1912" s="3">
        <f>AM1912-AJ1912</f>
        <v>3.5500000000000003</v>
      </c>
      <c r="AP1912" s="3">
        <v>7.4</v>
      </c>
      <c r="AS1912" s="3">
        <v>14.5</v>
      </c>
      <c r="AV1912" s="3">
        <v>14.7</v>
      </c>
      <c r="AY1912" s="3">
        <v>14.7</v>
      </c>
      <c r="AZ1912" s="3">
        <v>17.22</v>
      </c>
      <c r="BC1912" s="3">
        <v>17.22</v>
      </c>
      <c r="BD1912" s="3">
        <v>17.2</v>
      </c>
      <c r="BG1912" s="3">
        <v>17.2</v>
      </c>
      <c r="BH1912" s="3">
        <v>17.2</v>
      </c>
    </row>
    <row r="1913" spans="1:60">
      <c r="A1913" s="6">
        <v>14</v>
      </c>
      <c r="B1913" s="103" t="s">
        <v>417</v>
      </c>
      <c r="C1913" s="1" t="s">
        <v>58</v>
      </c>
      <c r="D1913" s="2">
        <v>12</v>
      </c>
      <c r="E1913" s="2"/>
      <c r="F1913" s="9">
        <v>14</v>
      </c>
      <c r="H1913" s="9">
        <v>14</v>
      </c>
      <c r="I1913" s="8">
        <f>H1913-D1913</f>
        <v>2</v>
      </c>
      <c r="K1913" s="3"/>
      <c r="L1913" s="1" t="s">
        <v>590</v>
      </c>
      <c r="M1913" s="3">
        <v>11</v>
      </c>
      <c r="O1913" s="3">
        <v>11</v>
      </c>
      <c r="P1913" s="1" t="s">
        <v>712</v>
      </c>
      <c r="Q1913" s="3">
        <f>O1913-H1913</f>
        <v>-3</v>
      </c>
      <c r="R1913" s="3">
        <v>14.5</v>
      </c>
      <c r="S1913" s="1" t="s">
        <v>461</v>
      </c>
      <c r="T1913" s="3">
        <f>R1913-O1913</f>
        <v>3.5</v>
      </c>
      <c r="U1913" s="3">
        <v>10.3</v>
      </c>
      <c r="W1913" s="3">
        <f>U1913-R1913</f>
        <v>-4.1999999999999993</v>
      </c>
      <c r="X1913" s="3">
        <v>14.8</v>
      </c>
      <c r="Z1913" s="3">
        <f>X1913-U1913</f>
        <v>4.5</v>
      </c>
      <c r="AA1913" s="3">
        <v>18.600000000000001</v>
      </c>
      <c r="AC1913" s="3">
        <f>AA1913-X1913</f>
        <v>3.8000000000000007</v>
      </c>
      <c r="AD1913" s="24">
        <v>10.8</v>
      </c>
      <c r="AF1913" s="24">
        <f>AD1913-AA1913</f>
        <v>-7.8000000000000007</v>
      </c>
      <c r="AG1913" s="3">
        <v>9.5399999999999991</v>
      </c>
      <c r="AI1913" s="3">
        <f>AG1913-AD1913</f>
        <v>-1.2600000000000016</v>
      </c>
      <c r="AJ1913" s="3">
        <v>7.5</v>
      </c>
      <c r="AL1913" s="3">
        <f>AJ1913-AG1913</f>
        <v>-2.0399999999999991</v>
      </c>
      <c r="AM1913" s="3">
        <v>8.5</v>
      </c>
      <c r="AO1913" s="3">
        <f>AM1913-AJ1913</f>
        <v>1</v>
      </c>
      <c r="AP1913" s="3">
        <v>8.5</v>
      </c>
      <c r="AS1913" s="3">
        <v>10.6</v>
      </c>
      <c r="AV1913" s="3">
        <v>12.05</v>
      </c>
      <c r="AY1913" s="3">
        <v>12.05</v>
      </c>
      <c r="AZ1913" s="3">
        <v>11.48</v>
      </c>
      <c r="BC1913" s="3">
        <v>11.48</v>
      </c>
      <c r="BD1913" s="3">
        <v>10.3</v>
      </c>
      <c r="BG1913" s="3">
        <v>10.3</v>
      </c>
      <c r="BH1913" s="3">
        <v>10.3</v>
      </c>
    </row>
    <row r="1914" spans="1:60">
      <c r="B1914" s="103" t="s">
        <v>417</v>
      </c>
      <c r="C1914" s="1" t="s">
        <v>607</v>
      </c>
      <c r="D1914" s="2"/>
      <c r="E1914" s="2"/>
      <c r="I1914" s="8"/>
      <c r="K1914" s="3"/>
      <c r="Q1914" s="3"/>
      <c r="T1914" s="3"/>
      <c r="W1914" s="3"/>
      <c r="AC1914" s="3"/>
      <c r="AF1914" s="24"/>
      <c r="AI1914" s="3"/>
      <c r="AL1914" s="3"/>
      <c r="AO1914" s="3"/>
      <c r="BG1914" s="3">
        <v>12.9</v>
      </c>
      <c r="BH1914" s="3">
        <v>12.9</v>
      </c>
    </row>
    <row r="1915" spans="1:60">
      <c r="B1915" s="103" t="s">
        <v>417</v>
      </c>
      <c r="C1915" s="1" t="s">
        <v>857</v>
      </c>
      <c r="D1915" s="2"/>
      <c r="E1915" s="2"/>
      <c r="I1915" s="8"/>
      <c r="K1915" s="3"/>
      <c r="Q1915" s="3"/>
      <c r="T1915" s="3"/>
      <c r="W1915" s="3"/>
      <c r="AC1915" s="3"/>
      <c r="AF1915" s="24"/>
      <c r="AI1915" s="3"/>
      <c r="AL1915" s="3"/>
      <c r="AO1915" s="3"/>
      <c r="BG1915" s="3">
        <v>8.3000000000000007</v>
      </c>
      <c r="BH1915" s="3">
        <v>8.3000000000000007</v>
      </c>
    </row>
    <row r="1916" spans="1:60">
      <c r="B1916" s="103" t="s">
        <v>417</v>
      </c>
      <c r="C1916" s="1" t="s">
        <v>289</v>
      </c>
      <c r="D1916" s="2"/>
      <c r="E1916" s="2"/>
      <c r="I1916" s="8"/>
      <c r="K1916" s="3"/>
      <c r="R1916" s="3">
        <v>83</v>
      </c>
      <c r="S1916" s="1" t="s">
        <v>711</v>
      </c>
      <c r="T1916" s="3"/>
      <c r="U1916" s="3">
        <v>13.9</v>
      </c>
      <c r="W1916" s="3">
        <f>U1916-R1916</f>
        <v>-69.099999999999994</v>
      </c>
      <c r="X1916" s="3">
        <v>10.3</v>
      </c>
      <c r="Z1916" s="3">
        <f>X1916-U1916</f>
        <v>-3.5999999999999996</v>
      </c>
      <c r="AA1916" s="3">
        <v>10.6</v>
      </c>
      <c r="AC1916" s="3">
        <f>AA1916-X1916</f>
        <v>0.29999999999999893</v>
      </c>
      <c r="AD1916" s="24">
        <v>7.5</v>
      </c>
      <c r="AF1916" s="24">
        <f>AD1916-AA1916</f>
        <v>-3.0999999999999996</v>
      </c>
      <c r="AG1916" s="3">
        <v>8.56</v>
      </c>
      <c r="AI1916" s="3">
        <f>AG1916-AD1916</f>
        <v>1.0600000000000005</v>
      </c>
      <c r="AJ1916" s="3">
        <v>6.36</v>
      </c>
      <c r="AL1916" s="3">
        <f>AJ1916-AG1916</f>
        <v>-2.2000000000000002</v>
      </c>
      <c r="AM1916" s="3">
        <v>7.7</v>
      </c>
      <c r="AO1916" s="3">
        <f>AM1916-AJ1916</f>
        <v>1.3399999999999999</v>
      </c>
      <c r="AP1916" s="3">
        <v>7.7</v>
      </c>
      <c r="AS1916" s="3">
        <v>10</v>
      </c>
      <c r="AV1916" s="3">
        <v>8.4600000000000009</v>
      </c>
      <c r="AY1916" s="3">
        <v>8.4600000000000009</v>
      </c>
      <c r="AZ1916" s="3">
        <v>8.0399999999999991</v>
      </c>
      <c r="BC1916" s="3">
        <v>8.0399999999999991</v>
      </c>
      <c r="BD1916" s="3">
        <v>8</v>
      </c>
      <c r="BG1916" s="3">
        <v>8</v>
      </c>
      <c r="BH1916" s="3">
        <v>8</v>
      </c>
    </row>
    <row r="1917" spans="1:60">
      <c r="B1917" s="103" t="s">
        <v>417</v>
      </c>
      <c r="C1917" s="1" t="s">
        <v>290</v>
      </c>
      <c r="D1917" s="2"/>
      <c r="E1917" s="2"/>
      <c r="I1917" s="8"/>
      <c r="K1917" s="3"/>
      <c r="T1917" s="3"/>
      <c r="X1917" s="3">
        <v>10.7</v>
      </c>
      <c r="AA1917" s="3">
        <v>13.1</v>
      </c>
      <c r="AC1917" s="3">
        <f>AA1917-X1917</f>
        <v>2.4000000000000004</v>
      </c>
      <c r="AD1917" s="24">
        <v>17.899999999999999</v>
      </c>
      <c r="AF1917" s="24">
        <f>AD1917-AA1917</f>
        <v>4.7999999999999989</v>
      </c>
      <c r="AG1917" s="3">
        <v>16.32</v>
      </c>
      <c r="AI1917" s="3">
        <f>AG1917-AD1917</f>
        <v>-1.5799999999999983</v>
      </c>
      <c r="AM1917" s="3">
        <v>11.5</v>
      </c>
      <c r="AP1917" s="3">
        <v>11.5</v>
      </c>
      <c r="AS1917" s="3">
        <v>17.399999999999999</v>
      </c>
      <c r="AV1917" s="3">
        <v>11</v>
      </c>
      <c r="AY1917" s="3">
        <v>11</v>
      </c>
      <c r="AZ1917" s="3">
        <v>14.35</v>
      </c>
      <c r="BC1917" s="3">
        <v>14.35</v>
      </c>
      <c r="BD1917" s="3">
        <v>11.5</v>
      </c>
      <c r="BG1917" s="3">
        <v>11.5</v>
      </c>
      <c r="BH1917" s="3">
        <v>11.5</v>
      </c>
    </row>
    <row r="1918" spans="1:60">
      <c r="B1918" s="103" t="s">
        <v>417</v>
      </c>
      <c r="C1918" s="1" t="s">
        <v>64</v>
      </c>
      <c r="D1918" s="2"/>
      <c r="E1918" s="2"/>
      <c r="I1918" s="8"/>
      <c r="K1918" s="3"/>
      <c r="M1918" s="3">
        <v>14</v>
      </c>
      <c r="O1918" s="3">
        <v>14</v>
      </c>
      <c r="P1918" s="1" t="s">
        <v>711</v>
      </c>
      <c r="R1918" s="3">
        <v>15.4</v>
      </c>
      <c r="S1918" s="1" t="s">
        <v>462</v>
      </c>
      <c r="T1918" s="3">
        <f>R1918-O1918</f>
        <v>1.4000000000000004</v>
      </c>
      <c r="U1918" s="3">
        <v>11.9</v>
      </c>
      <c r="W1918" s="3">
        <f>U1918-R1918</f>
        <v>-3.5</v>
      </c>
      <c r="X1918" s="3">
        <v>19.3</v>
      </c>
      <c r="Z1918" s="3">
        <f>X1918-U1918</f>
        <v>7.4</v>
      </c>
      <c r="AA1918" s="3">
        <v>23.3</v>
      </c>
      <c r="AC1918" s="3">
        <f>AA1918-X1918</f>
        <v>4</v>
      </c>
      <c r="AD1918" s="24">
        <v>12.6</v>
      </c>
      <c r="AF1918" s="24">
        <f>AD1918-AA1918</f>
        <v>-10.700000000000001</v>
      </c>
      <c r="AG1918" s="3">
        <v>11.91</v>
      </c>
      <c r="AI1918" s="3">
        <f>AG1918-AD1918</f>
        <v>-0.6899999999999995</v>
      </c>
      <c r="AJ1918" s="3">
        <v>9.11</v>
      </c>
      <c r="AL1918" s="3">
        <f>AJ1918-AG1918</f>
        <v>-2.8000000000000007</v>
      </c>
      <c r="AM1918" s="3">
        <v>10.1</v>
      </c>
      <c r="AO1918" s="3">
        <f>AM1918-AJ1918</f>
        <v>0.99000000000000021</v>
      </c>
      <c r="AP1918" s="3">
        <v>10.1</v>
      </c>
      <c r="AS1918" s="3">
        <v>12.6</v>
      </c>
      <c r="AV1918" s="3">
        <v>14.45</v>
      </c>
      <c r="AY1918" s="3">
        <v>14.45</v>
      </c>
      <c r="AZ1918" s="3">
        <v>13.77</v>
      </c>
      <c r="BC1918" s="3">
        <v>13.77</v>
      </c>
      <c r="BD1918" s="3">
        <v>11.5</v>
      </c>
      <c r="BG1918" s="3">
        <v>11.5</v>
      </c>
      <c r="BH1918" s="3">
        <v>11.5</v>
      </c>
    </row>
    <row r="1919" spans="1:60">
      <c r="B1919" s="103" t="s">
        <v>417</v>
      </c>
      <c r="C1919" s="1" t="s">
        <v>286</v>
      </c>
      <c r="D1919" s="2"/>
      <c r="E1919" s="2"/>
      <c r="I1919" s="8"/>
      <c r="K1919" s="3"/>
      <c r="M1919" s="3">
        <v>17</v>
      </c>
      <c r="O1919" s="3">
        <v>17</v>
      </c>
      <c r="P1919" s="1" t="s">
        <v>711</v>
      </c>
      <c r="R1919" s="3">
        <v>15.4</v>
      </c>
      <c r="S1919" s="1" t="s">
        <v>462</v>
      </c>
      <c r="T1919" s="3">
        <f>R1919-O1919</f>
        <v>-1.5999999999999996</v>
      </c>
      <c r="U1919" s="3">
        <v>11.9</v>
      </c>
      <c r="W1919" s="3">
        <f>U1919-R1919</f>
        <v>-3.5</v>
      </c>
      <c r="X1919" s="3">
        <v>19.2</v>
      </c>
      <c r="Z1919" s="3">
        <f>X1919-U1919</f>
        <v>7.2999999999999989</v>
      </c>
      <c r="AA1919" s="3">
        <v>22.5</v>
      </c>
      <c r="AC1919" s="3">
        <f>AA1919-X1919</f>
        <v>3.3000000000000007</v>
      </c>
      <c r="AD1919" s="24">
        <v>15.8</v>
      </c>
      <c r="AF1919" s="24">
        <f>AD1919-AA1919</f>
        <v>-6.6999999999999993</v>
      </c>
      <c r="AG1919" s="3">
        <v>12.8</v>
      </c>
      <c r="AI1919" s="3">
        <f>AG1919-AD1919</f>
        <v>-3</v>
      </c>
      <c r="AJ1919" s="3">
        <v>10.74</v>
      </c>
      <c r="AL1919" s="3">
        <f>AJ1919-AG1919</f>
        <v>-2.0600000000000005</v>
      </c>
      <c r="AM1919" s="3">
        <v>8.8000000000000007</v>
      </c>
      <c r="AO1919" s="3">
        <f>AM1919-AJ1919</f>
        <v>-1.9399999999999995</v>
      </c>
      <c r="AP1919" s="3">
        <v>8.8000000000000007</v>
      </c>
      <c r="AS1919" s="3">
        <v>11</v>
      </c>
      <c r="AV1919" s="3">
        <v>14.45</v>
      </c>
      <c r="AY1919" s="3">
        <v>14.45</v>
      </c>
      <c r="AZ1919" s="3">
        <v>13.77</v>
      </c>
      <c r="BC1919" s="3">
        <v>13.77</v>
      </c>
      <c r="BD1919" s="3">
        <v>11.5</v>
      </c>
      <c r="BG1919" s="3">
        <v>11.5</v>
      </c>
      <c r="BH1919" s="3">
        <v>11.5</v>
      </c>
    </row>
    <row r="1920" spans="1:60">
      <c r="B1920" s="103" t="s">
        <v>417</v>
      </c>
      <c r="C1920" s="1" t="s">
        <v>288</v>
      </c>
      <c r="D1920" s="2"/>
      <c r="E1920" s="2"/>
      <c r="I1920" s="8"/>
      <c r="K1920" s="3"/>
      <c r="T1920" s="3"/>
      <c r="U1920" s="3">
        <v>11.9</v>
      </c>
      <c r="X1920" s="3">
        <v>19.2</v>
      </c>
      <c r="Z1920" s="3">
        <f>X1920-U1920</f>
        <v>7.2999999999999989</v>
      </c>
      <c r="AA1920" s="3">
        <v>20.8</v>
      </c>
      <c r="AC1920" s="3">
        <f>AA1920-X1920</f>
        <v>1.6000000000000014</v>
      </c>
      <c r="AD1920" s="24">
        <v>14.7</v>
      </c>
      <c r="AF1920" s="24">
        <f>AD1920-AA1920</f>
        <v>-6.1000000000000014</v>
      </c>
      <c r="AG1920" s="3">
        <v>12.8</v>
      </c>
      <c r="AI1920" s="3">
        <f>AG1920-AD1920</f>
        <v>-1.8999999999999986</v>
      </c>
      <c r="AJ1920" s="3">
        <v>10.01</v>
      </c>
      <c r="AL1920" s="3">
        <f>AJ1920-AG1920</f>
        <v>-2.7900000000000009</v>
      </c>
      <c r="AM1920" s="3">
        <v>8.8000000000000007</v>
      </c>
      <c r="AO1920" s="3">
        <f>AM1920-AJ1920</f>
        <v>-1.2099999999999991</v>
      </c>
      <c r="AP1920" s="3">
        <v>8.8000000000000007</v>
      </c>
      <c r="AS1920" s="3">
        <v>11.7</v>
      </c>
      <c r="AV1920" s="3">
        <v>14.45</v>
      </c>
      <c r="AY1920" s="3">
        <v>14.45</v>
      </c>
      <c r="AZ1920" s="3">
        <v>13.77</v>
      </c>
      <c r="BC1920" s="3">
        <v>13.77</v>
      </c>
      <c r="BD1920" s="3">
        <v>11.5</v>
      </c>
      <c r="BG1920" s="3">
        <v>11.5</v>
      </c>
      <c r="BH1920" s="3">
        <v>11.5</v>
      </c>
    </row>
    <row r="1921" spans="1:60">
      <c r="A1921" s="6">
        <v>11</v>
      </c>
      <c r="B1921" s="103" t="s">
        <v>417</v>
      </c>
      <c r="C1921" s="1" t="s">
        <v>57</v>
      </c>
      <c r="D1921" s="2"/>
      <c r="E1921" s="2"/>
      <c r="F1921" s="9">
        <v>0</v>
      </c>
      <c r="H1921" s="9">
        <v>0</v>
      </c>
    </row>
    <row r="1922" spans="1:60">
      <c r="B1922" s="103" t="s">
        <v>417</v>
      </c>
      <c r="C1922" s="1" t="s">
        <v>287</v>
      </c>
      <c r="D1922" s="2"/>
      <c r="E1922" s="2"/>
      <c r="I1922" s="8"/>
      <c r="K1922" s="3"/>
      <c r="T1922" s="3"/>
      <c r="U1922" s="3">
        <v>11.1</v>
      </c>
      <c r="X1922" s="3">
        <v>19.3</v>
      </c>
      <c r="Z1922" s="3">
        <f>X1922-U1922</f>
        <v>8.2000000000000011</v>
      </c>
      <c r="AA1922" s="3">
        <v>20.8</v>
      </c>
      <c r="AC1922" s="3">
        <f>AA1922-X1922</f>
        <v>1.5</v>
      </c>
      <c r="AD1922" s="24">
        <v>15.5</v>
      </c>
      <c r="AF1922" s="24">
        <f>AD1922-AA1922</f>
        <v>-5.3000000000000007</v>
      </c>
      <c r="AG1922" s="3">
        <v>13.46</v>
      </c>
      <c r="AI1922" s="3">
        <f>AG1922-AD1922</f>
        <v>-2.0399999999999991</v>
      </c>
      <c r="AJ1922" s="3">
        <v>10.49</v>
      </c>
      <c r="AL1922" s="3">
        <f>AJ1922-AG1922</f>
        <v>-2.9700000000000006</v>
      </c>
      <c r="AM1922" s="3">
        <v>10.199999999999999</v>
      </c>
      <c r="AO1922" s="3">
        <f>AM1922-AJ1922</f>
        <v>-0.29000000000000092</v>
      </c>
      <c r="AP1922" s="3">
        <v>10.199999999999999</v>
      </c>
      <c r="AS1922" s="3">
        <v>12.8</v>
      </c>
      <c r="AV1922" s="3">
        <v>14.45</v>
      </c>
      <c r="AY1922" s="3">
        <v>14.45</v>
      </c>
      <c r="AZ1922" s="3">
        <v>13.77</v>
      </c>
      <c r="BC1922" s="3">
        <v>13.77</v>
      </c>
      <c r="BD1922" s="3">
        <v>11.5</v>
      </c>
      <c r="BG1922" s="3">
        <v>11.5</v>
      </c>
      <c r="BH1922" s="3">
        <v>11.5</v>
      </c>
    </row>
    <row r="1923" spans="1:60">
      <c r="A1923" s="6">
        <v>1</v>
      </c>
      <c r="B1923" s="103" t="s">
        <v>773</v>
      </c>
      <c r="C1923" s="1" t="s">
        <v>52</v>
      </c>
      <c r="D1923" s="2" t="s">
        <v>285</v>
      </c>
      <c r="E1923" s="2"/>
      <c r="F1923" s="9">
        <v>0</v>
      </c>
      <c r="H1923" s="9">
        <v>0</v>
      </c>
      <c r="K1923" s="3"/>
      <c r="Y1923" s="1" t="s">
        <v>285</v>
      </c>
      <c r="AQ1923" s="1" t="s">
        <v>285</v>
      </c>
      <c r="AT1923" s="1" t="s">
        <v>285</v>
      </c>
      <c r="AW1923" s="1" t="s">
        <v>458</v>
      </c>
    </row>
    <row r="1924" spans="1:60">
      <c r="A1924" s="6">
        <v>3</v>
      </c>
      <c r="B1924" s="103" t="s">
        <v>773</v>
      </c>
      <c r="C1924" s="1" t="s">
        <v>54</v>
      </c>
      <c r="D1924" s="2" t="s">
        <v>285</v>
      </c>
      <c r="E1924" s="2"/>
      <c r="F1924" s="9">
        <v>0</v>
      </c>
      <c r="H1924" s="9">
        <v>0</v>
      </c>
      <c r="K1924" s="3"/>
      <c r="Y1924" s="1" t="s">
        <v>285</v>
      </c>
      <c r="AQ1924" s="1" t="s">
        <v>285</v>
      </c>
      <c r="AT1924" s="1" t="s">
        <v>285</v>
      </c>
      <c r="AW1924" s="1" t="s">
        <v>458</v>
      </c>
    </row>
    <row r="1925" spans="1:60">
      <c r="A1925" s="6">
        <v>4</v>
      </c>
      <c r="B1925" s="103" t="s">
        <v>773</v>
      </c>
      <c r="C1925" s="1" t="s">
        <v>55</v>
      </c>
      <c r="D1925" s="2" t="s">
        <v>285</v>
      </c>
      <c r="E1925" s="2"/>
      <c r="F1925" s="9">
        <v>0</v>
      </c>
      <c r="H1925" s="9">
        <v>0</v>
      </c>
      <c r="K1925" s="3"/>
      <c r="Y1925" s="1" t="s">
        <v>285</v>
      </c>
      <c r="AQ1925" s="1" t="s">
        <v>285</v>
      </c>
      <c r="AT1925" s="1" t="s">
        <v>285</v>
      </c>
      <c r="AW1925" s="1" t="s">
        <v>458</v>
      </c>
    </row>
    <row r="1926" spans="1:60">
      <c r="A1926" s="6">
        <v>5</v>
      </c>
      <c r="B1926" s="103" t="s">
        <v>773</v>
      </c>
      <c r="C1926" s="1" t="s">
        <v>56</v>
      </c>
      <c r="D1926" s="2" t="s">
        <v>285</v>
      </c>
      <c r="E1926" s="2"/>
      <c r="F1926" s="9">
        <v>0</v>
      </c>
      <c r="H1926" s="9">
        <v>0</v>
      </c>
      <c r="K1926" s="3"/>
      <c r="Y1926" s="1" t="s">
        <v>285</v>
      </c>
      <c r="AQ1926" s="1" t="s">
        <v>285</v>
      </c>
      <c r="AT1926" s="1" t="s">
        <v>285</v>
      </c>
      <c r="AW1926" s="1" t="s">
        <v>458</v>
      </c>
    </row>
    <row r="1927" spans="1:60">
      <c r="A1927" s="6">
        <v>2</v>
      </c>
      <c r="B1927" s="103" t="s">
        <v>773</v>
      </c>
      <c r="C1927" s="1" t="s">
        <v>53</v>
      </c>
      <c r="D1927" s="2" t="s">
        <v>285</v>
      </c>
      <c r="E1927" s="2"/>
      <c r="F1927" s="9">
        <v>20</v>
      </c>
      <c r="H1927" s="9">
        <v>20</v>
      </c>
      <c r="K1927" s="3"/>
      <c r="L1927" s="1" t="s">
        <v>272</v>
      </c>
      <c r="M1927" s="3">
        <v>18</v>
      </c>
      <c r="O1927" s="3">
        <v>18</v>
      </c>
      <c r="R1927" s="3">
        <v>25</v>
      </c>
      <c r="T1927" s="3">
        <f>R1927-O1927</f>
        <v>7</v>
      </c>
      <c r="Y1927" s="1" t="s">
        <v>285</v>
      </c>
      <c r="AQ1927" s="1" t="s">
        <v>285</v>
      </c>
      <c r="AT1927" s="1" t="s">
        <v>285</v>
      </c>
      <c r="AW1927" s="1" t="s">
        <v>458</v>
      </c>
    </row>
    <row r="1928" spans="1:60">
      <c r="B1928" s="103" t="s">
        <v>773</v>
      </c>
      <c r="C1928" s="1" t="s">
        <v>595</v>
      </c>
      <c r="D1928" s="2"/>
      <c r="E1928" s="2"/>
      <c r="K1928" s="3"/>
      <c r="AD1928" s="24">
        <v>15</v>
      </c>
      <c r="AG1928" s="3">
        <v>15</v>
      </c>
      <c r="AI1928" s="3">
        <f>AG1928-AD1928</f>
        <v>0</v>
      </c>
      <c r="AJ1928" s="3">
        <v>20</v>
      </c>
      <c r="AL1928" s="3">
        <f>AJ1928-AG1928</f>
        <v>5</v>
      </c>
      <c r="AQ1928" s="1" t="s">
        <v>285</v>
      </c>
      <c r="AT1928" s="1" t="s">
        <v>285</v>
      </c>
      <c r="AW1928" s="1" t="s">
        <v>458</v>
      </c>
    </row>
    <row r="1929" spans="1:60" ht="9" customHeight="1">
      <c r="B1929" s="103" t="s">
        <v>773</v>
      </c>
      <c r="C1929" s="1" t="s">
        <v>596</v>
      </c>
      <c r="D1929" s="2"/>
      <c r="E1929" s="2"/>
      <c r="K1929" s="3"/>
      <c r="AD1929" s="24">
        <v>15</v>
      </c>
      <c r="AG1929" s="3">
        <v>15</v>
      </c>
      <c r="AJ1929" s="3">
        <v>18</v>
      </c>
      <c r="AQ1929" s="1" t="s">
        <v>285</v>
      </c>
      <c r="AT1929" s="1" t="s">
        <v>285</v>
      </c>
      <c r="AW1929" s="1" t="s">
        <v>458</v>
      </c>
    </row>
    <row r="1930" spans="1:60">
      <c r="A1930" s="6">
        <v>12</v>
      </c>
      <c r="B1930" s="103" t="s">
        <v>773</v>
      </c>
      <c r="C1930" s="1" t="s">
        <v>594</v>
      </c>
      <c r="D1930" s="2" t="s">
        <v>285</v>
      </c>
      <c r="E1930" s="2"/>
      <c r="F1930" s="9">
        <v>4</v>
      </c>
      <c r="H1930" s="9">
        <v>4</v>
      </c>
      <c r="K1930" s="3"/>
      <c r="M1930" s="3">
        <v>5</v>
      </c>
      <c r="O1930" s="3">
        <v>5</v>
      </c>
      <c r="R1930" s="3">
        <v>15</v>
      </c>
      <c r="T1930" s="3">
        <f>R1930-O1930</f>
        <v>10</v>
      </c>
      <c r="U1930" s="3">
        <v>10</v>
      </c>
      <c r="W1930" s="3">
        <f>U1930-R1930</f>
        <v>-5</v>
      </c>
      <c r="Y1930" s="1" t="s">
        <v>285</v>
      </c>
      <c r="AA1930" s="3">
        <v>9</v>
      </c>
      <c r="AD1930" s="24">
        <v>9</v>
      </c>
      <c r="AG1930" s="3">
        <v>10</v>
      </c>
      <c r="AI1930" s="3">
        <f>AG1930-AD1930</f>
        <v>1</v>
      </c>
      <c r="AJ1930" s="3">
        <v>27</v>
      </c>
      <c r="AL1930" s="3">
        <f>AJ1930-AG1930</f>
        <v>17</v>
      </c>
      <c r="AM1930" s="3">
        <v>9</v>
      </c>
      <c r="AO1930" s="3">
        <f>AM1930-AJ1930</f>
        <v>-18</v>
      </c>
      <c r="AQ1930" s="1" t="s">
        <v>285</v>
      </c>
      <c r="AT1930" s="1" t="s">
        <v>285</v>
      </c>
      <c r="AW1930" s="1" t="s">
        <v>458</v>
      </c>
      <c r="AZ1930" s="3">
        <v>15</v>
      </c>
      <c r="BD1930" s="3">
        <v>15</v>
      </c>
      <c r="BH1930" s="3">
        <v>15</v>
      </c>
    </row>
    <row r="1931" spans="1:60">
      <c r="A1931" s="6">
        <v>14</v>
      </c>
      <c r="B1931" s="103" t="s">
        <v>773</v>
      </c>
      <c r="C1931" s="1" t="s">
        <v>58</v>
      </c>
      <c r="D1931" s="2" t="s">
        <v>285</v>
      </c>
      <c r="E1931" s="2"/>
      <c r="F1931" s="9">
        <v>22.2</v>
      </c>
      <c r="H1931" s="9">
        <v>22.2</v>
      </c>
      <c r="K1931" s="3"/>
      <c r="L1931" s="1" t="s">
        <v>107</v>
      </c>
      <c r="M1931" s="3">
        <v>20</v>
      </c>
      <c r="O1931" s="3">
        <v>20</v>
      </c>
      <c r="R1931" s="3">
        <v>16</v>
      </c>
      <c r="T1931" s="3">
        <f>R1931-O1931</f>
        <v>-4</v>
      </c>
      <c r="U1931" s="3">
        <v>16</v>
      </c>
      <c r="W1931" s="3">
        <f>U1931-R1931</f>
        <v>0</v>
      </c>
      <c r="Y1931" s="1" t="s">
        <v>285</v>
      </c>
      <c r="AA1931" s="3">
        <v>16</v>
      </c>
      <c r="AD1931" s="24">
        <v>16</v>
      </c>
      <c r="AG1931" s="3">
        <v>46</v>
      </c>
      <c r="AI1931" s="3">
        <f>AG1931-AD1931</f>
        <v>30</v>
      </c>
      <c r="AM1931" s="3">
        <v>16</v>
      </c>
      <c r="AO1931" s="3"/>
      <c r="AQ1931" s="1" t="s">
        <v>285</v>
      </c>
      <c r="AT1931" s="1" t="s">
        <v>285</v>
      </c>
      <c r="AW1931" s="1" t="s">
        <v>458</v>
      </c>
      <c r="AZ1931" s="3">
        <v>25</v>
      </c>
      <c r="BD1931" s="3">
        <v>20</v>
      </c>
      <c r="BH1931" s="3">
        <v>20</v>
      </c>
    </row>
    <row r="1932" spans="1:60">
      <c r="B1932" s="103" t="s">
        <v>773</v>
      </c>
      <c r="C1932" s="1" t="s">
        <v>289</v>
      </c>
      <c r="D1932" s="2"/>
      <c r="E1932" s="2"/>
      <c r="K1932" s="3"/>
      <c r="AD1932" s="24">
        <v>50</v>
      </c>
      <c r="AQ1932" s="1" t="s">
        <v>285</v>
      </c>
      <c r="AT1932" s="1" t="s">
        <v>285</v>
      </c>
      <c r="AW1932" s="1" t="s">
        <v>458</v>
      </c>
      <c r="AZ1932" s="3">
        <v>30</v>
      </c>
      <c r="BD1932" s="3">
        <v>25</v>
      </c>
      <c r="BH1932" s="3">
        <v>25</v>
      </c>
    </row>
    <row r="1933" spans="1:60">
      <c r="B1933" s="103" t="s">
        <v>773</v>
      </c>
      <c r="C1933" s="1" t="s">
        <v>290</v>
      </c>
      <c r="D1933" s="2"/>
      <c r="E1933" s="2"/>
      <c r="K1933" s="3"/>
      <c r="AZ1933" s="3">
        <v>30</v>
      </c>
      <c r="BD1933" s="3">
        <v>25</v>
      </c>
      <c r="BH1933" s="3">
        <v>25</v>
      </c>
    </row>
    <row r="1934" spans="1:60">
      <c r="B1934" s="103" t="s">
        <v>773</v>
      </c>
      <c r="C1934" s="1" t="s">
        <v>64</v>
      </c>
      <c r="D1934" s="2"/>
      <c r="E1934" s="2"/>
      <c r="K1934" s="3"/>
      <c r="R1934" s="3">
        <v>23</v>
      </c>
      <c r="T1934" s="3"/>
      <c r="Y1934" s="1" t="s">
        <v>285</v>
      </c>
      <c r="AA1934" s="3">
        <v>23</v>
      </c>
      <c r="AM1934" s="3">
        <v>23</v>
      </c>
      <c r="AO1934" s="3"/>
      <c r="AQ1934" s="1" t="s">
        <v>285</v>
      </c>
      <c r="AT1934" s="1" t="s">
        <v>285</v>
      </c>
      <c r="AW1934" s="1" t="s">
        <v>458</v>
      </c>
      <c r="AZ1934" s="3">
        <v>28</v>
      </c>
      <c r="BD1934" s="3">
        <v>20</v>
      </c>
      <c r="BH1934" s="3">
        <v>20</v>
      </c>
    </row>
    <row r="1935" spans="1:60">
      <c r="B1935" s="103" t="s">
        <v>773</v>
      </c>
      <c r="C1935" s="1" t="s">
        <v>286</v>
      </c>
      <c r="D1935" s="2"/>
      <c r="E1935" s="2"/>
      <c r="K1935" s="3"/>
      <c r="AJ1935" s="3">
        <v>40</v>
      </c>
      <c r="AQ1935" s="1" t="s">
        <v>285</v>
      </c>
      <c r="AT1935" s="1" t="s">
        <v>285</v>
      </c>
      <c r="AW1935" s="1" t="s">
        <v>458</v>
      </c>
    </row>
    <row r="1936" spans="1:60">
      <c r="B1936" s="103" t="s">
        <v>773</v>
      </c>
      <c r="C1936" s="1" t="s">
        <v>288</v>
      </c>
      <c r="D1936" s="2"/>
      <c r="E1936" s="2"/>
      <c r="K1936" s="3"/>
      <c r="AJ1936" s="3">
        <v>40</v>
      </c>
      <c r="AL1936" s="3"/>
      <c r="AQ1936" s="1" t="s">
        <v>285</v>
      </c>
      <c r="AT1936" s="1" t="s">
        <v>285</v>
      </c>
      <c r="AW1936" s="1" t="s">
        <v>458</v>
      </c>
      <c r="AZ1936" s="3">
        <v>28</v>
      </c>
      <c r="BD1936" s="3">
        <v>20</v>
      </c>
      <c r="BH1936" s="3">
        <v>20</v>
      </c>
    </row>
    <row r="1937" spans="1:61">
      <c r="A1937" s="6">
        <v>11</v>
      </c>
      <c r="B1937" s="103" t="s">
        <v>773</v>
      </c>
      <c r="C1937" s="1" t="s">
        <v>57</v>
      </c>
      <c r="D1937" s="2" t="s">
        <v>285</v>
      </c>
      <c r="E1937" s="2"/>
      <c r="F1937" s="9">
        <v>25</v>
      </c>
      <c r="H1937" s="9">
        <v>25</v>
      </c>
      <c r="K1937" s="3"/>
      <c r="L1937" s="1" t="s">
        <v>189</v>
      </c>
      <c r="R1937" s="3">
        <v>20</v>
      </c>
      <c r="T1937" s="3"/>
      <c r="U1937" s="3">
        <v>20</v>
      </c>
      <c r="W1937" s="3">
        <f>U1937-R1937</f>
        <v>0</v>
      </c>
      <c r="Y1937" s="1" t="s">
        <v>285</v>
      </c>
      <c r="AA1937" s="3">
        <v>20</v>
      </c>
      <c r="AQ1937" s="1" t="s">
        <v>285</v>
      </c>
      <c r="AT1937" s="1" t="s">
        <v>285</v>
      </c>
      <c r="AW1937" s="1" t="s">
        <v>458</v>
      </c>
    </row>
    <row r="1938" spans="1:61">
      <c r="B1938" s="103" t="s">
        <v>773</v>
      </c>
      <c r="C1938" s="1" t="s">
        <v>287</v>
      </c>
      <c r="D1938" s="2"/>
      <c r="E1938" s="2"/>
      <c r="K1938" s="3"/>
      <c r="M1938" s="3">
        <v>25</v>
      </c>
      <c r="O1938" s="3">
        <v>25</v>
      </c>
      <c r="Y1938" s="1" t="s">
        <v>285</v>
      </c>
      <c r="AQ1938" s="1" t="s">
        <v>285</v>
      </c>
      <c r="AT1938" s="1" t="s">
        <v>285</v>
      </c>
      <c r="AW1938" s="1" t="s">
        <v>458</v>
      </c>
      <c r="AZ1938" s="3">
        <v>28</v>
      </c>
      <c r="BD1938" s="3">
        <v>20</v>
      </c>
      <c r="BH1938" s="3">
        <v>20</v>
      </c>
    </row>
    <row r="1939" spans="1:61">
      <c r="A1939" s="6">
        <v>1</v>
      </c>
      <c r="B1939" s="1" t="s">
        <v>559</v>
      </c>
      <c r="C1939" s="1" t="s">
        <v>52</v>
      </c>
      <c r="D1939" s="2"/>
      <c r="E1939" s="2"/>
      <c r="F1939" s="8">
        <v>0</v>
      </c>
      <c r="G1939" s="8"/>
      <c r="H1939" s="8">
        <v>0</v>
      </c>
      <c r="I1939" s="8"/>
      <c r="J1939" s="1" t="s">
        <v>647</v>
      </c>
      <c r="AJ1939" s="1"/>
    </row>
    <row r="1940" spans="1:61">
      <c r="A1940" s="6">
        <v>3</v>
      </c>
      <c r="B1940" s="1" t="s">
        <v>559</v>
      </c>
      <c r="C1940" s="1" t="s">
        <v>54</v>
      </c>
      <c r="D1940" s="2"/>
      <c r="E1940" s="2"/>
      <c r="F1940" s="8">
        <v>0</v>
      </c>
      <c r="G1940" s="8"/>
      <c r="H1940" s="8">
        <v>0</v>
      </c>
      <c r="I1940" s="8"/>
      <c r="J1940" s="1" t="s">
        <v>647</v>
      </c>
      <c r="AJ1940" s="1"/>
    </row>
    <row r="1941" spans="1:61">
      <c r="A1941" s="6">
        <v>4</v>
      </c>
      <c r="B1941" s="1" t="s">
        <v>559</v>
      </c>
      <c r="C1941" s="1" t="s">
        <v>55</v>
      </c>
      <c r="D1941" s="2"/>
      <c r="E1941" s="2"/>
      <c r="F1941" s="8">
        <v>0</v>
      </c>
      <c r="G1941" s="8"/>
      <c r="H1941" s="8">
        <v>0</v>
      </c>
      <c r="I1941" s="8"/>
      <c r="J1941" s="1" t="s">
        <v>647</v>
      </c>
      <c r="AJ1941" s="1"/>
    </row>
    <row r="1942" spans="1:61">
      <c r="A1942" s="6">
        <v>5</v>
      </c>
      <c r="B1942" s="1" t="s">
        <v>559</v>
      </c>
      <c r="C1942" s="1" t="s">
        <v>56</v>
      </c>
      <c r="D1942" s="2"/>
      <c r="E1942" s="2"/>
      <c r="F1942" s="8">
        <v>0</v>
      </c>
      <c r="G1942" s="8"/>
      <c r="H1942" s="8">
        <v>0</v>
      </c>
      <c r="I1942" s="8"/>
      <c r="J1942" s="1" t="s">
        <v>90</v>
      </c>
      <c r="AJ1942" s="1"/>
    </row>
    <row r="1943" spans="1:61">
      <c r="A1943" s="6">
        <v>2</v>
      </c>
      <c r="B1943" s="1" t="s">
        <v>559</v>
      </c>
      <c r="C1943" s="1" t="s">
        <v>53</v>
      </c>
      <c r="D1943" s="2"/>
      <c r="E1943" s="2"/>
      <c r="F1943" s="8">
        <v>4.78</v>
      </c>
      <c r="G1943" s="8"/>
      <c r="H1943" s="8">
        <v>4.78</v>
      </c>
      <c r="I1943" s="8"/>
      <c r="M1943" s="3">
        <v>1.43</v>
      </c>
      <c r="O1943" s="3">
        <v>1.43</v>
      </c>
      <c r="Q1943" s="3">
        <f>O1943-H1943</f>
        <v>-3.3500000000000005</v>
      </c>
      <c r="R1943" s="3">
        <v>8.17</v>
      </c>
      <c r="T1943" s="3">
        <f>R1943-O1943</f>
        <v>6.74</v>
      </c>
      <c r="AJ1943" s="1"/>
    </row>
    <row r="1944" spans="1:61">
      <c r="A1944" s="6">
        <v>12</v>
      </c>
      <c r="B1944" s="1" t="s">
        <v>559</v>
      </c>
      <c r="C1944" s="1" t="s">
        <v>594</v>
      </c>
      <c r="D1944" s="2"/>
      <c r="E1944" s="2"/>
      <c r="F1944" s="8">
        <v>10.15</v>
      </c>
      <c r="G1944" s="8"/>
      <c r="H1944" s="8">
        <v>10.15</v>
      </c>
      <c r="I1944" s="8"/>
      <c r="M1944" s="3">
        <v>0.68</v>
      </c>
      <c r="O1944" s="3">
        <v>0.68</v>
      </c>
      <c r="Q1944" s="3">
        <f>O1944-H1944</f>
        <v>-9.4700000000000006</v>
      </c>
      <c r="R1944" s="3">
        <v>7.9</v>
      </c>
      <c r="T1944" s="3">
        <f>R1944-O1944</f>
        <v>7.2200000000000006</v>
      </c>
      <c r="U1944" s="3">
        <v>7.96</v>
      </c>
      <c r="W1944" s="3">
        <f>U1944-R1944</f>
        <v>5.9999999999999609E-2</v>
      </c>
      <c r="X1944" s="3">
        <v>29.02</v>
      </c>
      <c r="Z1944" s="3">
        <f>X1944-U1944</f>
        <v>21.06</v>
      </c>
      <c r="AA1944" s="3">
        <v>8.9700000000000006</v>
      </c>
      <c r="AC1944" s="3">
        <f>AA1944-X1944</f>
        <v>-20.049999999999997</v>
      </c>
      <c r="AG1944" s="3">
        <v>10.82</v>
      </c>
      <c r="AJ1944" s="1">
        <v>10.82</v>
      </c>
      <c r="AM1944" s="3">
        <v>10.82</v>
      </c>
      <c r="AO1944" s="3">
        <f t="shared" ref="AO1944:AO1949" si="15">AM1944-AJ1944</f>
        <v>0</v>
      </c>
      <c r="AP1944" s="3">
        <v>12.69</v>
      </c>
      <c r="BD1944" s="3">
        <v>13.62</v>
      </c>
      <c r="BE1944" s="1" t="s">
        <v>852</v>
      </c>
      <c r="BH1944" s="3">
        <v>13.62</v>
      </c>
      <c r="BI1944" s="1" t="s">
        <v>852</v>
      </c>
    </row>
    <row r="1945" spans="1:61">
      <c r="A1945" s="6">
        <v>14</v>
      </c>
      <c r="B1945" s="1" t="s">
        <v>559</v>
      </c>
      <c r="C1945" s="1" t="s">
        <v>58</v>
      </c>
      <c r="D1945" s="2"/>
      <c r="E1945" s="2"/>
      <c r="F1945" s="8">
        <v>29.63</v>
      </c>
      <c r="G1945" s="8"/>
      <c r="H1945" s="8">
        <v>29.63</v>
      </c>
      <c r="I1945" s="8"/>
      <c r="L1945" s="1" t="s">
        <v>110</v>
      </c>
      <c r="M1945" s="3">
        <v>6.05</v>
      </c>
      <c r="O1945" s="3">
        <v>6.05</v>
      </c>
      <c r="Q1945" s="3">
        <f>O1945-H1945</f>
        <v>-23.58</v>
      </c>
      <c r="R1945" s="3">
        <v>16.2</v>
      </c>
      <c r="T1945" s="3">
        <f>R1945-O1945</f>
        <v>10.149999999999999</v>
      </c>
      <c r="U1945" s="3">
        <v>13.24</v>
      </c>
      <c r="W1945" s="3">
        <f>U1945-R1945</f>
        <v>-2.9599999999999991</v>
      </c>
      <c r="AD1945" s="24">
        <v>27.1</v>
      </c>
      <c r="AG1945" s="3">
        <v>27.1</v>
      </c>
      <c r="AI1945" s="3">
        <f>AG1945-AD1945</f>
        <v>0</v>
      </c>
      <c r="AJ1945" s="1">
        <v>27.1</v>
      </c>
      <c r="AM1945" s="3">
        <v>27.1</v>
      </c>
      <c r="AO1945" s="3">
        <f t="shared" si="15"/>
        <v>0</v>
      </c>
      <c r="AP1945" s="3">
        <v>15.95</v>
      </c>
      <c r="AS1945" s="3">
        <v>15.95</v>
      </c>
      <c r="AV1945" s="3">
        <v>24.77</v>
      </c>
      <c r="AZ1945" s="3">
        <v>16.239999999999998</v>
      </c>
      <c r="BD1945" s="3">
        <v>20.420000000000002</v>
      </c>
      <c r="BE1945" s="1" t="s">
        <v>852</v>
      </c>
      <c r="BH1945" s="3">
        <v>20.420000000000002</v>
      </c>
      <c r="BI1945" s="1" t="s">
        <v>852</v>
      </c>
    </row>
    <row r="1946" spans="1:61">
      <c r="B1946" s="1" t="s">
        <v>559</v>
      </c>
      <c r="C1946" s="1" t="s">
        <v>289</v>
      </c>
      <c r="D1946" s="2"/>
      <c r="E1946" s="2"/>
      <c r="F1946" s="8"/>
      <c r="G1946" s="8"/>
      <c r="H1946" s="8"/>
      <c r="I1946" s="8"/>
      <c r="Q1946" s="3"/>
      <c r="T1946" s="3"/>
      <c r="U1946" s="3">
        <v>95.53</v>
      </c>
      <c r="AD1946" s="24">
        <v>12.26</v>
      </c>
      <c r="AG1946" s="3">
        <v>12.26</v>
      </c>
      <c r="AI1946" s="3">
        <f>AG1946-AD1946</f>
        <v>0</v>
      </c>
      <c r="AJ1946" s="1">
        <v>12.26</v>
      </c>
      <c r="AM1946" s="3">
        <v>12.26</v>
      </c>
      <c r="AO1946" s="3">
        <f t="shared" si="15"/>
        <v>0</v>
      </c>
    </row>
    <row r="1947" spans="1:61">
      <c r="B1947" s="1" t="s">
        <v>559</v>
      </c>
      <c r="C1947" s="1" t="s">
        <v>290</v>
      </c>
      <c r="D1947" s="2"/>
      <c r="E1947" s="2"/>
      <c r="F1947" s="8"/>
      <c r="G1947" s="8"/>
      <c r="H1947" s="8"/>
      <c r="I1947" s="8"/>
      <c r="Q1947" s="3"/>
      <c r="T1947" s="3"/>
      <c r="U1947" s="3">
        <v>97.61</v>
      </c>
      <c r="AD1947" s="24">
        <v>12.26</v>
      </c>
      <c r="AG1947" s="3">
        <v>12.26</v>
      </c>
      <c r="AI1947" s="3">
        <f>AG1947-AD1947</f>
        <v>0</v>
      </c>
      <c r="AJ1947" s="1">
        <v>12.26</v>
      </c>
      <c r="AM1947" s="3">
        <v>12.26</v>
      </c>
      <c r="AO1947" s="3">
        <f t="shared" si="15"/>
        <v>0</v>
      </c>
      <c r="AP1947" s="3">
        <v>5.49</v>
      </c>
      <c r="AS1947" s="3">
        <v>5.49</v>
      </c>
    </row>
    <row r="1948" spans="1:61">
      <c r="B1948" s="1" t="s">
        <v>559</v>
      </c>
      <c r="C1948" s="1" t="s">
        <v>64</v>
      </c>
      <c r="D1948" s="2"/>
      <c r="E1948" s="2"/>
      <c r="F1948" s="8"/>
      <c r="G1948" s="8"/>
      <c r="H1948" s="8"/>
      <c r="I1948" s="8"/>
      <c r="Q1948" s="3"/>
      <c r="T1948" s="3"/>
      <c r="U1948" s="3">
        <v>15.55</v>
      </c>
      <c r="AD1948" s="24">
        <v>26.91</v>
      </c>
      <c r="AG1948" s="3">
        <v>26.91</v>
      </c>
      <c r="AI1948" s="3">
        <f>AG1948-AD1948</f>
        <v>0</v>
      </c>
      <c r="AJ1948" s="1">
        <v>26.91</v>
      </c>
      <c r="AM1948" s="3">
        <v>26.91</v>
      </c>
      <c r="AO1948" s="3">
        <f t="shared" si="15"/>
        <v>0</v>
      </c>
      <c r="AP1948" s="3">
        <v>25.32</v>
      </c>
      <c r="AS1948" s="3">
        <v>25.32</v>
      </c>
      <c r="AV1948" s="3">
        <v>22.94</v>
      </c>
      <c r="AZ1948" s="3">
        <v>20.3</v>
      </c>
      <c r="BD1948" s="3">
        <v>20.420000000000002</v>
      </c>
      <c r="BE1948" s="1" t="s">
        <v>852</v>
      </c>
      <c r="BH1948" s="3">
        <v>20.420000000000002</v>
      </c>
      <c r="BI1948" s="1" t="s">
        <v>852</v>
      </c>
    </row>
    <row r="1949" spans="1:61">
      <c r="B1949" s="1" t="s">
        <v>559</v>
      </c>
      <c r="C1949" s="1" t="s">
        <v>288</v>
      </c>
      <c r="D1949" s="2"/>
      <c r="E1949" s="2"/>
      <c r="F1949" s="8"/>
      <c r="G1949" s="8"/>
      <c r="H1949" s="8"/>
      <c r="I1949" s="8"/>
      <c r="Q1949" s="3"/>
      <c r="T1949" s="3"/>
      <c r="U1949" s="3">
        <v>16.09</v>
      </c>
      <c r="AD1949" s="24">
        <v>16.23</v>
      </c>
      <c r="AG1949" s="3">
        <v>16.23</v>
      </c>
      <c r="AI1949" s="3">
        <f>AG1949-AD1949</f>
        <v>0</v>
      </c>
      <c r="AJ1949" s="1">
        <v>16.23</v>
      </c>
      <c r="AM1949" s="3">
        <v>16.23</v>
      </c>
      <c r="AO1949" s="3">
        <f t="shared" si="15"/>
        <v>0</v>
      </c>
      <c r="AP1949" s="3">
        <v>23.33</v>
      </c>
      <c r="AS1949" s="3">
        <v>23.33</v>
      </c>
      <c r="AV1949" s="3">
        <v>23.17</v>
      </c>
      <c r="AZ1949" s="3">
        <v>20.3</v>
      </c>
      <c r="BD1949" s="3">
        <v>23.15</v>
      </c>
      <c r="BE1949" s="1" t="s">
        <v>852</v>
      </c>
      <c r="BH1949" s="3">
        <v>23.15</v>
      </c>
      <c r="BI1949" s="1" t="s">
        <v>852</v>
      </c>
    </row>
    <row r="1950" spans="1:61">
      <c r="A1950" s="6">
        <v>11</v>
      </c>
      <c r="B1950" s="1" t="s">
        <v>559</v>
      </c>
      <c r="C1950" s="1" t="s">
        <v>57</v>
      </c>
      <c r="D1950" s="2"/>
      <c r="E1950" s="2"/>
      <c r="F1950" s="8">
        <v>16.54</v>
      </c>
      <c r="G1950" s="8"/>
      <c r="H1950" s="8">
        <v>16.54</v>
      </c>
      <c r="I1950" s="8"/>
      <c r="R1950" s="3">
        <v>21.8</v>
      </c>
      <c r="T1950" s="3"/>
      <c r="AJ1950" s="1"/>
    </row>
    <row r="1951" spans="1:61">
      <c r="A1951" s="6">
        <v>1</v>
      </c>
      <c r="B1951" s="103" t="s">
        <v>560</v>
      </c>
      <c r="C1951" s="1" t="s">
        <v>52</v>
      </c>
      <c r="D1951" s="2"/>
      <c r="E1951" s="2"/>
      <c r="F1951" s="8">
        <v>0</v>
      </c>
      <c r="G1951" s="8"/>
      <c r="H1951" s="8">
        <v>0</v>
      </c>
      <c r="I1951" s="8"/>
      <c r="J1951" s="1" t="s">
        <v>647</v>
      </c>
      <c r="N1951" s="3" t="s">
        <v>193</v>
      </c>
      <c r="O1951" s="3" t="s">
        <v>193</v>
      </c>
      <c r="P1951" s="1" t="s">
        <v>76</v>
      </c>
      <c r="BA1951" s="1" t="s">
        <v>285</v>
      </c>
    </row>
    <row r="1952" spans="1:61">
      <c r="A1952" s="6">
        <v>3</v>
      </c>
      <c r="B1952" s="103" t="s">
        <v>560</v>
      </c>
      <c r="C1952" s="1" t="s">
        <v>54</v>
      </c>
      <c r="D1952" s="2"/>
      <c r="E1952" s="2"/>
      <c r="F1952" s="8">
        <v>0</v>
      </c>
      <c r="G1952" s="8"/>
      <c r="H1952" s="8">
        <v>0</v>
      </c>
      <c r="I1952" s="8"/>
      <c r="J1952" s="1" t="s">
        <v>647</v>
      </c>
      <c r="N1952" s="3" t="s">
        <v>193</v>
      </c>
      <c r="O1952" s="3" t="s">
        <v>193</v>
      </c>
      <c r="P1952" s="1" t="s">
        <v>76</v>
      </c>
      <c r="BA1952" s="1" t="s">
        <v>285</v>
      </c>
    </row>
    <row r="1953" spans="1:60">
      <c r="A1953" s="6">
        <v>4</v>
      </c>
      <c r="B1953" s="103" t="s">
        <v>560</v>
      </c>
      <c r="C1953" s="1" t="s">
        <v>55</v>
      </c>
      <c r="D1953" s="2"/>
      <c r="E1953" s="2"/>
      <c r="F1953" s="8">
        <v>0</v>
      </c>
      <c r="G1953" s="8"/>
      <c r="H1953" s="8">
        <v>0</v>
      </c>
      <c r="I1953" s="8"/>
      <c r="J1953" s="1" t="s">
        <v>647</v>
      </c>
      <c r="N1953" s="3" t="s">
        <v>193</v>
      </c>
      <c r="O1953" s="3" t="s">
        <v>193</v>
      </c>
      <c r="P1953" s="1" t="s">
        <v>76</v>
      </c>
      <c r="BA1953" s="1" t="s">
        <v>285</v>
      </c>
    </row>
    <row r="1954" spans="1:60">
      <c r="A1954" s="6">
        <v>5</v>
      </c>
      <c r="B1954" s="103" t="s">
        <v>560</v>
      </c>
      <c r="C1954" s="1" t="s">
        <v>56</v>
      </c>
      <c r="D1954" s="2"/>
      <c r="E1954" s="2"/>
      <c r="F1954" s="8">
        <v>0</v>
      </c>
      <c r="G1954" s="8"/>
      <c r="H1954" s="8">
        <v>0</v>
      </c>
      <c r="I1954" s="8"/>
      <c r="J1954" s="1" t="s">
        <v>647</v>
      </c>
      <c r="N1954" s="3" t="s">
        <v>193</v>
      </c>
      <c r="O1954" s="3" t="s">
        <v>193</v>
      </c>
      <c r="P1954" s="1" t="s">
        <v>76</v>
      </c>
      <c r="BA1954" s="1" t="s">
        <v>285</v>
      </c>
    </row>
    <row r="1955" spans="1:60">
      <c r="A1955" s="6">
        <v>2</v>
      </c>
      <c r="B1955" s="103" t="s">
        <v>560</v>
      </c>
      <c r="C1955" s="1" t="s">
        <v>53</v>
      </c>
      <c r="D1955" s="2"/>
      <c r="E1955" s="2"/>
      <c r="F1955" s="8">
        <v>6.26</v>
      </c>
      <c r="G1955" s="8"/>
      <c r="H1955" s="8">
        <v>6.26</v>
      </c>
      <c r="I1955" s="8"/>
      <c r="P1955" s="1" t="s">
        <v>76</v>
      </c>
      <c r="BA1955" s="1" t="s">
        <v>285</v>
      </c>
    </row>
    <row r="1956" spans="1:60">
      <c r="A1956" s="6">
        <v>12</v>
      </c>
      <c r="B1956" s="103" t="s">
        <v>560</v>
      </c>
      <c r="C1956" s="1" t="s">
        <v>594</v>
      </c>
      <c r="D1956" s="2"/>
      <c r="E1956" s="2"/>
      <c r="F1956" s="8">
        <v>6.37</v>
      </c>
      <c r="G1956" s="8"/>
      <c r="H1956" s="8">
        <v>6.37</v>
      </c>
      <c r="I1956" s="8"/>
      <c r="M1956" s="3">
        <v>6.37</v>
      </c>
      <c r="O1956" s="3">
        <v>6.37</v>
      </c>
      <c r="Q1956" s="3">
        <f>O1956-H1956</f>
        <v>0</v>
      </c>
      <c r="R1956" s="3">
        <v>6.32</v>
      </c>
      <c r="T1956" s="3">
        <f>R1956-O1956</f>
        <v>-4.9999999999999822E-2</v>
      </c>
      <c r="U1956" s="3">
        <v>5.73</v>
      </c>
      <c r="W1956" s="3">
        <f>U1956-R1956</f>
        <v>-0.58999999999999986</v>
      </c>
      <c r="X1956" s="3">
        <v>5.82</v>
      </c>
      <c r="Z1956" s="3">
        <f>X1956-U1956</f>
        <v>8.9999999999999858E-2</v>
      </c>
      <c r="AA1956" s="3">
        <v>8.7799999999999994</v>
      </c>
      <c r="AC1956" s="3">
        <f>AA1956-X1956</f>
        <v>2.9599999999999991</v>
      </c>
      <c r="AD1956" s="24">
        <v>5.82</v>
      </c>
      <c r="AF1956" s="24">
        <f>AD1956-AA1956</f>
        <v>-2.9599999999999991</v>
      </c>
      <c r="AJ1956" s="3">
        <v>10.71</v>
      </c>
      <c r="AL1956" s="3"/>
      <c r="AM1956" s="3">
        <v>10.71</v>
      </c>
      <c r="AO1956" s="3">
        <f t="shared" ref="AO1956:AO1962" si="16">AM1956-AJ1956</f>
        <v>0</v>
      </c>
      <c r="AP1956" s="3">
        <v>10.71</v>
      </c>
      <c r="AS1956" s="3">
        <v>10.71</v>
      </c>
      <c r="AV1956" s="3">
        <v>10.71</v>
      </c>
      <c r="BA1956" s="1" t="s">
        <v>285</v>
      </c>
      <c r="BD1956" s="3">
        <v>15.51</v>
      </c>
      <c r="BH1956" s="3">
        <v>15.51</v>
      </c>
    </row>
    <row r="1957" spans="1:60">
      <c r="A1957" s="6">
        <v>14</v>
      </c>
      <c r="B1957" s="103" t="s">
        <v>560</v>
      </c>
      <c r="C1957" s="1" t="s">
        <v>58</v>
      </c>
      <c r="D1957" s="2"/>
      <c r="E1957" s="2"/>
      <c r="F1957" s="8">
        <v>12.48</v>
      </c>
      <c r="G1957" s="8"/>
      <c r="H1957" s="8">
        <v>12.48</v>
      </c>
      <c r="I1957" s="8"/>
      <c r="L1957" s="1" t="s">
        <v>604</v>
      </c>
      <c r="M1957" s="3">
        <v>12.48</v>
      </c>
      <c r="O1957" s="3">
        <v>12.48</v>
      </c>
      <c r="Q1957" s="3">
        <f>O1957-H1957</f>
        <v>0</v>
      </c>
      <c r="R1957" s="3">
        <v>18.850000000000001</v>
      </c>
      <c r="T1957" s="3">
        <f>R1957-O1957</f>
        <v>6.370000000000001</v>
      </c>
      <c r="U1957" s="3">
        <v>16.86</v>
      </c>
      <c r="W1957" s="3">
        <f>U1957-R1957</f>
        <v>-1.990000000000002</v>
      </c>
      <c r="X1957" s="3">
        <v>3.25</v>
      </c>
      <c r="Z1957" s="3">
        <f>X1957-U1957</f>
        <v>-13.61</v>
      </c>
      <c r="AA1957" s="3">
        <v>21.6</v>
      </c>
      <c r="AC1957" s="3">
        <f>AA1957-X1957</f>
        <v>18.350000000000001</v>
      </c>
      <c r="AD1957" s="24">
        <v>17.600000000000001</v>
      </c>
      <c r="AF1957" s="24">
        <f>AD1957-AA1957</f>
        <v>-4</v>
      </c>
      <c r="AG1957" s="3">
        <v>17.600000000000001</v>
      </c>
      <c r="AI1957" s="3">
        <f>AG1957-AD1957</f>
        <v>0</v>
      </c>
      <c r="AJ1957" s="3">
        <v>20.02</v>
      </c>
      <c r="AL1957" s="3">
        <f>AJ1957-AG1957</f>
        <v>2.4199999999999982</v>
      </c>
      <c r="AM1957" s="3">
        <v>20.02</v>
      </c>
      <c r="AO1957" s="3">
        <f t="shared" si="16"/>
        <v>0</v>
      </c>
      <c r="AP1957" s="3">
        <v>20.02</v>
      </c>
      <c r="AS1957" s="3">
        <v>20.02</v>
      </c>
      <c r="AV1957" s="3">
        <v>20.02</v>
      </c>
      <c r="BA1957" s="1" t="s">
        <v>285</v>
      </c>
      <c r="BD1957" s="3">
        <v>16.61</v>
      </c>
      <c r="BH1957" s="3">
        <v>16.61</v>
      </c>
    </row>
    <row r="1958" spans="1:60">
      <c r="B1958" s="103" t="s">
        <v>560</v>
      </c>
      <c r="C1958" s="1" t="s">
        <v>289</v>
      </c>
      <c r="D1958" s="2"/>
      <c r="E1958" s="2"/>
      <c r="F1958" s="8"/>
      <c r="G1958" s="8"/>
      <c r="H1958" s="8"/>
      <c r="I1958" s="8"/>
      <c r="Q1958" s="3"/>
      <c r="T1958" s="3"/>
      <c r="U1958" s="3">
        <v>24.22</v>
      </c>
      <c r="X1958" s="3">
        <v>57.51</v>
      </c>
      <c r="Z1958" s="3">
        <f>X1958-U1958</f>
        <v>33.29</v>
      </c>
      <c r="AA1958" s="3">
        <v>4.3899999999999997</v>
      </c>
      <c r="AC1958" s="3">
        <f>AA1958-X1958</f>
        <v>-53.12</v>
      </c>
      <c r="AJ1958" s="3">
        <v>6.56</v>
      </c>
      <c r="AM1958" s="3">
        <v>6.56</v>
      </c>
      <c r="AO1958" s="3">
        <f t="shared" si="16"/>
        <v>0</v>
      </c>
      <c r="AP1958" s="3">
        <v>13.12</v>
      </c>
      <c r="AS1958" s="3">
        <v>13.12</v>
      </c>
      <c r="AV1958" s="3">
        <v>13.12</v>
      </c>
      <c r="BA1958" s="1" t="s">
        <v>285</v>
      </c>
      <c r="BD1958" s="3">
        <v>14.97</v>
      </c>
      <c r="BH1958" s="3">
        <v>14.97</v>
      </c>
    </row>
    <row r="1959" spans="1:60">
      <c r="B1959" s="103" t="s">
        <v>560</v>
      </c>
      <c r="C1959" s="1" t="s">
        <v>290</v>
      </c>
      <c r="D1959" s="2"/>
      <c r="E1959" s="2"/>
      <c r="F1959" s="8"/>
      <c r="G1959" s="8"/>
      <c r="H1959" s="8"/>
      <c r="I1959" s="8"/>
      <c r="Q1959" s="3"/>
      <c r="T1959" s="3"/>
      <c r="AJ1959" s="3">
        <v>6.43</v>
      </c>
      <c r="AM1959" s="3">
        <v>6.43</v>
      </c>
      <c r="AO1959" s="3">
        <f t="shared" si="16"/>
        <v>0</v>
      </c>
      <c r="AP1959" s="3">
        <v>12.87</v>
      </c>
      <c r="AS1959" s="3">
        <v>12.87</v>
      </c>
      <c r="AV1959" s="3">
        <v>12.87</v>
      </c>
      <c r="BA1959" s="1" t="s">
        <v>285</v>
      </c>
      <c r="BD1959" s="3">
        <v>12.87</v>
      </c>
      <c r="BH1959" s="3">
        <v>12.87</v>
      </c>
    </row>
    <row r="1960" spans="1:60">
      <c r="B1960" s="103" t="s">
        <v>560</v>
      </c>
      <c r="C1960" s="1" t="s">
        <v>64</v>
      </c>
      <c r="D1960" s="2"/>
      <c r="E1960" s="2"/>
      <c r="F1960" s="8"/>
      <c r="G1960" s="8"/>
      <c r="H1960" s="8"/>
      <c r="I1960" s="8"/>
      <c r="Q1960" s="3"/>
      <c r="T1960" s="3"/>
      <c r="U1960" s="3">
        <v>16.940000000000001</v>
      </c>
      <c r="X1960" s="3">
        <v>16.100000000000001</v>
      </c>
      <c r="Z1960" s="3">
        <f>X1960-U1960</f>
        <v>-0.83999999999999986</v>
      </c>
      <c r="AA1960" s="3">
        <v>18.04</v>
      </c>
      <c r="AC1960" s="3">
        <f>AA1960-X1960</f>
        <v>1.9399999999999977</v>
      </c>
      <c r="AD1960" s="24">
        <v>16.100000000000001</v>
      </c>
      <c r="AF1960" s="24">
        <f>AD1960-AA1960</f>
        <v>-1.9399999999999977</v>
      </c>
      <c r="AG1960" s="3">
        <v>16.100000000000001</v>
      </c>
      <c r="AI1960" s="3">
        <f>AG1960-AD1960</f>
        <v>0</v>
      </c>
      <c r="AJ1960" s="3">
        <v>20.85</v>
      </c>
      <c r="AL1960" s="3">
        <f>AJ1960-AG1960</f>
        <v>4.75</v>
      </c>
      <c r="AM1960" s="3">
        <v>20.85</v>
      </c>
      <c r="AO1960" s="3">
        <f t="shared" si="16"/>
        <v>0</v>
      </c>
      <c r="AP1960" s="3">
        <v>20.85</v>
      </c>
      <c r="AS1960" s="3">
        <v>20.85</v>
      </c>
      <c r="AV1960" s="3">
        <v>20.85</v>
      </c>
      <c r="BA1960" s="1" t="s">
        <v>285</v>
      </c>
      <c r="BD1960" s="3">
        <v>16.600000000000001</v>
      </c>
      <c r="BH1960" s="3">
        <v>16.600000000000001</v>
      </c>
    </row>
    <row r="1961" spans="1:60">
      <c r="B1961" s="103" t="s">
        <v>560</v>
      </c>
      <c r="C1961" s="1" t="s">
        <v>286</v>
      </c>
      <c r="D1961" s="2"/>
      <c r="E1961" s="2"/>
      <c r="F1961" s="8"/>
      <c r="G1961" s="8"/>
      <c r="H1961" s="8"/>
      <c r="I1961" s="8"/>
      <c r="Q1961" s="3"/>
      <c r="T1961" s="3"/>
      <c r="U1961" s="3">
        <v>21.88</v>
      </c>
      <c r="X1961" s="3">
        <v>30.9</v>
      </c>
      <c r="Z1961" s="3">
        <f>X1961-U1961</f>
        <v>9.02</v>
      </c>
      <c r="AA1961" s="3">
        <v>30.93</v>
      </c>
      <c r="AC1961" s="3">
        <f>AA1961-X1961</f>
        <v>3.0000000000001137E-2</v>
      </c>
      <c r="AD1961" s="24">
        <v>30.93</v>
      </c>
      <c r="AF1961" s="24">
        <f>AD1961-AA1961</f>
        <v>0</v>
      </c>
      <c r="AG1961" s="3">
        <v>30.93</v>
      </c>
      <c r="AI1961" s="3">
        <f>AG1961-AD1961</f>
        <v>0</v>
      </c>
      <c r="AJ1961" s="3">
        <v>25.87</v>
      </c>
      <c r="AL1961" s="3">
        <f>AJ1961-AG1961</f>
        <v>-5.0599999999999987</v>
      </c>
      <c r="AM1961" s="3">
        <v>25.85</v>
      </c>
      <c r="AO1961" s="3">
        <f t="shared" si="16"/>
        <v>-1.9999999999999574E-2</v>
      </c>
      <c r="AP1961" s="3">
        <v>25.87</v>
      </c>
      <c r="BA1961" s="1" t="s">
        <v>285</v>
      </c>
      <c r="BD1961" s="3">
        <v>13.61</v>
      </c>
      <c r="BH1961" s="3">
        <v>13.61</v>
      </c>
    </row>
    <row r="1962" spans="1:60">
      <c r="B1962" s="103" t="s">
        <v>560</v>
      </c>
      <c r="C1962" s="1" t="s">
        <v>288</v>
      </c>
      <c r="D1962" s="2"/>
      <c r="E1962" s="2"/>
      <c r="F1962" s="8"/>
      <c r="G1962" s="8"/>
      <c r="H1962" s="8"/>
      <c r="I1962" s="8"/>
      <c r="Q1962" s="3"/>
      <c r="T1962" s="3"/>
      <c r="U1962" s="3">
        <v>21.46</v>
      </c>
      <c r="X1962" s="3">
        <v>24.1</v>
      </c>
      <c r="Z1962" s="3">
        <f>X1962-U1962</f>
        <v>2.6400000000000006</v>
      </c>
      <c r="AA1962" s="3">
        <v>22.62</v>
      </c>
      <c r="AC1962" s="3">
        <f>AA1962-X1962</f>
        <v>-1.4800000000000004</v>
      </c>
      <c r="AD1962" s="24">
        <v>24.1</v>
      </c>
      <c r="AF1962" s="24">
        <f>AD1962-AA1962</f>
        <v>1.4800000000000004</v>
      </c>
      <c r="AG1962" s="3">
        <v>24.1</v>
      </c>
      <c r="AI1962" s="3">
        <f>AG1962-AD1962</f>
        <v>0</v>
      </c>
      <c r="AJ1962" s="3">
        <v>24.44</v>
      </c>
      <c r="AL1962" s="3">
        <f>AJ1962-AG1962</f>
        <v>0.33999999999999986</v>
      </c>
      <c r="AM1962" s="3">
        <v>24.44</v>
      </c>
      <c r="AO1962" s="3">
        <f t="shared" si="16"/>
        <v>0</v>
      </c>
      <c r="AP1962" s="3">
        <v>24.44</v>
      </c>
      <c r="AS1962" s="3">
        <v>24.44</v>
      </c>
      <c r="AV1962" s="3">
        <v>24.44</v>
      </c>
      <c r="BA1962" s="1" t="s">
        <v>285</v>
      </c>
      <c r="BD1962" s="3">
        <v>18.22</v>
      </c>
      <c r="BH1962" s="3">
        <v>18.22</v>
      </c>
    </row>
    <row r="1963" spans="1:60">
      <c r="A1963" s="6">
        <v>11</v>
      </c>
      <c r="B1963" s="103" t="s">
        <v>560</v>
      </c>
      <c r="C1963" s="1" t="s">
        <v>57</v>
      </c>
      <c r="D1963" s="2"/>
      <c r="E1963" s="2"/>
      <c r="F1963" s="8">
        <v>4.91</v>
      </c>
      <c r="G1963" s="8"/>
      <c r="H1963" s="8">
        <v>4.91</v>
      </c>
      <c r="I1963" s="8"/>
      <c r="N1963" s="3" t="s">
        <v>193</v>
      </c>
      <c r="O1963" s="3" t="s">
        <v>193</v>
      </c>
      <c r="P1963" s="1" t="s">
        <v>76</v>
      </c>
      <c r="BA1963" s="1" t="s">
        <v>285</v>
      </c>
    </row>
    <row r="1964" spans="1:60">
      <c r="B1964" s="103" t="s">
        <v>560</v>
      </c>
      <c r="C1964" s="1" t="s">
        <v>287</v>
      </c>
      <c r="D1964" s="2"/>
      <c r="E1964" s="2"/>
      <c r="F1964" s="8"/>
      <c r="G1964" s="8"/>
      <c r="H1964" s="8"/>
      <c r="I1964" s="8"/>
      <c r="Q1964" s="3"/>
      <c r="T1964" s="3"/>
      <c r="U1964" s="3">
        <v>32.86</v>
      </c>
      <c r="X1964" s="3">
        <v>35.89</v>
      </c>
      <c r="Z1964" s="3">
        <f>X1964-U1964</f>
        <v>3.0300000000000011</v>
      </c>
      <c r="BA1964" s="1" t="s">
        <v>285</v>
      </c>
    </row>
    <row r="1965" spans="1:60">
      <c r="A1965" s="6">
        <v>1</v>
      </c>
      <c r="B1965" s="103" t="s">
        <v>561</v>
      </c>
      <c r="C1965" s="1" t="s">
        <v>52</v>
      </c>
      <c r="D1965" s="2"/>
      <c r="E1965" s="2"/>
      <c r="F1965" s="8">
        <v>0</v>
      </c>
      <c r="G1965" s="8"/>
      <c r="H1965" s="8">
        <v>0</v>
      </c>
      <c r="I1965" s="8"/>
      <c r="U1965" s="2"/>
    </row>
    <row r="1966" spans="1:60">
      <c r="A1966" s="6">
        <v>3</v>
      </c>
      <c r="B1966" s="103" t="s">
        <v>561</v>
      </c>
      <c r="C1966" s="1" t="s">
        <v>54</v>
      </c>
      <c r="D1966" s="2"/>
      <c r="E1966" s="2"/>
      <c r="F1966" s="8">
        <v>0</v>
      </c>
      <c r="G1966" s="8"/>
      <c r="H1966" s="8">
        <v>0</v>
      </c>
      <c r="I1966" s="8"/>
      <c r="U1966" s="2"/>
    </row>
    <row r="1967" spans="1:60">
      <c r="A1967" s="6">
        <v>4</v>
      </c>
      <c r="B1967" s="103" t="s">
        <v>561</v>
      </c>
      <c r="C1967" s="1" t="s">
        <v>55</v>
      </c>
      <c r="D1967" s="2"/>
      <c r="E1967" s="2"/>
      <c r="F1967" s="8">
        <v>0</v>
      </c>
      <c r="G1967" s="8"/>
      <c r="H1967" s="8">
        <v>0</v>
      </c>
      <c r="I1967" s="8"/>
      <c r="U1967" s="2"/>
    </row>
    <row r="1968" spans="1:60">
      <c r="A1968" s="6">
        <v>5</v>
      </c>
      <c r="B1968" s="103" t="s">
        <v>561</v>
      </c>
      <c r="C1968" s="1" t="s">
        <v>56</v>
      </c>
      <c r="D1968" s="2"/>
      <c r="E1968" s="2"/>
      <c r="F1968" s="8">
        <v>0</v>
      </c>
      <c r="G1968" s="8"/>
      <c r="H1968" s="8">
        <v>0</v>
      </c>
      <c r="I1968" s="8"/>
      <c r="U1968" s="2"/>
    </row>
    <row r="1969" spans="1:60">
      <c r="A1969" s="6">
        <v>2</v>
      </c>
      <c r="B1969" s="103" t="s">
        <v>561</v>
      </c>
      <c r="C1969" s="1" t="s">
        <v>53</v>
      </c>
      <c r="D1969" s="2"/>
      <c r="E1969" s="2"/>
      <c r="F1969" s="8">
        <v>20</v>
      </c>
      <c r="G1969" s="8">
        <v>21.85</v>
      </c>
      <c r="H1969" s="8">
        <v>21.85</v>
      </c>
      <c r="I1969" s="8"/>
      <c r="L1969" s="1" t="s">
        <v>272</v>
      </c>
      <c r="M1969" s="3">
        <v>5</v>
      </c>
      <c r="O1969" s="3">
        <v>5</v>
      </c>
      <c r="Q1969" s="3">
        <f>O1969-H1969</f>
        <v>-16.850000000000001</v>
      </c>
      <c r="U1969" s="2"/>
    </row>
    <row r="1970" spans="1:60">
      <c r="A1970" s="6">
        <v>12</v>
      </c>
      <c r="B1970" s="103" t="s">
        <v>561</v>
      </c>
      <c r="C1970" s="1" t="s">
        <v>594</v>
      </c>
      <c r="D1970" s="2"/>
      <c r="E1970" s="2"/>
      <c r="F1970" s="8">
        <v>9</v>
      </c>
      <c r="G1970" s="8"/>
      <c r="H1970" s="8">
        <v>9</v>
      </c>
      <c r="I1970" s="8"/>
      <c r="M1970" s="3">
        <v>1</v>
      </c>
      <c r="O1970" s="3">
        <v>1</v>
      </c>
      <c r="Q1970" s="3">
        <f>O1970-H1970</f>
        <v>-8</v>
      </c>
      <c r="R1970" s="3">
        <v>3</v>
      </c>
      <c r="S1970" s="1" t="s">
        <v>172</v>
      </c>
      <c r="T1970" s="3">
        <f>R1970-O1970</f>
        <v>2</v>
      </c>
      <c r="U1970" s="2">
        <f>101.71/13.608</f>
        <v>7.4742798353909459</v>
      </c>
      <c r="V1970" s="1" t="s">
        <v>79</v>
      </c>
      <c r="W1970" s="3">
        <f>U1970-R1970</f>
        <v>4.4742798353909459</v>
      </c>
      <c r="X1970" s="3">
        <v>7</v>
      </c>
      <c r="Z1970" s="3">
        <f>X1970-U1970</f>
        <v>-0.47427983539094587</v>
      </c>
      <c r="AA1970" s="3">
        <v>146.29</v>
      </c>
      <c r="AC1970" s="3">
        <f>AA1970-X1970</f>
        <v>139.29</v>
      </c>
      <c r="AD1970" s="24">
        <v>10.74</v>
      </c>
      <c r="AF1970" s="24">
        <f>AD1970-AA1970</f>
        <v>-135.54999999999998</v>
      </c>
      <c r="AG1970" s="3">
        <v>145.38999999999999</v>
      </c>
      <c r="AI1970" s="3">
        <f>AG1970-AD1970</f>
        <v>134.64999999999998</v>
      </c>
      <c r="AJ1970" s="3">
        <v>145.38999999999999</v>
      </c>
      <c r="AL1970" s="3">
        <f>AJ1970-AG1970</f>
        <v>0</v>
      </c>
      <c r="AM1970" s="3">
        <v>19.68</v>
      </c>
      <c r="AO1970" s="3">
        <f>AM1970-AJ1970</f>
        <v>-125.70999999999998</v>
      </c>
      <c r="AP1970" s="3">
        <v>19.68</v>
      </c>
      <c r="AS1970" s="3">
        <v>19.68</v>
      </c>
      <c r="AV1970" s="3">
        <v>28.92</v>
      </c>
      <c r="AZ1970" s="3">
        <v>28.92</v>
      </c>
      <c r="BA1970" s="1" t="s">
        <v>852</v>
      </c>
      <c r="BD1970" s="3">
        <v>28.92</v>
      </c>
      <c r="BE1970" s="1" t="s">
        <v>852</v>
      </c>
      <c r="BH1970" s="3">
        <v>25.55</v>
      </c>
    </row>
    <row r="1971" spans="1:60">
      <c r="A1971" s="6">
        <v>14</v>
      </c>
      <c r="B1971" s="103" t="s">
        <v>561</v>
      </c>
      <c r="C1971" s="1" t="s">
        <v>58</v>
      </c>
      <c r="D1971" s="2"/>
      <c r="E1971" s="2"/>
      <c r="F1971" s="8">
        <v>0</v>
      </c>
      <c r="G1971" s="8">
        <v>17.86</v>
      </c>
      <c r="H1971" s="8">
        <v>17.86</v>
      </c>
      <c r="I1971" s="8"/>
      <c r="M1971" s="3">
        <v>3</v>
      </c>
      <c r="O1971" s="3">
        <v>3</v>
      </c>
      <c r="Q1971" s="3">
        <f>O1971-H1971</f>
        <v>-14.86</v>
      </c>
      <c r="U1971" s="2">
        <f>196.22/13.608</f>
        <v>14.419459141681363</v>
      </c>
      <c r="V1971" s="1" t="s">
        <v>80</v>
      </c>
      <c r="X1971" s="3">
        <v>15</v>
      </c>
      <c r="Z1971" s="3">
        <f>X1971-U1971</f>
        <v>0.58054085831863667</v>
      </c>
      <c r="AA1971" s="3">
        <v>355.55</v>
      </c>
      <c r="AC1971" s="3">
        <f>AA1971-X1971</f>
        <v>340.55</v>
      </c>
      <c r="AD1971" s="24">
        <v>26.1</v>
      </c>
      <c r="AF1971" s="24">
        <f>AD1971-AA1971</f>
        <v>-329.45</v>
      </c>
      <c r="AG1971" s="3">
        <v>353.34</v>
      </c>
      <c r="AI1971" s="3">
        <f>AG1971-AD1971</f>
        <v>327.23999999999995</v>
      </c>
      <c r="AJ1971" s="3">
        <v>195</v>
      </c>
      <c r="AL1971" s="3">
        <f>AJ1971-AG1971</f>
        <v>-158.33999999999997</v>
      </c>
      <c r="AM1971" s="3">
        <v>18.690000000000001</v>
      </c>
      <c r="AO1971" s="3">
        <f>AM1971-AJ1971</f>
        <v>-176.31</v>
      </c>
      <c r="AP1971" s="3">
        <v>18.93</v>
      </c>
      <c r="AS1971" s="3">
        <v>18.93</v>
      </c>
      <c r="AV1971" s="3">
        <v>17.21</v>
      </c>
      <c r="AZ1971" s="3">
        <v>17.170000000000002</v>
      </c>
      <c r="BA1971" s="1" t="s">
        <v>852</v>
      </c>
      <c r="BD1971" s="3">
        <v>17.170000000000002</v>
      </c>
      <c r="BE1971" s="1" t="s">
        <v>852</v>
      </c>
      <c r="BH1971" s="3">
        <v>21.3</v>
      </c>
    </row>
    <row r="1972" spans="1:60">
      <c r="B1972" s="103" t="s">
        <v>561</v>
      </c>
      <c r="C1972" s="1" t="s">
        <v>857</v>
      </c>
      <c r="D1972" s="2"/>
      <c r="E1972" s="2"/>
      <c r="F1972" s="8"/>
      <c r="G1972" s="8"/>
      <c r="H1972" s="8"/>
      <c r="I1972" s="8"/>
      <c r="Q1972" s="3"/>
      <c r="U1972" s="2"/>
      <c r="AC1972" s="3"/>
      <c r="AF1972" s="24"/>
      <c r="AI1972" s="3"/>
      <c r="AL1972" s="3"/>
      <c r="AO1972" s="3"/>
      <c r="BD1972" s="3">
        <v>22.28</v>
      </c>
      <c r="BE1972" s="1" t="s">
        <v>852</v>
      </c>
      <c r="BH1972" s="3">
        <v>16.350000000000001</v>
      </c>
    </row>
    <row r="1973" spans="1:60">
      <c r="B1973" s="103" t="s">
        <v>561</v>
      </c>
      <c r="C1973" s="1" t="s">
        <v>289</v>
      </c>
      <c r="D1973" s="2"/>
      <c r="E1973" s="2"/>
      <c r="F1973" s="8"/>
      <c r="G1973" s="8"/>
      <c r="H1973" s="8"/>
      <c r="I1973" s="8"/>
      <c r="Q1973" s="3"/>
      <c r="U1973" s="2"/>
      <c r="BD1973" s="3">
        <v>141.05000000000001</v>
      </c>
      <c r="BE1973" s="1" t="s">
        <v>852</v>
      </c>
      <c r="BH1973" s="3">
        <v>23.37</v>
      </c>
    </row>
    <row r="1974" spans="1:60">
      <c r="B1974" s="103" t="s">
        <v>561</v>
      </c>
      <c r="C1974" s="1" t="s">
        <v>290</v>
      </c>
      <c r="D1974" s="2"/>
      <c r="E1974" s="2"/>
      <c r="F1974" s="8"/>
      <c r="G1974" s="8"/>
      <c r="H1974" s="8"/>
      <c r="I1974" s="8"/>
      <c r="Q1974" s="3"/>
      <c r="U1974" s="2"/>
      <c r="BD1974" s="3">
        <v>191.65</v>
      </c>
      <c r="BE1974" s="1" t="s">
        <v>852</v>
      </c>
      <c r="BH1974" s="3">
        <v>44.19</v>
      </c>
    </row>
    <row r="1975" spans="1:60">
      <c r="B1975" s="103" t="s">
        <v>561</v>
      </c>
      <c r="C1975" s="1" t="s">
        <v>64</v>
      </c>
      <c r="D1975" s="2"/>
      <c r="E1975" s="2"/>
      <c r="F1975" s="8"/>
      <c r="G1975" s="8"/>
      <c r="H1975" s="8"/>
      <c r="I1975" s="8"/>
      <c r="Q1975" s="3"/>
      <c r="U1975" s="2">
        <f>196.58/13.608</f>
        <v>14.44591416813639</v>
      </c>
      <c r="V1975" s="1" t="s">
        <v>485</v>
      </c>
      <c r="X1975" s="3">
        <v>15</v>
      </c>
      <c r="Z1975" s="3">
        <f>X1975-U1975</f>
        <v>0.55408583186360971</v>
      </c>
      <c r="AA1975" s="3">
        <v>370.37</v>
      </c>
      <c r="AC1975" s="3">
        <f>AA1975-X1975</f>
        <v>355.37</v>
      </c>
      <c r="AD1975" s="24">
        <v>27.19</v>
      </c>
      <c r="AF1975" s="24">
        <f>AD1975-AA1975</f>
        <v>-343.18</v>
      </c>
      <c r="AG1975" s="3">
        <v>284</v>
      </c>
      <c r="AI1975" s="3">
        <f>AG1975-AD1975</f>
        <v>256.81</v>
      </c>
      <c r="AJ1975" s="3">
        <v>225</v>
      </c>
      <c r="AL1975" s="3">
        <f>AJ1975-AG1975</f>
        <v>-59</v>
      </c>
      <c r="AM1975" s="3">
        <v>19.559999999999999</v>
      </c>
      <c r="AO1975" s="3">
        <f>AM1975-AJ1975</f>
        <v>-205.44</v>
      </c>
      <c r="AP1975" s="3">
        <v>24.86</v>
      </c>
      <c r="AS1975" s="3">
        <v>24.86</v>
      </c>
      <c r="AV1975" s="3">
        <v>16.66</v>
      </c>
      <c r="AZ1975" s="3">
        <v>17.170000000000002</v>
      </c>
      <c r="BA1975" s="1" t="s">
        <v>852</v>
      </c>
      <c r="BD1975" s="3">
        <v>17.170000000000002</v>
      </c>
      <c r="BE1975" s="1" t="s">
        <v>852</v>
      </c>
      <c r="BH1975" s="3">
        <v>18.690000000000001</v>
      </c>
    </row>
    <row r="1976" spans="1:60">
      <c r="B1976" s="103" t="s">
        <v>561</v>
      </c>
      <c r="C1976" s="1" t="s">
        <v>286</v>
      </c>
      <c r="D1976" s="2"/>
      <c r="E1976" s="2"/>
      <c r="F1976" s="8"/>
      <c r="G1976" s="8"/>
      <c r="H1976" s="8"/>
      <c r="I1976" s="8"/>
      <c r="Q1976" s="3"/>
      <c r="U1976" s="2"/>
      <c r="AC1976" s="3"/>
      <c r="AF1976" s="24"/>
      <c r="AG1976" s="3">
        <v>366.22</v>
      </c>
      <c r="AJ1976" s="3">
        <v>366.22</v>
      </c>
      <c r="AL1976" s="3">
        <f>AJ1976-AG1976</f>
        <v>0</v>
      </c>
      <c r="AM1976" s="3">
        <v>9.8800000000000008</v>
      </c>
      <c r="AO1976" s="3">
        <f>AM1976-AJ1976</f>
        <v>-356.34000000000003</v>
      </c>
      <c r="AP1976" s="3">
        <v>20.399999999999999</v>
      </c>
      <c r="AS1976" s="3">
        <v>20.399999999999999</v>
      </c>
      <c r="AV1976" s="3">
        <v>16.66</v>
      </c>
      <c r="AZ1976" s="3">
        <v>23.07</v>
      </c>
      <c r="BA1976" s="1" t="s">
        <v>852</v>
      </c>
      <c r="BD1976" s="3">
        <v>23.07</v>
      </c>
      <c r="BE1976" s="1" t="s">
        <v>852</v>
      </c>
      <c r="BH1976" s="3">
        <v>16.62</v>
      </c>
    </row>
    <row r="1977" spans="1:60">
      <c r="B1977" s="103" t="s">
        <v>561</v>
      </c>
      <c r="C1977" s="1" t="s">
        <v>288</v>
      </c>
      <c r="D1977" s="2"/>
      <c r="E1977" s="2"/>
      <c r="F1977" s="8"/>
      <c r="G1977" s="8"/>
      <c r="H1977" s="8"/>
      <c r="I1977" s="8"/>
      <c r="Q1977" s="3"/>
      <c r="U1977" s="2">
        <f>169.25/13.608</f>
        <v>12.437536743092299</v>
      </c>
      <c r="V1977" s="1" t="s">
        <v>486</v>
      </c>
      <c r="X1977" s="3">
        <v>13</v>
      </c>
      <c r="Z1977" s="3">
        <f>X1977-U1977</f>
        <v>0.56246325690770149</v>
      </c>
      <c r="AA1977" s="3">
        <v>442.59</v>
      </c>
      <c r="AC1977" s="3">
        <f>AA1977-X1977</f>
        <v>429.59</v>
      </c>
      <c r="AD1977" s="24">
        <v>32.5</v>
      </c>
      <c r="AF1977" s="24">
        <f>AD1977-AA1977</f>
        <v>-410.09</v>
      </c>
      <c r="AG1977" s="3">
        <v>248.44</v>
      </c>
      <c r="AI1977" s="3">
        <f>AG1977-AD1977</f>
        <v>215.94</v>
      </c>
      <c r="AJ1977" s="3">
        <v>225</v>
      </c>
      <c r="AL1977" s="3">
        <f>AJ1977-AG1977</f>
        <v>-23.439999999999998</v>
      </c>
      <c r="AM1977" s="3">
        <v>16.059999999999999</v>
      </c>
      <c r="AO1977" s="3">
        <f>AM1977-AJ1977</f>
        <v>-208.94</v>
      </c>
      <c r="AP1977" s="3">
        <v>20.399999999999999</v>
      </c>
      <c r="AS1977" s="3">
        <v>20.399999999999999</v>
      </c>
      <c r="AV1977" s="3">
        <v>15.15</v>
      </c>
      <c r="AZ1977" s="3">
        <v>14.25</v>
      </c>
      <c r="BA1977" s="1" t="s">
        <v>852</v>
      </c>
      <c r="BD1977" s="3">
        <v>14.25</v>
      </c>
      <c r="BE1977" s="1" t="s">
        <v>852</v>
      </c>
      <c r="BH1977" s="3">
        <v>20.2</v>
      </c>
    </row>
    <row r="1978" spans="1:60">
      <c r="B1978" s="103" t="s">
        <v>561</v>
      </c>
      <c r="C1978" s="1" t="s">
        <v>867</v>
      </c>
      <c r="D1978" s="2"/>
      <c r="E1978" s="2"/>
      <c r="F1978" s="8"/>
      <c r="G1978" s="8"/>
      <c r="H1978" s="8"/>
      <c r="I1978" s="8"/>
      <c r="Q1978" s="3"/>
      <c r="U1978" s="2"/>
      <c r="AC1978" s="3"/>
      <c r="AF1978" s="24"/>
      <c r="AI1978" s="3"/>
      <c r="AL1978" s="3"/>
      <c r="AO1978" s="3"/>
      <c r="AZ1978" s="3">
        <v>30.9</v>
      </c>
      <c r="BA1978" s="1" t="s">
        <v>852</v>
      </c>
    </row>
    <row r="1979" spans="1:60">
      <c r="A1979" s="6">
        <v>11</v>
      </c>
      <c r="B1979" s="103" t="s">
        <v>561</v>
      </c>
      <c r="C1979" s="1" t="s">
        <v>57</v>
      </c>
      <c r="D1979" s="2"/>
      <c r="E1979" s="2"/>
      <c r="F1979" s="8">
        <v>0</v>
      </c>
      <c r="G1979" s="8">
        <v>20.02</v>
      </c>
      <c r="H1979" s="8">
        <v>20.02</v>
      </c>
      <c r="I1979" s="8"/>
      <c r="M1979" s="3">
        <v>4</v>
      </c>
      <c r="O1979" s="3">
        <v>4</v>
      </c>
      <c r="Q1979" s="3">
        <f>O1979-H1979</f>
        <v>-16.02</v>
      </c>
      <c r="U1979" s="2"/>
    </row>
    <row r="1980" spans="1:60">
      <c r="A1980" s="6">
        <v>1</v>
      </c>
      <c r="B1980" s="103" t="s">
        <v>389</v>
      </c>
      <c r="C1980" s="1" t="s">
        <v>52</v>
      </c>
      <c r="D1980" s="2"/>
      <c r="E1980" s="2"/>
      <c r="F1980" s="9">
        <v>0</v>
      </c>
      <c r="H1980" s="9">
        <v>0</v>
      </c>
      <c r="U1980" s="3" t="s">
        <v>344</v>
      </c>
    </row>
    <row r="1981" spans="1:60">
      <c r="A1981" s="6">
        <v>3</v>
      </c>
      <c r="B1981" s="103" t="s">
        <v>389</v>
      </c>
      <c r="C1981" s="1" t="s">
        <v>54</v>
      </c>
      <c r="D1981" s="2"/>
      <c r="E1981" s="2"/>
      <c r="F1981" s="9">
        <v>0</v>
      </c>
      <c r="H1981" s="9">
        <v>0</v>
      </c>
    </row>
    <row r="1982" spans="1:60">
      <c r="A1982" s="6">
        <v>4</v>
      </c>
      <c r="B1982" s="103" t="s">
        <v>389</v>
      </c>
      <c r="C1982" s="1" t="s">
        <v>55</v>
      </c>
      <c r="D1982" s="2"/>
      <c r="E1982" s="2"/>
      <c r="F1982" s="9">
        <v>0</v>
      </c>
      <c r="H1982" s="9">
        <v>0</v>
      </c>
    </row>
    <row r="1983" spans="1:60">
      <c r="A1983" s="6">
        <v>5</v>
      </c>
      <c r="B1983" s="103" t="s">
        <v>389</v>
      </c>
      <c r="C1983" s="1" t="s">
        <v>56</v>
      </c>
      <c r="D1983" s="2"/>
      <c r="E1983" s="2"/>
      <c r="F1983" s="9">
        <v>0</v>
      </c>
      <c r="H1983" s="9">
        <v>0</v>
      </c>
    </row>
    <row r="1984" spans="1:60">
      <c r="A1984" s="6">
        <v>2</v>
      </c>
      <c r="B1984" s="103" t="s">
        <v>389</v>
      </c>
      <c r="C1984" s="1" t="s">
        <v>53</v>
      </c>
      <c r="D1984" s="2"/>
      <c r="E1984" s="2"/>
      <c r="F1984" s="9">
        <v>0</v>
      </c>
      <c r="H1984" s="9">
        <v>0</v>
      </c>
    </row>
    <row r="1985" spans="1:61">
      <c r="B1985" s="103" t="s">
        <v>389</v>
      </c>
      <c r="C1985" s="1" t="s">
        <v>597</v>
      </c>
      <c r="D1985" s="2"/>
      <c r="E1985" s="2"/>
      <c r="T1985" s="3"/>
      <c r="U1985" s="3">
        <v>25</v>
      </c>
    </row>
    <row r="1986" spans="1:61">
      <c r="B1986" s="103" t="s">
        <v>389</v>
      </c>
      <c r="C1986" s="1" t="s">
        <v>600</v>
      </c>
      <c r="D1986" s="2"/>
      <c r="E1986" s="2"/>
      <c r="T1986" s="3"/>
      <c r="U1986" s="3">
        <v>22.57</v>
      </c>
    </row>
    <row r="1987" spans="1:61">
      <c r="B1987" s="103" t="s">
        <v>389</v>
      </c>
      <c r="C1987" s="1" t="s">
        <v>242</v>
      </c>
      <c r="D1987" s="2"/>
      <c r="E1987" s="2"/>
      <c r="T1987" s="3"/>
      <c r="U1987" s="3">
        <v>19.25</v>
      </c>
    </row>
    <row r="1988" spans="1:61">
      <c r="B1988" s="103" t="s">
        <v>389</v>
      </c>
      <c r="C1988" s="1" t="s">
        <v>596</v>
      </c>
      <c r="D1988" s="2"/>
      <c r="E1988" s="2"/>
      <c r="T1988" s="3"/>
      <c r="U1988" s="3">
        <v>15.9</v>
      </c>
    </row>
    <row r="1989" spans="1:61">
      <c r="A1989" s="6">
        <v>12</v>
      </c>
      <c r="B1989" s="103" t="s">
        <v>389</v>
      </c>
      <c r="C1989" s="1" t="s">
        <v>594</v>
      </c>
      <c r="D1989" s="2"/>
      <c r="E1989" s="2"/>
      <c r="F1989" s="9">
        <v>11</v>
      </c>
      <c r="H1989" s="9">
        <v>11</v>
      </c>
      <c r="L1989" s="1" t="s">
        <v>359</v>
      </c>
      <c r="M1989" s="3">
        <v>8.83</v>
      </c>
      <c r="O1989" s="3">
        <v>8.83</v>
      </c>
      <c r="R1989" s="3">
        <v>8.83</v>
      </c>
      <c r="T1989" s="3">
        <f>R1989-O1989</f>
        <v>0</v>
      </c>
      <c r="U1989" s="3">
        <v>8.83</v>
      </c>
      <c r="W1989" s="3">
        <f>U1989-R1989</f>
        <v>0</v>
      </c>
      <c r="X1989" s="3">
        <v>8.83</v>
      </c>
      <c r="Z1989" s="3">
        <f>X1989-U1989</f>
        <v>0</v>
      </c>
      <c r="AA1989" s="3">
        <v>8.83</v>
      </c>
      <c r="AC1989" s="3">
        <f>AA1989-X1989</f>
        <v>0</v>
      </c>
      <c r="AD1989" s="24">
        <v>23</v>
      </c>
      <c r="AF1989" s="24">
        <f>AD1989-AA1989</f>
        <v>14.17</v>
      </c>
      <c r="AG1989" s="3">
        <v>22</v>
      </c>
      <c r="AI1989" s="3">
        <f>AG1989-AD1989</f>
        <v>-1</v>
      </c>
      <c r="AJ1989" s="3">
        <v>24</v>
      </c>
      <c r="AL1989" s="3">
        <f>AJ1989-AG1989</f>
        <v>2</v>
      </c>
      <c r="AM1989" s="3">
        <v>14</v>
      </c>
      <c r="AO1989" s="3">
        <f>AM1989-AJ1989</f>
        <v>-10</v>
      </c>
      <c r="AP1989" s="3">
        <v>11</v>
      </c>
      <c r="AS1989" s="3">
        <v>14</v>
      </c>
      <c r="AV1989" s="3">
        <v>19</v>
      </c>
      <c r="AZ1989" s="3">
        <v>16</v>
      </c>
      <c r="BA1989" s="1" t="s">
        <v>852</v>
      </c>
      <c r="BD1989" s="3">
        <v>22.8</v>
      </c>
      <c r="BE1989" s="1" t="s">
        <v>852</v>
      </c>
      <c r="BG1989" s="3">
        <v>22.8</v>
      </c>
      <c r="BH1989" s="3">
        <v>15</v>
      </c>
      <c r="BI1989" s="1" t="s">
        <v>852</v>
      </c>
    </row>
    <row r="1990" spans="1:61">
      <c r="A1990" s="6">
        <v>14</v>
      </c>
      <c r="B1990" s="103" t="s">
        <v>389</v>
      </c>
      <c r="C1990" s="1" t="s">
        <v>58</v>
      </c>
      <c r="D1990" s="2"/>
      <c r="E1990" s="2"/>
      <c r="F1990" s="9">
        <v>0</v>
      </c>
      <c r="H1990" s="9">
        <v>0</v>
      </c>
      <c r="M1990" s="3">
        <v>15.9</v>
      </c>
      <c r="O1990" s="3">
        <v>15.9</v>
      </c>
      <c r="R1990" s="3">
        <v>15.9</v>
      </c>
      <c r="T1990" s="3">
        <f>R1990-O1990</f>
        <v>0</v>
      </c>
      <c r="X1990" s="3">
        <v>15.9</v>
      </c>
      <c r="AA1990" s="3">
        <v>15.9</v>
      </c>
      <c r="AC1990" s="3">
        <f>AA1990-X1990</f>
        <v>0</v>
      </c>
      <c r="AD1990" s="24">
        <v>19</v>
      </c>
      <c r="AF1990" s="24">
        <f>AD1990-AA1990</f>
        <v>3.0999999999999996</v>
      </c>
      <c r="AG1990" s="3">
        <v>20</v>
      </c>
      <c r="AI1990" s="3">
        <f>AG1990-AD1990</f>
        <v>1</v>
      </c>
      <c r="AJ1990" s="3">
        <v>17</v>
      </c>
      <c r="AL1990" s="3">
        <f>AJ1990-AG1990</f>
        <v>-3</v>
      </c>
      <c r="AM1990" s="3">
        <v>18</v>
      </c>
      <c r="AO1990" s="3">
        <f>AM1990-AJ1990</f>
        <v>1</v>
      </c>
      <c r="AP1990" s="3">
        <v>11</v>
      </c>
      <c r="AS1990" s="3">
        <v>15</v>
      </c>
      <c r="AV1990" s="3">
        <v>11</v>
      </c>
      <c r="AZ1990" s="3">
        <v>17.5</v>
      </c>
      <c r="BA1990" s="1" t="s">
        <v>852</v>
      </c>
      <c r="BD1990" s="3">
        <v>14.9</v>
      </c>
      <c r="BE1990" s="1" t="s">
        <v>852</v>
      </c>
      <c r="BG1990" s="3">
        <v>14.9</v>
      </c>
      <c r="BH1990" s="3">
        <v>13.6</v>
      </c>
      <c r="BI1990" s="1" t="s">
        <v>852</v>
      </c>
    </row>
    <row r="1991" spans="1:61">
      <c r="B1991" s="103" t="s">
        <v>389</v>
      </c>
      <c r="C1991" s="1" t="s">
        <v>857</v>
      </c>
      <c r="D1991" s="2"/>
      <c r="E1991" s="2"/>
      <c r="T1991" s="3"/>
      <c r="AC1991" s="3"/>
      <c r="AF1991" s="24"/>
      <c r="AO1991" s="3"/>
      <c r="AZ1991" s="3">
        <v>18</v>
      </c>
      <c r="BA1991" s="1" t="s">
        <v>852</v>
      </c>
      <c r="BD1991" s="3">
        <v>16.5</v>
      </c>
      <c r="BE1991" s="1" t="s">
        <v>852</v>
      </c>
      <c r="BG1991" s="3">
        <v>16.5</v>
      </c>
      <c r="BH1991" s="3">
        <v>15.2</v>
      </c>
      <c r="BI1991" s="1" t="s">
        <v>852</v>
      </c>
    </row>
    <row r="1992" spans="1:61">
      <c r="B1992" s="103" t="s">
        <v>389</v>
      </c>
      <c r="C1992" s="1" t="s">
        <v>289</v>
      </c>
      <c r="D1992" s="2"/>
      <c r="E1992" s="2"/>
      <c r="T1992" s="3"/>
      <c r="AC1992" s="3"/>
      <c r="AF1992" s="24"/>
      <c r="AG1992" s="3">
        <v>2</v>
      </c>
      <c r="AS1992" s="3">
        <v>11</v>
      </c>
      <c r="AV1992" s="3">
        <v>14</v>
      </c>
      <c r="AZ1992" s="3">
        <v>24</v>
      </c>
      <c r="BA1992" s="1" t="s">
        <v>852</v>
      </c>
      <c r="BD1992" s="3">
        <v>26.5</v>
      </c>
      <c r="BE1992" s="1" t="s">
        <v>852</v>
      </c>
      <c r="BG1992" s="3">
        <v>26.5</v>
      </c>
      <c r="BH1992" s="3">
        <v>24.4</v>
      </c>
      <c r="BI1992" s="1" t="s">
        <v>852</v>
      </c>
    </row>
    <row r="1993" spans="1:61">
      <c r="B1993" s="103" t="s">
        <v>389</v>
      </c>
      <c r="C1993" s="1" t="s">
        <v>290</v>
      </c>
      <c r="D1993" s="2"/>
      <c r="E1993" s="2"/>
      <c r="T1993" s="3"/>
      <c r="AC1993" s="3"/>
      <c r="AD1993" s="24">
        <v>2</v>
      </c>
      <c r="AG1993" s="3">
        <v>3</v>
      </c>
      <c r="AI1993" s="3">
        <f>AG1993-AD1993</f>
        <v>1</v>
      </c>
      <c r="AZ1993" s="3">
        <v>24</v>
      </c>
      <c r="BA1993" s="1" t="s">
        <v>852</v>
      </c>
      <c r="BD1993" s="3">
        <v>22</v>
      </c>
      <c r="BE1993" s="1" t="s">
        <v>852</v>
      </c>
      <c r="BG1993" s="3">
        <v>22</v>
      </c>
      <c r="BH1993" s="3">
        <v>20</v>
      </c>
      <c r="BI1993" s="1" t="s">
        <v>852</v>
      </c>
    </row>
    <row r="1994" spans="1:61">
      <c r="B1994" s="103" t="s">
        <v>389</v>
      </c>
      <c r="C1994" s="1" t="s">
        <v>64</v>
      </c>
      <c r="D1994" s="2"/>
      <c r="E1994" s="2"/>
      <c r="M1994" s="3">
        <v>25</v>
      </c>
      <c r="O1994" s="3">
        <v>25</v>
      </c>
      <c r="R1994" s="3">
        <v>25</v>
      </c>
      <c r="T1994" s="3">
        <f>R1994-O1994</f>
        <v>0</v>
      </c>
      <c r="X1994" s="3">
        <v>25</v>
      </c>
      <c r="AA1994" s="3">
        <v>25</v>
      </c>
      <c r="AC1994" s="3">
        <f>AA1994-X1994</f>
        <v>0</v>
      </c>
      <c r="AD1994" s="24">
        <v>19</v>
      </c>
      <c r="AF1994" s="24">
        <f>AD1994-AA1994</f>
        <v>-6</v>
      </c>
      <c r="AG1994" s="3">
        <v>22</v>
      </c>
      <c r="AI1994" s="3">
        <f>AG1994-AD1994</f>
        <v>3</v>
      </c>
      <c r="AJ1994" s="3">
        <v>20</v>
      </c>
      <c r="AL1994" s="3">
        <f>AJ1994-AG1994</f>
        <v>-2</v>
      </c>
      <c r="AM1994" s="3">
        <v>20</v>
      </c>
      <c r="AO1994" s="3">
        <f>AM1994-AJ1994</f>
        <v>0</v>
      </c>
      <c r="AP1994" s="3">
        <v>16</v>
      </c>
      <c r="AS1994" s="3">
        <v>16</v>
      </c>
      <c r="AV1994" s="3">
        <v>14</v>
      </c>
      <c r="AZ1994" s="3">
        <v>20</v>
      </c>
      <c r="BA1994" s="1" t="s">
        <v>852</v>
      </c>
      <c r="BD1994" s="3">
        <v>17.2</v>
      </c>
      <c r="BE1994" s="1" t="s">
        <v>852</v>
      </c>
      <c r="BG1994" s="3">
        <v>17.2</v>
      </c>
      <c r="BH1994" s="3">
        <v>15.8</v>
      </c>
      <c r="BI1994" s="1" t="s">
        <v>852</v>
      </c>
    </row>
    <row r="1995" spans="1:61">
      <c r="B1995" s="103" t="s">
        <v>389</v>
      </c>
      <c r="C1995" s="1" t="s">
        <v>286</v>
      </c>
      <c r="D1995" s="2"/>
      <c r="E1995" s="2"/>
      <c r="T1995" s="3"/>
      <c r="AC1995" s="3"/>
      <c r="AD1995" s="24">
        <v>23</v>
      </c>
      <c r="AG1995" s="3">
        <v>20</v>
      </c>
      <c r="AI1995" s="3">
        <f>AG1995-AD1995</f>
        <v>-3</v>
      </c>
      <c r="AJ1995" s="3">
        <v>20</v>
      </c>
      <c r="AL1995" s="3">
        <f>AJ1995-AG1995</f>
        <v>0</v>
      </c>
      <c r="AM1995" s="3">
        <v>18</v>
      </c>
      <c r="AO1995" s="3">
        <f>AM1995-AJ1995</f>
        <v>-2</v>
      </c>
      <c r="AP1995" s="3">
        <v>20</v>
      </c>
      <c r="AS1995" s="3">
        <v>18</v>
      </c>
      <c r="AV1995" s="3">
        <v>17</v>
      </c>
      <c r="AZ1995" s="3">
        <v>17.5</v>
      </c>
      <c r="BA1995" s="1" t="s">
        <v>852</v>
      </c>
      <c r="BD1995" s="3">
        <v>25</v>
      </c>
      <c r="BE1995" s="1" t="s">
        <v>852</v>
      </c>
      <c r="BG1995" s="3">
        <v>25</v>
      </c>
      <c r="BH1995" s="3">
        <v>23</v>
      </c>
      <c r="BI1995" s="1" t="s">
        <v>852</v>
      </c>
    </row>
    <row r="1996" spans="1:61">
      <c r="B1996" s="103" t="s">
        <v>389</v>
      </c>
      <c r="C1996" s="1" t="s">
        <v>288</v>
      </c>
      <c r="D1996" s="2"/>
      <c r="E1996" s="2"/>
      <c r="M1996" s="3">
        <v>19.25</v>
      </c>
      <c r="O1996" s="3">
        <v>19.25</v>
      </c>
      <c r="R1996" s="3">
        <v>19.25</v>
      </c>
      <c r="T1996" s="3">
        <f>R1996-O1996</f>
        <v>0</v>
      </c>
      <c r="X1996" s="3">
        <v>19.25</v>
      </c>
      <c r="AA1996" s="3">
        <v>19.25</v>
      </c>
      <c r="AC1996" s="3">
        <f>AA1996-X1996</f>
        <v>0</v>
      </c>
      <c r="AD1996" s="24">
        <v>21</v>
      </c>
      <c r="AF1996" s="24">
        <f>AD1996-AA1996</f>
        <v>1.75</v>
      </c>
      <c r="AG1996" s="3">
        <v>17</v>
      </c>
      <c r="AI1996" s="3">
        <f>AG1996-AD1996</f>
        <v>-4</v>
      </c>
      <c r="AJ1996" s="3">
        <v>19</v>
      </c>
      <c r="AL1996" s="3">
        <f>AJ1996-AG1996</f>
        <v>2</v>
      </c>
      <c r="AM1996" s="3">
        <v>20</v>
      </c>
      <c r="AO1996" s="3">
        <f>AM1996-AJ1996</f>
        <v>1</v>
      </c>
      <c r="AP1996" s="3">
        <v>18</v>
      </c>
      <c r="AS1996" s="3">
        <v>17</v>
      </c>
      <c r="AV1996" s="3">
        <v>15</v>
      </c>
      <c r="AZ1996" s="3">
        <v>17.5</v>
      </c>
      <c r="BA1996" s="1" t="s">
        <v>852</v>
      </c>
      <c r="BD1996" s="3">
        <v>16.399999999999999</v>
      </c>
      <c r="BE1996" s="1" t="s">
        <v>852</v>
      </c>
      <c r="BG1996" s="3">
        <v>16.399999999999999</v>
      </c>
      <c r="BH1996" s="3">
        <v>15</v>
      </c>
      <c r="BI1996" s="1" t="s">
        <v>852</v>
      </c>
    </row>
    <row r="1997" spans="1:61">
      <c r="A1997" s="6">
        <v>11</v>
      </c>
      <c r="B1997" s="103" t="s">
        <v>389</v>
      </c>
      <c r="C1997" s="1" t="s">
        <v>57</v>
      </c>
      <c r="D1997" s="2"/>
      <c r="E1997" s="2"/>
      <c r="F1997" s="9">
        <v>0</v>
      </c>
      <c r="H1997" s="9">
        <v>0</v>
      </c>
    </row>
    <row r="1998" spans="1:61">
      <c r="B1998" s="103" t="s">
        <v>389</v>
      </c>
      <c r="C1998" s="1" t="s">
        <v>287</v>
      </c>
      <c r="D1998" s="2"/>
      <c r="E1998" s="2"/>
      <c r="M1998" s="3">
        <v>22.57</v>
      </c>
      <c r="O1998" s="3">
        <v>22.57</v>
      </c>
      <c r="R1998" s="3">
        <v>22.57</v>
      </c>
      <c r="T1998" s="3">
        <f>R1998-O1998</f>
        <v>0</v>
      </c>
      <c r="X1998" s="3">
        <v>22.57</v>
      </c>
      <c r="AA1998" s="3">
        <v>22.57</v>
      </c>
      <c r="AC1998" s="3">
        <f>AA1998-X1998</f>
        <v>0</v>
      </c>
      <c r="AD1998" s="24">
        <v>27</v>
      </c>
      <c r="AF1998" s="24">
        <f>AD1998-AA1998</f>
        <v>4.43</v>
      </c>
      <c r="AJ1998" s="3">
        <v>22</v>
      </c>
      <c r="AM1998" s="3">
        <v>22</v>
      </c>
      <c r="AO1998" s="3">
        <f>AM1998-AJ1998</f>
        <v>0</v>
      </c>
      <c r="AP1998" s="3">
        <v>18</v>
      </c>
      <c r="AS1998" s="3">
        <v>19</v>
      </c>
      <c r="AV1998" s="3">
        <v>13</v>
      </c>
      <c r="AZ1998" s="3">
        <v>18</v>
      </c>
      <c r="BA1998" s="1" t="s">
        <v>852</v>
      </c>
    </row>
    <row r="1999" spans="1:61">
      <c r="A1999" s="6">
        <v>1</v>
      </c>
      <c r="B1999" s="103" t="s">
        <v>774</v>
      </c>
      <c r="C1999" s="1" t="s">
        <v>52</v>
      </c>
      <c r="D1999" s="2">
        <v>9</v>
      </c>
      <c r="E1999" s="2"/>
      <c r="F1999" s="8">
        <v>9</v>
      </c>
      <c r="G1999" s="8"/>
      <c r="H1999" s="8">
        <v>9</v>
      </c>
      <c r="I1999" s="8">
        <f>H1999-D1999</f>
        <v>0</v>
      </c>
      <c r="U1999" s="3">
        <v>6</v>
      </c>
      <c r="AB1999" s="1" t="s">
        <v>285</v>
      </c>
    </row>
    <row r="2000" spans="1:61">
      <c r="A2000" s="6">
        <v>3</v>
      </c>
      <c r="B2000" s="103" t="s">
        <v>774</v>
      </c>
      <c r="C2000" s="1" t="s">
        <v>54</v>
      </c>
      <c r="D2000" s="2"/>
      <c r="E2000" s="2"/>
      <c r="F2000" s="8">
        <v>0</v>
      </c>
      <c r="G2000" s="8"/>
      <c r="H2000" s="8">
        <v>0</v>
      </c>
      <c r="I2000" s="8"/>
      <c r="AB2000" s="1" t="s">
        <v>285</v>
      </c>
    </row>
    <row r="2001" spans="1:61">
      <c r="A2001" s="6">
        <v>4</v>
      </c>
      <c r="B2001" s="103" t="s">
        <v>774</v>
      </c>
      <c r="C2001" s="1" t="s">
        <v>55</v>
      </c>
      <c r="D2001" s="2"/>
      <c r="E2001" s="2"/>
      <c r="F2001" s="8">
        <v>0</v>
      </c>
      <c r="G2001" s="8"/>
      <c r="H2001" s="8">
        <v>0</v>
      </c>
      <c r="I2001" s="8"/>
      <c r="AB2001" s="1" t="s">
        <v>285</v>
      </c>
    </row>
    <row r="2002" spans="1:61">
      <c r="A2002" s="6">
        <v>5</v>
      </c>
      <c r="B2002" s="103" t="s">
        <v>774</v>
      </c>
      <c r="C2002" s="1" t="s">
        <v>56</v>
      </c>
      <c r="D2002" s="2"/>
      <c r="E2002" s="2"/>
      <c r="F2002" s="8">
        <v>0</v>
      </c>
      <c r="G2002" s="8"/>
      <c r="H2002" s="8">
        <v>0</v>
      </c>
      <c r="I2002" s="8"/>
      <c r="AB2002" s="1" t="s">
        <v>285</v>
      </c>
    </row>
    <row r="2003" spans="1:61">
      <c r="A2003" s="6">
        <v>2</v>
      </c>
      <c r="B2003" s="103" t="s">
        <v>774</v>
      </c>
      <c r="C2003" s="1" t="s">
        <v>53</v>
      </c>
      <c r="D2003" s="2">
        <v>9</v>
      </c>
      <c r="E2003" s="2"/>
      <c r="F2003" s="8">
        <v>9</v>
      </c>
      <c r="G2003" s="8"/>
      <c r="H2003" s="8">
        <v>9</v>
      </c>
      <c r="I2003" s="10">
        <f>H2003-D2003</f>
        <v>0</v>
      </c>
      <c r="M2003" s="3">
        <v>11</v>
      </c>
      <c r="O2003" s="3">
        <v>11</v>
      </c>
      <c r="Q2003" s="3">
        <f>O2003-H2003</f>
        <v>2</v>
      </c>
      <c r="U2003" s="3">
        <v>6</v>
      </c>
      <c r="X2003" s="3">
        <v>10</v>
      </c>
      <c r="AB2003" s="1" t="s">
        <v>285</v>
      </c>
    </row>
    <row r="2004" spans="1:61" ht="9.6" customHeight="1">
      <c r="A2004" s="6">
        <v>12</v>
      </c>
      <c r="B2004" s="103" t="s">
        <v>774</v>
      </c>
      <c r="C2004" s="1" t="s">
        <v>594</v>
      </c>
      <c r="D2004" s="2"/>
      <c r="E2004" s="2"/>
      <c r="F2004" s="8">
        <v>10</v>
      </c>
      <c r="G2004" s="8"/>
      <c r="H2004" s="8">
        <v>10</v>
      </c>
      <c r="I2004" s="8"/>
      <c r="U2004" s="3">
        <v>6</v>
      </c>
      <c r="X2004" s="3">
        <v>7</v>
      </c>
      <c r="AB2004" s="1" t="s">
        <v>285</v>
      </c>
      <c r="AD2004" s="24">
        <v>3</v>
      </c>
      <c r="AG2004" s="3">
        <v>3</v>
      </c>
      <c r="AI2004" s="3">
        <f>AG2004-AD2004</f>
        <v>0</v>
      </c>
      <c r="AJ2004" s="3">
        <v>3</v>
      </c>
      <c r="AM2004" s="3">
        <v>3</v>
      </c>
      <c r="AO2004" s="3">
        <f>AM2004-AJ2004</f>
        <v>0</v>
      </c>
      <c r="AP2004" s="3">
        <v>13</v>
      </c>
      <c r="AS2004" s="3">
        <v>13</v>
      </c>
      <c r="AV2004" s="3">
        <v>13</v>
      </c>
      <c r="AZ2004" s="3">
        <v>13</v>
      </c>
      <c r="BD2004" s="3">
        <v>15</v>
      </c>
      <c r="BH2004" s="3">
        <v>15</v>
      </c>
    </row>
    <row r="2005" spans="1:61">
      <c r="A2005" s="6">
        <v>14</v>
      </c>
      <c r="B2005" s="103" t="s">
        <v>774</v>
      </c>
      <c r="C2005" s="1" t="s">
        <v>58</v>
      </c>
      <c r="D2005" s="2">
        <v>10</v>
      </c>
      <c r="E2005" s="2"/>
      <c r="F2005" s="8">
        <v>13.5</v>
      </c>
      <c r="G2005" s="8"/>
      <c r="H2005" s="8">
        <v>13.5</v>
      </c>
      <c r="I2005" s="9">
        <f>H2005-D2005</f>
        <v>3.5</v>
      </c>
      <c r="L2005" s="1" t="s">
        <v>588</v>
      </c>
      <c r="M2005" s="3">
        <v>10</v>
      </c>
      <c r="O2005" s="3">
        <v>10</v>
      </c>
      <c r="Q2005" s="3">
        <f>O2005-H2005</f>
        <v>-3.5</v>
      </c>
      <c r="U2005" s="3">
        <v>10</v>
      </c>
      <c r="AB2005" s="1" t="s">
        <v>285</v>
      </c>
      <c r="AD2005" s="24">
        <v>2</v>
      </c>
      <c r="AG2005" s="3">
        <v>2</v>
      </c>
      <c r="AI2005" s="3">
        <f>AG2005-AD2005</f>
        <v>0</v>
      </c>
      <c r="AJ2005" s="3">
        <v>2</v>
      </c>
      <c r="AM2005" s="3">
        <v>2</v>
      </c>
      <c r="AO2005" s="3">
        <f>AM2005-AJ2005</f>
        <v>0</v>
      </c>
      <c r="AP2005" s="3">
        <v>36.950000000000003</v>
      </c>
      <c r="AS2005" s="3">
        <v>36.950000000000003</v>
      </c>
      <c r="AV2005" s="3">
        <v>37</v>
      </c>
      <c r="BD2005" s="3">
        <v>28.62</v>
      </c>
      <c r="BH2005" s="3">
        <v>28.62</v>
      </c>
    </row>
    <row r="2006" spans="1:61">
      <c r="B2006" s="103" t="s">
        <v>774</v>
      </c>
      <c r="C2006" s="1" t="s">
        <v>856</v>
      </c>
      <c r="D2006" s="2"/>
      <c r="E2006" s="2"/>
      <c r="F2006" s="8"/>
      <c r="G2006" s="8"/>
      <c r="H2006" s="8"/>
      <c r="Q2006" s="3"/>
      <c r="AI2006" s="3"/>
      <c r="AO2006" s="3"/>
      <c r="AZ2006" s="3">
        <v>83.3</v>
      </c>
    </row>
    <row r="2007" spans="1:61">
      <c r="B2007" s="103" t="s">
        <v>774</v>
      </c>
      <c r="C2007" s="1" t="s">
        <v>857</v>
      </c>
      <c r="D2007" s="2"/>
      <c r="E2007" s="2"/>
      <c r="F2007" s="8"/>
      <c r="G2007" s="8"/>
      <c r="H2007" s="8"/>
      <c r="Q2007" s="3"/>
      <c r="AI2007" s="3"/>
      <c r="AO2007" s="3"/>
      <c r="BD2007" s="3">
        <v>93.33</v>
      </c>
      <c r="BH2007" s="3">
        <v>93.33</v>
      </c>
    </row>
    <row r="2008" spans="1:61">
      <c r="B2008" s="103" t="s">
        <v>774</v>
      </c>
      <c r="C2008" s="1" t="s">
        <v>289</v>
      </c>
      <c r="D2008" s="2"/>
      <c r="E2008" s="2"/>
      <c r="F2008" s="8"/>
      <c r="G2008" s="8"/>
      <c r="H2008" s="8"/>
      <c r="Q2008" s="3"/>
      <c r="AI2008" s="3"/>
      <c r="AO2008" s="3"/>
      <c r="AP2008" s="3">
        <v>32.6</v>
      </c>
      <c r="AS2008" s="3">
        <v>32.6</v>
      </c>
      <c r="AV2008" s="3">
        <v>33</v>
      </c>
      <c r="AZ2008" s="3">
        <v>39.630000000000003</v>
      </c>
      <c r="BD2008" s="3">
        <v>23.16</v>
      </c>
      <c r="BH2008" s="3">
        <v>23.16</v>
      </c>
    </row>
    <row r="2009" spans="1:61">
      <c r="B2009" s="103" t="s">
        <v>774</v>
      </c>
      <c r="C2009" s="1" t="s">
        <v>290</v>
      </c>
      <c r="D2009" s="2"/>
      <c r="E2009" s="2"/>
      <c r="F2009" s="8"/>
      <c r="G2009" s="8"/>
      <c r="H2009" s="8"/>
      <c r="Q2009" s="3"/>
      <c r="AB2009" s="1" t="s">
        <v>285</v>
      </c>
      <c r="AD2009" s="24">
        <v>1</v>
      </c>
      <c r="AG2009" s="3">
        <v>1</v>
      </c>
      <c r="AI2009" s="3">
        <f>AG2009-AD2009</f>
        <v>0</v>
      </c>
      <c r="AJ2009" s="3">
        <v>1.3</v>
      </c>
      <c r="AM2009" s="3">
        <v>1.3</v>
      </c>
      <c r="AO2009" s="3">
        <f>AM2009-AJ2009</f>
        <v>0</v>
      </c>
      <c r="BD2009" s="3">
        <v>27.77</v>
      </c>
      <c r="BH2009" s="3">
        <v>27.77</v>
      </c>
    </row>
    <row r="2010" spans="1:61">
      <c r="B2010" s="103" t="s">
        <v>774</v>
      </c>
      <c r="C2010" s="1" t="s">
        <v>64</v>
      </c>
      <c r="D2010" s="2"/>
      <c r="E2010" s="2"/>
      <c r="F2010" s="8"/>
      <c r="G2010" s="8"/>
      <c r="H2010" s="8"/>
      <c r="Q2010" s="3"/>
      <c r="AB2010" s="1" t="s">
        <v>285</v>
      </c>
      <c r="AD2010" s="24">
        <v>2</v>
      </c>
      <c r="AG2010" s="3">
        <v>2</v>
      </c>
      <c r="AI2010" s="3">
        <f>AG2010-AD2010</f>
        <v>0</v>
      </c>
      <c r="AJ2010" s="3">
        <v>2.5</v>
      </c>
      <c r="AM2010" s="3">
        <v>2.5</v>
      </c>
      <c r="AO2010" s="3">
        <f>AM2010-AJ2010</f>
        <v>0</v>
      </c>
      <c r="AP2010" s="3">
        <v>36.950000000000003</v>
      </c>
      <c r="AS2010" s="3">
        <v>36.950000000000003</v>
      </c>
      <c r="AV2010" s="3">
        <v>37</v>
      </c>
      <c r="BD2010" s="3">
        <v>35.43</v>
      </c>
      <c r="BH2010" s="3">
        <v>35.43</v>
      </c>
    </row>
    <row r="2011" spans="1:61">
      <c r="B2011" s="103" t="s">
        <v>774</v>
      </c>
      <c r="C2011" s="1" t="s">
        <v>855</v>
      </c>
      <c r="D2011" s="2"/>
      <c r="E2011" s="2"/>
      <c r="F2011" s="8"/>
      <c r="G2011" s="8"/>
      <c r="H2011" s="8"/>
      <c r="Q2011" s="3"/>
      <c r="AI2011" s="3"/>
      <c r="AO2011" s="3"/>
      <c r="AZ2011" s="3">
        <v>94.77</v>
      </c>
      <c r="BD2011" s="3">
        <v>94.77</v>
      </c>
      <c r="BH2011" s="3">
        <v>94.77</v>
      </c>
    </row>
    <row r="2012" spans="1:61">
      <c r="B2012" s="103" t="s">
        <v>774</v>
      </c>
      <c r="C2012" s="1" t="s">
        <v>286</v>
      </c>
      <c r="D2012" s="2"/>
      <c r="E2012" s="2"/>
      <c r="F2012" s="8"/>
      <c r="G2012" s="8"/>
      <c r="H2012" s="8"/>
      <c r="I2012" s="8"/>
      <c r="AP2012" s="3">
        <v>36.950000000000003</v>
      </c>
      <c r="AS2012" s="3">
        <v>36.950000000000003</v>
      </c>
      <c r="AV2012" s="3">
        <v>37</v>
      </c>
      <c r="BD2012" s="3">
        <v>41.23</v>
      </c>
      <c r="BH2012" s="3">
        <v>41.23</v>
      </c>
    </row>
    <row r="2013" spans="1:61">
      <c r="B2013" s="103" t="s">
        <v>774</v>
      </c>
      <c r="C2013" s="1" t="s">
        <v>288</v>
      </c>
      <c r="D2013" s="2"/>
      <c r="E2013" s="2"/>
      <c r="F2013" s="8"/>
      <c r="G2013" s="8"/>
      <c r="H2013" s="8"/>
      <c r="Q2013" s="3"/>
      <c r="AB2013" s="1" t="s">
        <v>285</v>
      </c>
      <c r="AD2013" s="24">
        <v>2</v>
      </c>
      <c r="AG2013" s="3">
        <v>2</v>
      </c>
      <c r="AI2013" s="3">
        <f>AG2013-AD2013</f>
        <v>0</v>
      </c>
      <c r="AJ2013" s="3">
        <v>2.7</v>
      </c>
      <c r="AM2013" s="3">
        <v>2.7</v>
      </c>
      <c r="AO2013" s="3">
        <f>AM2013-AJ2013</f>
        <v>0</v>
      </c>
      <c r="AP2013" s="3">
        <v>36.950000000000003</v>
      </c>
      <c r="AS2013" s="3">
        <v>36.950000000000003</v>
      </c>
      <c r="AV2013" s="3">
        <v>37</v>
      </c>
      <c r="AZ2013" s="3">
        <v>115.59</v>
      </c>
      <c r="BD2013" s="3">
        <v>35.130000000000003</v>
      </c>
      <c r="BH2013" s="3">
        <v>35.130000000000003</v>
      </c>
    </row>
    <row r="2014" spans="1:61">
      <c r="A2014" s="6">
        <v>11</v>
      </c>
      <c r="B2014" s="103" t="s">
        <v>774</v>
      </c>
      <c r="C2014" s="1" t="s">
        <v>57</v>
      </c>
      <c r="D2014" s="2"/>
      <c r="E2014" s="2"/>
      <c r="F2014" s="8">
        <v>0</v>
      </c>
      <c r="G2014" s="8"/>
      <c r="H2014" s="8">
        <v>0</v>
      </c>
      <c r="I2014" s="8"/>
      <c r="AB2014" s="1" t="s">
        <v>285</v>
      </c>
    </row>
    <row r="2015" spans="1:61">
      <c r="B2015" s="103" t="s">
        <v>774</v>
      </c>
      <c r="C2015" s="1" t="s">
        <v>287</v>
      </c>
      <c r="D2015" s="2"/>
      <c r="E2015" s="2"/>
      <c r="F2015" s="8"/>
      <c r="G2015" s="8"/>
      <c r="H2015" s="8"/>
      <c r="Q2015" s="3"/>
      <c r="AB2015" s="1" t="s">
        <v>285</v>
      </c>
      <c r="AD2015" s="24">
        <v>3</v>
      </c>
      <c r="AG2015" s="3">
        <v>3</v>
      </c>
      <c r="AI2015" s="3">
        <f>AG2015-AD2015</f>
        <v>0</v>
      </c>
      <c r="AJ2015" s="3">
        <v>3</v>
      </c>
      <c r="AM2015" s="3">
        <v>3</v>
      </c>
      <c r="AO2015" s="3">
        <f>AM2015-AJ2015</f>
        <v>0</v>
      </c>
    </row>
    <row r="2016" spans="1:61">
      <c r="A2016" s="6">
        <v>1</v>
      </c>
      <c r="B2016" s="103" t="s">
        <v>681</v>
      </c>
      <c r="C2016" s="1" t="s">
        <v>52</v>
      </c>
      <c r="D2016" s="2"/>
      <c r="E2016" s="2"/>
      <c r="F2016" s="8"/>
      <c r="G2016" s="8"/>
      <c r="H2016" s="8"/>
      <c r="Q2016" s="3"/>
      <c r="R2016" s="3">
        <v>10</v>
      </c>
      <c r="U2016" s="3">
        <v>4.5</v>
      </c>
      <c r="W2016" s="3">
        <f>U2016-R2016</f>
        <v>-5.5</v>
      </c>
      <c r="X2016" s="3">
        <v>4.5</v>
      </c>
      <c r="Z2016" s="3">
        <f>X2016-U2016</f>
        <v>0</v>
      </c>
      <c r="AA2016" s="3">
        <v>7.5</v>
      </c>
      <c r="AC2016" s="3">
        <f>AA2016-X2016</f>
        <v>3</v>
      </c>
      <c r="AE2016" s="1" t="s">
        <v>285</v>
      </c>
      <c r="AH2016" s="1" t="s">
        <v>285</v>
      </c>
      <c r="AK2016" s="1" t="s">
        <v>285</v>
      </c>
      <c r="AN2016" s="1" t="s">
        <v>285</v>
      </c>
      <c r="AQ2016" s="1" t="s">
        <v>285</v>
      </c>
      <c r="AT2016" s="1" t="s">
        <v>285</v>
      </c>
      <c r="AW2016" s="1" t="s">
        <v>285</v>
      </c>
      <c r="BA2016" s="1" t="s">
        <v>285</v>
      </c>
      <c r="BE2016" s="1" t="s">
        <v>285</v>
      </c>
      <c r="BI2016" s="1" t="s">
        <v>285</v>
      </c>
    </row>
    <row r="2017" spans="1:61">
      <c r="A2017" s="6">
        <v>3</v>
      </c>
      <c r="B2017" s="103" t="s">
        <v>681</v>
      </c>
      <c r="C2017" s="1" t="s">
        <v>54</v>
      </c>
      <c r="D2017" s="2"/>
      <c r="E2017" s="2"/>
      <c r="F2017" s="8"/>
      <c r="G2017" s="8"/>
      <c r="H2017" s="8"/>
      <c r="Q2017" s="3"/>
      <c r="R2017" s="2" t="s">
        <v>685</v>
      </c>
      <c r="U2017" s="2" t="s">
        <v>685</v>
      </c>
      <c r="AE2017" s="1" t="s">
        <v>285</v>
      </c>
      <c r="AH2017" s="1" t="s">
        <v>285</v>
      </c>
      <c r="AK2017" s="1" t="s">
        <v>285</v>
      </c>
      <c r="AN2017" s="1" t="s">
        <v>285</v>
      </c>
      <c r="AQ2017" s="1" t="s">
        <v>285</v>
      </c>
      <c r="AT2017" s="1" t="s">
        <v>285</v>
      </c>
      <c r="AW2017" s="1" t="s">
        <v>285</v>
      </c>
      <c r="BA2017" s="1" t="s">
        <v>285</v>
      </c>
      <c r="BE2017" s="1" t="s">
        <v>285</v>
      </c>
      <c r="BI2017" s="1" t="s">
        <v>285</v>
      </c>
    </row>
    <row r="2018" spans="1:61">
      <c r="A2018" s="6">
        <v>4</v>
      </c>
      <c r="B2018" s="103" t="s">
        <v>681</v>
      </c>
      <c r="C2018" s="1" t="s">
        <v>55</v>
      </c>
      <c r="D2018" s="2"/>
      <c r="E2018" s="2"/>
      <c r="F2018" s="8"/>
      <c r="G2018" s="8"/>
      <c r="H2018" s="8"/>
      <c r="Q2018" s="3"/>
      <c r="R2018" s="2" t="s">
        <v>685</v>
      </c>
      <c r="U2018" s="2" t="s">
        <v>685</v>
      </c>
      <c r="AE2018" s="1" t="s">
        <v>285</v>
      </c>
      <c r="AH2018" s="1" t="s">
        <v>285</v>
      </c>
      <c r="AK2018" s="1" t="s">
        <v>285</v>
      </c>
      <c r="AN2018" s="1" t="s">
        <v>285</v>
      </c>
      <c r="AQ2018" s="1" t="s">
        <v>285</v>
      </c>
      <c r="AT2018" s="1" t="s">
        <v>285</v>
      </c>
      <c r="AW2018" s="1" t="s">
        <v>285</v>
      </c>
      <c r="BA2018" s="1" t="s">
        <v>285</v>
      </c>
      <c r="BE2018" s="1" t="s">
        <v>285</v>
      </c>
      <c r="BI2018" s="1" t="s">
        <v>285</v>
      </c>
    </row>
    <row r="2019" spans="1:61">
      <c r="A2019" s="6">
        <v>5</v>
      </c>
      <c r="B2019" s="103" t="s">
        <v>681</v>
      </c>
      <c r="C2019" s="1" t="s">
        <v>56</v>
      </c>
      <c r="D2019" s="2"/>
      <c r="E2019" s="2"/>
      <c r="F2019" s="8"/>
      <c r="G2019" s="8"/>
      <c r="H2019" s="8"/>
      <c r="Q2019" s="3"/>
      <c r="R2019" s="2" t="s">
        <v>685</v>
      </c>
      <c r="U2019" s="2" t="s">
        <v>685</v>
      </c>
      <c r="AE2019" s="1" t="s">
        <v>285</v>
      </c>
      <c r="AH2019" s="1" t="s">
        <v>285</v>
      </c>
      <c r="AK2019" s="1" t="s">
        <v>285</v>
      </c>
      <c r="AN2019" s="1" t="s">
        <v>285</v>
      </c>
      <c r="AQ2019" s="1" t="s">
        <v>285</v>
      </c>
      <c r="AT2019" s="1" t="s">
        <v>285</v>
      </c>
      <c r="AW2019" s="1" t="s">
        <v>285</v>
      </c>
      <c r="BA2019" s="1" t="s">
        <v>285</v>
      </c>
      <c r="BE2019" s="1" t="s">
        <v>285</v>
      </c>
      <c r="BI2019" s="1" t="s">
        <v>285</v>
      </c>
    </row>
    <row r="2020" spans="1:61">
      <c r="A2020" s="6">
        <v>2</v>
      </c>
      <c r="B2020" s="103" t="s">
        <v>681</v>
      </c>
      <c r="C2020" s="1" t="s">
        <v>53</v>
      </c>
      <c r="D2020" s="2"/>
      <c r="E2020" s="2"/>
      <c r="F2020" s="8"/>
      <c r="G2020" s="8"/>
      <c r="H2020" s="8"/>
      <c r="Q2020" s="3"/>
      <c r="R2020" s="3">
        <v>10</v>
      </c>
      <c r="U2020" s="3">
        <v>7.5</v>
      </c>
      <c r="W2020" s="3">
        <f>U2020-R2020</f>
        <v>-2.5</v>
      </c>
      <c r="X2020" s="3">
        <v>7.5</v>
      </c>
      <c r="Z2020" s="3">
        <f>X2020-U2020</f>
        <v>0</v>
      </c>
      <c r="AA2020" s="3">
        <v>10</v>
      </c>
      <c r="AC2020" s="3">
        <f>AA2020-X2020</f>
        <v>2.5</v>
      </c>
      <c r="AE2020" s="1" t="s">
        <v>285</v>
      </c>
      <c r="AH2020" s="1" t="s">
        <v>285</v>
      </c>
      <c r="AK2020" s="1" t="s">
        <v>285</v>
      </c>
      <c r="AN2020" s="1" t="s">
        <v>285</v>
      </c>
      <c r="AQ2020" s="1" t="s">
        <v>285</v>
      </c>
      <c r="AT2020" s="1" t="s">
        <v>285</v>
      </c>
      <c r="AW2020" s="1" t="s">
        <v>285</v>
      </c>
      <c r="BA2020" s="1" t="s">
        <v>285</v>
      </c>
      <c r="BE2020" s="1" t="s">
        <v>285</v>
      </c>
      <c r="BI2020" s="1" t="s">
        <v>285</v>
      </c>
    </row>
    <row r="2021" spans="1:61">
      <c r="A2021" s="6">
        <v>12</v>
      </c>
      <c r="B2021" s="103" t="s">
        <v>681</v>
      </c>
      <c r="C2021" s="1" t="s">
        <v>594</v>
      </c>
      <c r="D2021" s="2"/>
      <c r="E2021" s="2"/>
      <c r="F2021" s="8"/>
      <c r="G2021" s="8"/>
      <c r="H2021" s="8"/>
      <c r="Q2021" s="3"/>
      <c r="R2021" s="2">
        <v>10</v>
      </c>
      <c r="U2021" s="3">
        <v>2.1</v>
      </c>
      <c r="W2021" s="3">
        <f>U2021-R2021</f>
        <v>-7.9</v>
      </c>
      <c r="X2021" s="3">
        <v>2.1</v>
      </c>
      <c r="Z2021" s="3">
        <f>X2021-U2021</f>
        <v>0</v>
      </c>
      <c r="AA2021" s="3">
        <v>2.4</v>
      </c>
      <c r="AC2021" s="3">
        <f>AA2021-X2021</f>
        <v>0.29999999999999982</v>
      </c>
      <c r="AE2021" s="1" t="s">
        <v>285</v>
      </c>
      <c r="AH2021" s="1" t="s">
        <v>285</v>
      </c>
      <c r="AK2021" s="1" t="s">
        <v>285</v>
      </c>
      <c r="AN2021" s="1" t="s">
        <v>285</v>
      </c>
      <c r="AQ2021" s="1" t="s">
        <v>285</v>
      </c>
      <c r="AT2021" s="1" t="s">
        <v>285</v>
      </c>
      <c r="AW2021" s="1" t="s">
        <v>285</v>
      </c>
      <c r="BA2021" s="1" t="s">
        <v>285</v>
      </c>
      <c r="BE2021" s="1" t="s">
        <v>285</v>
      </c>
      <c r="BI2021" s="1" t="s">
        <v>285</v>
      </c>
    </row>
    <row r="2022" spans="1:61">
      <c r="A2022" s="6">
        <v>14</v>
      </c>
      <c r="B2022" s="103" t="s">
        <v>681</v>
      </c>
      <c r="C2022" s="1" t="s">
        <v>58</v>
      </c>
      <c r="D2022" s="2"/>
      <c r="E2022" s="2"/>
      <c r="F2022" s="8"/>
      <c r="G2022" s="8"/>
      <c r="H2022" s="8"/>
      <c r="Q2022" s="3"/>
      <c r="R2022" s="3">
        <v>10</v>
      </c>
      <c r="U2022" s="3">
        <v>8</v>
      </c>
      <c r="W2022" s="3">
        <f>U2022-R2022</f>
        <v>-2</v>
      </c>
      <c r="X2022" s="3">
        <v>8</v>
      </c>
      <c r="Z2022" s="3">
        <f>X2022-U2022</f>
        <v>0</v>
      </c>
      <c r="AA2022" s="3">
        <v>8</v>
      </c>
      <c r="AC2022" s="3">
        <f>AA2022-X2022</f>
        <v>0</v>
      </c>
      <c r="AE2022" s="1" t="s">
        <v>285</v>
      </c>
      <c r="AH2022" s="1" t="s">
        <v>285</v>
      </c>
      <c r="AK2022" s="1" t="s">
        <v>285</v>
      </c>
      <c r="AN2022" s="1" t="s">
        <v>285</v>
      </c>
      <c r="AQ2022" s="1" t="s">
        <v>285</v>
      </c>
      <c r="AT2022" s="1" t="s">
        <v>285</v>
      </c>
      <c r="AW2022" s="1" t="s">
        <v>285</v>
      </c>
      <c r="BA2022" s="1" t="s">
        <v>285</v>
      </c>
      <c r="BE2022" s="1" t="s">
        <v>285</v>
      </c>
      <c r="BI2022" s="1" t="s">
        <v>285</v>
      </c>
    </row>
    <row r="2023" spans="1:61">
      <c r="A2023" s="6">
        <v>11</v>
      </c>
      <c r="B2023" s="103" t="s">
        <v>681</v>
      </c>
      <c r="C2023" s="1" t="s">
        <v>57</v>
      </c>
      <c r="D2023" s="2"/>
      <c r="E2023" s="2"/>
      <c r="F2023" s="8"/>
      <c r="G2023" s="8"/>
      <c r="H2023" s="8"/>
      <c r="Q2023" s="3"/>
      <c r="R2023" s="2" t="s">
        <v>685</v>
      </c>
      <c r="U2023" s="2" t="s">
        <v>685</v>
      </c>
      <c r="AE2023" s="1" t="s">
        <v>285</v>
      </c>
      <c r="AH2023" s="1" t="s">
        <v>285</v>
      </c>
      <c r="AK2023" s="1" t="s">
        <v>285</v>
      </c>
      <c r="AN2023" s="1" t="s">
        <v>285</v>
      </c>
      <c r="AQ2023" s="1" t="s">
        <v>285</v>
      </c>
      <c r="AT2023" s="1" t="s">
        <v>285</v>
      </c>
      <c r="AW2023" s="1" t="s">
        <v>285</v>
      </c>
      <c r="BA2023" s="1" t="s">
        <v>285</v>
      </c>
      <c r="BE2023" s="1" t="s">
        <v>285</v>
      </c>
      <c r="BI2023" s="1" t="s">
        <v>285</v>
      </c>
    </row>
    <row r="2024" spans="1:61">
      <c r="A2024" s="6">
        <v>1</v>
      </c>
      <c r="B2024" s="103" t="s">
        <v>555</v>
      </c>
      <c r="C2024" s="1" t="s">
        <v>52</v>
      </c>
      <c r="D2024" s="2"/>
      <c r="E2024" s="2"/>
      <c r="F2024" s="8"/>
      <c r="G2024" s="8"/>
      <c r="H2024" s="8"/>
      <c r="I2024" s="8"/>
      <c r="R2024" s="3">
        <v>11</v>
      </c>
      <c r="T2024" s="2"/>
      <c r="U2024" s="3">
        <v>11</v>
      </c>
      <c r="W2024" s="3">
        <f>U2024-R2024</f>
        <v>0</v>
      </c>
      <c r="AT2024" s="1" t="s">
        <v>285</v>
      </c>
      <c r="AW2024" s="1" t="s">
        <v>285</v>
      </c>
    </row>
    <row r="2025" spans="1:61">
      <c r="A2025" s="6">
        <v>3</v>
      </c>
      <c r="B2025" s="103" t="s">
        <v>555</v>
      </c>
      <c r="C2025" s="1" t="s">
        <v>54</v>
      </c>
      <c r="D2025" s="2"/>
      <c r="E2025" s="2"/>
      <c r="F2025" s="8"/>
      <c r="G2025" s="8"/>
      <c r="H2025" s="8"/>
      <c r="I2025" s="8"/>
      <c r="AT2025" s="1" t="s">
        <v>285</v>
      </c>
      <c r="AW2025" s="1" t="s">
        <v>285</v>
      </c>
    </row>
    <row r="2026" spans="1:61">
      <c r="A2026" s="6">
        <v>4</v>
      </c>
      <c r="B2026" s="103" t="s">
        <v>555</v>
      </c>
      <c r="C2026" s="1" t="s">
        <v>55</v>
      </c>
      <c r="D2026" s="2"/>
      <c r="E2026" s="2"/>
      <c r="F2026" s="8"/>
      <c r="G2026" s="8"/>
      <c r="H2026" s="8"/>
      <c r="I2026" s="8"/>
      <c r="AT2026" s="1" t="s">
        <v>285</v>
      </c>
      <c r="AW2026" s="1" t="s">
        <v>285</v>
      </c>
    </row>
    <row r="2027" spans="1:61">
      <c r="A2027" s="6">
        <v>5</v>
      </c>
      <c r="B2027" s="103" t="s">
        <v>555</v>
      </c>
      <c r="C2027" s="1" t="s">
        <v>56</v>
      </c>
      <c r="D2027" s="2"/>
      <c r="E2027" s="2"/>
      <c r="F2027" s="8"/>
      <c r="G2027" s="8"/>
      <c r="H2027" s="8"/>
      <c r="I2027" s="8"/>
      <c r="AT2027" s="1" t="s">
        <v>285</v>
      </c>
      <c r="AW2027" s="1" t="s">
        <v>285</v>
      </c>
    </row>
    <row r="2028" spans="1:61">
      <c r="A2028" s="6">
        <v>2</v>
      </c>
      <c r="B2028" s="103" t="s">
        <v>555</v>
      </c>
      <c r="C2028" s="1" t="s">
        <v>53</v>
      </c>
      <c r="D2028" s="2">
        <v>11.5</v>
      </c>
      <c r="E2028" s="2"/>
      <c r="F2028" s="8">
        <v>11.5</v>
      </c>
      <c r="G2028" s="8"/>
      <c r="H2028" s="8">
        <v>11.5</v>
      </c>
      <c r="I2028" s="10">
        <f>H2028-D2028</f>
        <v>0</v>
      </c>
      <c r="L2028" s="1" t="s">
        <v>71</v>
      </c>
      <c r="M2028" s="3">
        <v>16</v>
      </c>
      <c r="O2028" s="3">
        <v>16</v>
      </c>
      <c r="Q2028" s="3">
        <f>O2028-H2028</f>
        <v>4.5</v>
      </c>
      <c r="R2028" s="3">
        <v>10</v>
      </c>
      <c r="T2028" s="3">
        <f>R2028-O2028</f>
        <v>-6</v>
      </c>
      <c r="U2028" s="3">
        <v>10</v>
      </c>
      <c r="W2028" s="3">
        <f>U2028-R2028</f>
        <v>0</v>
      </c>
      <c r="X2028" s="3">
        <v>20</v>
      </c>
      <c r="Z2028" s="3">
        <f>X2028-U2028</f>
        <v>10</v>
      </c>
      <c r="AT2028" s="1" t="s">
        <v>285</v>
      </c>
      <c r="AW2028" s="1" t="s">
        <v>285</v>
      </c>
    </row>
    <row r="2029" spans="1:61">
      <c r="B2029" s="103" t="s">
        <v>555</v>
      </c>
      <c r="C2029" s="1" t="s">
        <v>595</v>
      </c>
      <c r="D2029" s="2"/>
      <c r="E2029" s="2"/>
      <c r="F2029" s="8"/>
      <c r="G2029" s="8"/>
      <c r="H2029" s="8"/>
      <c r="I2029" s="8"/>
      <c r="Q2029" s="3"/>
      <c r="T2029" s="3"/>
      <c r="AJ2029" s="3">
        <v>20</v>
      </c>
      <c r="AL2029" s="3"/>
      <c r="AP2029" s="3">
        <v>17</v>
      </c>
      <c r="AT2029" s="1" t="s">
        <v>285</v>
      </c>
      <c r="AW2029" s="1" t="s">
        <v>285</v>
      </c>
    </row>
    <row r="2030" spans="1:61">
      <c r="A2030" s="6">
        <v>12</v>
      </c>
      <c r="B2030" s="103" t="s">
        <v>555</v>
      </c>
      <c r="C2030" s="1" t="s">
        <v>594</v>
      </c>
      <c r="D2030" s="2">
        <v>9.5</v>
      </c>
      <c r="E2030" s="2"/>
      <c r="F2030" s="8">
        <v>9.5</v>
      </c>
      <c r="G2030" s="8"/>
      <c r="H2030" s="8">
        <v>9.5</v>
      </c>
      <c r="I2030" s="8">
        <f>H2030-D2030</f>
        <v>0</v>
      </c>
      <c r="M2030" s="3">
        <v>10</v>
      </c>
      <c r="O2030" s="3">
        <v>10</v>
      </c>
      <c r="Q2030" s="3">
        <f>O2030-H2030</f>
        <v>0.5</v>
      </c>
      <c r="R2030" s="3">
        <v>8</v>
      </c>
      <c r="T2030" s="3">
        <f>R2030-O2030</f>
        <v>-2</v>
      </c>
      <c r="U2030" s="3">
        <v>8</v>
      </c>
      <c r="W2030" s="3">
        <f>U2030-R2030</f>
        <v>0</v>
      </c>
      <c r="X2030" s="3">
        <v>16</v>
      </c>
      <c r="Z2030" s="3">
        <f>X2030-U2030</f>
        <v>8</v>
      </c>
      <c r="AA2030" s="3">
        <v>16</v>
      </c>
      <c r="AC2030" s="3">
        <f>AA2030-X2030</f>
        <v>0</v>
      </c>
      <c r="AD2030" s="24">
        <v>16</v>
      </c>
      <c r="AJ2030" s="3">
        <v>10</v>
      </c>
      <c r="AL2030" s="3"/>
      <c r="AM2030" s="3">
        <v>20</v>
      </c>
      <c r="AO2030" s="3">
        <f>AM2030-AJ2030</f>
        <v>10</v>
      </c>
      <c r="AP2030" s="3">
        <v>22</v>
      </c>
      <c r="AT2030" s="1" t="s">
        <v>285</v>
      </c>
      <c r="AW2030" s="1" t="s">
        <v>285</v>
      </c>
      <c r="AY2030" s="3">
        <v>8</v>
      </c>
      <c r="AZ2030" s="3">
        <v>8</v>
      </c>
      <c r="BC2030" s="3">
        <v>7</v>
      </c>
      <c r="BD2030" s="3">
        <v>7</v>
      </c>
      <c r="BG2030" s="3">
        <v>7</v>
      </c>
      <c r="BH2030" s="3">
        <v>7</v>
      </c>
    </row>
    <row r="2031" spans="1:61">
      <c r="A2031" s="6">
        <v>14</v>
      </c>
      <c r="B2031" s="103" t="s">
        <v>555</v>
      </c>
      <c r="C2031" s="1" t="s">
        <v>58</v>
      </c>
      <c r="D2031" s="2">
        <v>17</v>
      </c>
      <c r="E2031" s="2"/>
      <c r="F2031" s="8">
        <v>17</v>
      </c>
      <c r="G2031" s="8"/>
      <c r="H2031" s="8">
        <v>17</v>
      </c>
      <c r="I2031" s="8">
        <f>H2031-D2031</f>
        <v>0</v>
      </c>
      <c r="L2031" s="1" t="s">
        <v>173</v>
      </c>
      <c r="M2031" s="3">
        <v>11</v>
      </c>
      <c r="O2031" s="3">
        <v>11</v>
      </c>
      <c r="Q2031" s="3">
        <f>O2031-H2031</f>
        <v>-6</v>
      </c>
      <c r="R2031" s="3">
        <v>9</v>
      </c>
      <c r="T2031" s="3">
        <f>R2031-O2031</f>
        <v>-2</v>
      </c>
      <c r="U2031" s="3">
        <v>9</v>
      </c>
      <c r="W2031" s="3">
        <f>U2031-R2031</f>
        <v>0</v>
      </c>
      <c r="X2031" s="3">
        <v>16</v>
      </c>
      <c r="Z2031" s="3">
        <f>X2031-U2031</f>
        <v>7</v>
      </c>
      <c r="AA2031" s="3">
        <v>16</v>
      </c>
      <c r="AC2031" s="3">
        <f>AA2031-X2031</f>
        <v>0</v>
      </c>
      <c r="AD2031" s="24">
        <v>16</v>
      </c>
      <c r="AP2031" s="3">
        <v>17</v>
      </c>
      <c r="AT2031" s="1" t="s">
        <v>285</v>
      </c>
      <c r="AW2031" s="1" t="s">
        <v>285</v>
      </c>
      <c r="AY2031" s="3">
        <v>11</v>
      </c>
      <c r="AZ2031" s="3">
        <v>11</v>
      </c>
      <c r="BC2031" s="3">
        <v>10</v>
      </c>
      <c r="BD2031" s="3">
        <v>11</v>
      </c>
      <c r="BG2031" s="3">
        <v>10</v>
      </c>
      <c r="BH2031" s="3">
        <v>11</v>
      </c>
    </row>
    <row r="2032" spans="1:61">
      <c r="B2032" s="103" t="s">
        <v>555</v>
      </c>
      <c r="C2032" s="1" t="s">
        <v>857</v>
      </c>
      <c r="D2032" s="2"/>
      <c r="E2032" s="2"/>
      <c r="F2032" s="8"/>
      <c r="G2032" s="8"/>
      <c r="H2032" s="8"/>
      <c r="I2032" s="8"/>
      <c r="Q2032" s="3"/>
      <c r="T2032" s="3"/>
      <c r="W2032" s="3"/>
      <c r="AC2032" s="3"/>
      <c r="BC2032" s="3">
        <v>20</v>
      </c>
      <c r="BD2032" s="3">
        <v>20</v>
      </c>
      <c r="BG2032" s="3">
        <v>20</v>
      </c>
      <c r="BH2032" s="3">
        <v>20</v>
      </c>
    </row>
    <row r="2033" spans="1:60">
      <c r="B2033" s="103" t="s">
        <v>555</v>
      </c>
      <c r="C2033" s="1" t="s">
        <v>289</v>
      </c>
      <c r="D2033" s="2"/>
      <c r="E2033" s="2"/>
      <c r="F2033" s="8"/>
      <c r="G2033" s="8"/>
      <c r="H2033" s="8"/>
      <c r="I2033" s="8"/>
      <c r="Q2033" s="3"/>
      <c r="T2033" s="3"/>
      <c r="X2033" s="3">
        <v>10.77</v>
      </c>
      <c r="AA2033" s="3">
        <v>20</v>
      </c>
      <c r="AC2033" s="3">
        <f>AA2033-X2033</f>
        <v>9.23</v>
      </c>
      <c r="AD2033" s="24">
        <v>20</v>
      </c>
      <c r="AJ2033" s="3">
        <v>12</v>
      </c>
      <c r="AM2033" s="3">
        <v>12</v>
      </c>
      <c r="AO2033" s="3">
        <f>AM2033-AJ2033</f>
        <v>0</v>
      </c>
      <c r="AP2033" s="3">
        <v>20</v>
      </c>
      <c r="AT2033" s="1" t="s">
        <v>285</v>
      </c>
      <c r="AW2033" s="1" t="s">
        <v>285</v>
      </c>
      <c r="AY2033" s="3">
        <v>8</v>
      </c>
      <c r="AZ2033" s="3">
        <v>8</v>
      </c>
      <c r="BC2033" s="3">
        <v>10</v>
      </c>
      <c r="BD2033" s="3">
        <v>10</v>
      </c>
      <c r="BG2033" s="3">
        <v>10</v>
      </c>
      <c r="BH2033" s="3">
        <v>10</v>
      </c>
    </row>
    <row r="2034" spans="1:60">
      <c r="B2034" s="103" t="s">
        <v>555</v>
      </c>
      <c r="C2034" s="1" t="s">
        <v>290</v>
      </c>
      <c r="D2034" s="2"/>
      <c r="E2034" s="2"/>
      <c r="F2034" s="8"/>
      <c r="G2034" s="8"/>
      <c r="H2034" s="8"/>
      <c r="I2034" s="8"/>
      <c r="Q2034" s="3"/>
      <c r="T2034" s="3"/>
      <c r="AA2034" s="3">
        <f>70*1000/400</f>
        <v>175</v>
      </c>
      <c r="AB2034" s="1" t="s">
        <v>692</v>
      </c>
      <c r="AD2034" s="24">
        <v>175</v>
      </c>
      <c r="AG2034" s="3">
        <v>210</v>
      </c>
      <c r="AI2034" s="3">
        <f>AG2034-AD2034</f>
        <v>35</v>
      </c>
      <c r="AP2034" s="3">
        <v>20</v>
      </c>
      <c r="AT2034" s="1" t="s">
        <v>285</v>
      </c>
      <c r="AW2034" s="1" t="s">
        <v>285</v>
      </c>
      <c r="BC2034" s="3">
        <v>20</v>
      </c>
      <c r="BD2034" s="3">
        <v>20</v>
      </c>
      <c r="BG2034" s="3">
        <v>20</v>
      </c>
      <c r="BH2034" s="3">
        <v>20</v>
      </c>
    </row>
    <row r="2035" spans="1:60">
      <c r="B2035" s="103" t="s">
        <v>555</v>
      </c>
      <c r="C2035" s="1" t="s">
        <v>64</v>
      </c>
      <c r="D2035" s="2"/>
      <c r="E2035" s="2"/>
      <c r="F2035" s="8"/>
      <c r="G2035" s="8"/>
      <c r="H2035" s="8"/>
      <c r="I2035" s="8"/>
      <c r="Q2035" s="3"/>
      <c r="T2035" s="3"/>
      <c r="U2035" s="3">
        <v>16</v>
      </c>
      <c r="X2035" s="3">
        <v>16</v>
      </c>
      <c r="Z2035" s="3">
        <f>X2035-U2035</f>
        <v>0</v>
      </c>
      <c r="AA2035" s="3">
        <v>16</v>
      </c>
      <c r="AC2035" s="3">
        <f>AA2035-X2035</f>
        <v>0</v>
      </c>
      <c r="AD2035" s="24">
        <v>16</v>
      </c>
      <c r="AJ2035" s="3">
        <v>20</v>
      </c>
      <c r="AM2035" s="3">
        <v>20</v>
      </c>
      <c r="AO2035" s="3">
        <f>AM2035-AJ2035</f>
        <v>0</v>
      </c>
      <c r="AP2035" s="3">
        <v>20</v>
      </c>
      <c r="AT2035" s="1" t="s">
        <v>285</v>
      </c>
      <c r="AW2035" s="1" t="s">
        <v>285</v>
      </c>
      <c r="AY2035" s="3">
        <v>10</v>
      </c>
      <c r="AZ2035" s="3">
        <v>10</v>
      </c>
      <c r="BC2035" s="3">
        <v>10</v>
      </c>
      <c r="BD2035" s="3">
        <v>13</v>
      </c>
      <c r="BG2035" s="3">
        <v>13</v>
      </c>
      <c r="BH2035" s="3">
        <v>15</v>
      </c>
    </row>
    <row r="2036" spans="1:60">
      <c r="B2036" s="103" t="s">
        <v>555</v>
      </c>
      <c r="C2036" s="1" t="s">
        <v>855</v>
      </c>
      <c r="D2036" s="2"/>
      <c r="E2036" s="2"/>
      <c r="F2036" s="8"/>
      <c r="G2036" s="8"/>
      <c r="H2036" s="8"/>
      <c r="I2036" s="8"/>
      <c r="Q2036" s="3"/>
      <c r="T2036" s="3"/>
      <c r="AC2036" s="3"/>
      <c r="AO2036" s="3"/>
      <c r="AW2036" s="1" t="s">
        <v>285</v>
      </c>
      <c r="AY2036" s="3">
        <v>11</v>
      </c>
      <c r="AZ2036" s="3">
        <v>11</v>
      </c>
    </row>
    <row r="2037" spans="1:60">
      <c r="B2037" s="103" t="s">
        <v>555</v>
      </c>
      <c r="C2037" s="1" t="s">
        <v>286</v>
      </c>
      <c r="D2037" s="2"/>
      <c r="E2037" s="2"/>
      <c r="F2037" s="8"/>
      <c r="G2037" s="8"/>
      <c r="H2037" s="8"/>
      <c r="I2037" s="8"/>
      <c r="Q2037" s="3"/>
      <c r="T2037" s="3"/>
      <c r="X2037" s="3">
        <v>22</v>
      </c>
      <c r="AA2037" s="3">
        <v>22</v>
      </c>
      <c r="AC2037" s="3">
        <f>AA2037-X2037</f>
        <v>0</v>
      </c>
      <c r="AD2037" s="24">
        <v>22</v>
      </c>
      <c r="AJ2037" s="3">
        <v>20</v>
      </c>
      <c r="AM2037" s="3">
        <v>20</v>
      </c>
      <c r="AO2037" s="3">
        <f>AM2037-AJ2037</f>
        <v>0</v>
      </c>
      <c r="AP2037" s="3">
        <v>20</v>
      </c>
      <c r="AT2037" s="1" t="s">
        <v>285</v>
      </c>
      <c r="AW2037" s="1" t="s">
        <v>285</v>
      </c>
      <c r="BC2037" s="3">
        <v>10</v>
      </c>
      <c r="BD2037" s="3">
        <v>13</v>
      </c>
      <c r="BG2037" s="3">
        <v>13</v>
      </c>
      <c r="BH2037" s="3">
        <v>15</v>
      </c>
    </row>
    <row r="2038" spans="1:60">
      <c r="B2038" s="103" t="s">
        <v>555</v>
      </c>
      <c r="C2038" s="1" t="s">
        <v>288</v>
      </c>
      <c r="D2038" s="2"/>
      <c r="E2038" s="2"/>
      <c r="F2038" s="8"/>
      <c r="G2038" s="8"/>
      <c r="H2038" s="8"/>
      <c r="I2038" s="8"/>
      <c r="Q2038" s="3"/>
      <c r="T2038" s="3"/>
      <c r="U2038" s="3">
        <v>24</v>
      </c>
      <c r="X2038" s="3">
        <v>24</v>
      </c>
      <c r="Z2038" s="3">
        <f>X2038-U2038</f>
        <v>0</v>
      </c>
      <c r="AA2038" s="3">
        <v>24</v>
      </c>
      <c r="AC2038" s="3">
        <f>AA2038-X2038</f>
        <v>0</v>
      </c>
      <c r="AD2038" s="24">
        <v>24</v>
      </c>
      <c r="AJ2038" s="3">
        <v>24</v>
      </c>
      <c r="AL2038" s="3"/>
      <c r="AM2038" s="3">
        <v>24</v>
      </c>
      <c r="AO2038" s="3">
        <f>AM2038-AJ2038</f>
        <v>0</v>
      </c>
      <c r="AP2038" s="3">
        <v>20</v>
      </c>
      <c r="AT2038" s="1" t="s">
        <v>285</v>
      </c>
      <c r="AW2038" s="1" t="s">
        <v>285</v>
      </c>
      <c r="AY2038" s="3">
        <v>13</v>
      </c>
      <c r="AZ2038" s="3">
        <v>13</v>
      </c>
      <c r="BC2038" s="3">
        <v>12</v>
      </c>
      <c r="BD2038" s="3">
        <v>13</v>
      </c>
      <c r="BG2038" s="3">
        <v>12</v>
      </c>
      <c r="BH2038" s="3">
        <v>13</v>
      </c>
    </row>
    <row r="2039" spans="1:60">
      <c r="A2039" s="6">
        <v>11</v>
      </c>
      <c r="B2039" s="103" t="s">
        <v>555</v>
      </c>
      <c r="C2039" s="1" t="s">
        <v>57</v>
      </c>
      <c r="D2039" s="2"/>
      <c r="E2039" s="2"/>
      <c r="F2039" s="8"/>
      <c r="G2039" s="8"/>
      <c r="H2039" s="8"/>
      <c r="I2039" s="8"/>
      <c r="R2039" s="3">
        <v>25</v>
      </c>
      <c r="T2039" s="3"/>
      <c r="U2039" s="3">
        <v>25</v>
      </c>
      <c r="W2039" s="3">
        <f>U2039-R2039</f>
        <v>0</v>
      </c>
      <c r="AT2039" s="1" t="s">
        <v>285</v>
      </c>
      <c r="AW2039" s="1" t="s">
        <v>285</v>
      </c>
    </row>
    <row r="2040" spans="1:60">
      <c r="B2040" s="103" t="s">
        <v>555</v>
      </c>
      <c r="C2040" s="1" t="s">
        <v>287</v>
      </c>
      <c r="D2040" s="2"/>
      <c r="E2040" s="2"/>
      <c r="F2040" s="8"/>
      <c r="G2040" s="8"/>
      <c r="H2040" s="8"/>
      <c r="I2040" s="8"/>
      <c r="Q2040" s="3"/>
      <c r="T2040" s="3"/>
      <c r="U2040" s="3">
        <v>16</v>
      </c>
      <c r="AT2040" s="1" t="s">
        <v>285</v>
      </c>
      <c r="AW2040" s="1" t="s">
        <v>285</v>
      </c>
    </row>
    <row r="2041" spans="1:60">
      <c r="B2041" s="103" t="s">
        <v>555</v>
      </c>
      <c r="C2041" s="1" t="s">
        <v>872</v>
      </c>
      <c r="D2041" s="2"/>
      <c r="E2041" s="2"/>
      <c r="F2041" s="8"/>
      <c r="G2041" s="8"/>
      <c r="H2041" s="8"/>
      <c r="I2041" s="8"/>
      <c r="Q2041" s="3"/>
      <c r="T2041" s="3"/>
      <c r="BG2041" s="3">
        <v>13</v>
      </c>
      <c r="BH2041" s="3">
        <v>15</v>
      </c>
    </row>
    <row r="2042" spans="1:60">
      <c r="A2042" s="6">
        <v>1</v>
      </c>
      <c r="B2042" s="103" t="s">
        <v>360</v>
      </c>
      <c r="C2042" s="1" t="s">
        <v>52</v>
      </c>
      <c r="D2042" s="2">
        <v>8.5</v>
      </c>
      <c r="E2042" s="2"/>
      <c r="F2042" s="10">
        <v>5.3</v>
      </c>
      <c r="G2042" s="10"/>
      <c r="H2042" s="10">
        <v>5.3</v>
      </c>
      <c r="I2042" s="8">
        <f>H2042-D2042</f>
        <v>-3.2</v>
      </c>
      <c r="J2042" s="108"/>
      <c r="K2042" s="3"/>
      <c r="R2042" s="3">
        <v>5.28</v>
      </c>
      <c r="T2042" s="2"/>
      <c r="U2042" s="3">
        <v>5.15</v>
      </c>
      <c r="W2042" s="3">
        <f>U2042-R2042</f>
        <v>-0.12999999999999989</v>
      </c>
    </row>
    <row r="2043" spans="1:60">
      <c r="A2043" s="6">
        <v>3</v>
      </c>
      <c r="B2043" s="103" t="s">
        <v>360</v>
      </c>
      <c r="C2043" s="1" t="s">
        <v>54</v>
      </c>
      <c r="D2043" s="2"/>
      <c r="E2043" s="2"/>
      <c r="F2043" s="10">
        <v>19.5</v>
      </c>
      <c r="G2043" s="10">
        <v>73.75</v>
      </c>
      <c r="H2043" s="10">
        <v>73.75</v>
      </c>
      <c r="I2043" s="10"/>
      <c r="J2043" s="108"/>
      <c r="L2043" s="1" t="s">
        <v>217</v>
      </c>
      <c r="U2043" s="3">
        <v>219.07</v>
      </c>
    </row>
    <row r="2044" spans="1:60">
      <c r="A2044" s="6">
        <v>4</v>
      </c>
      <c r="B2044" s="103" t="s">
        <v>360</v>
      </c>
      <c r="C2044" s="1" t="s">
        <v>55</v>
      </c>
      <c r="D2044" s="2"/>
      <c r="E2044" s="2"/>
      <c r="F2044" s="10">
        <v>19.5</v>
      </c>
      <c r="G2044" s="10">
        <v>18.5</v>
      </c>
      <c r="H2044" s="10">
        <v>18.5</v>
      </c>
      <c r="I2044" s="10"/>
      <c r="J2044" s="108"/>
      <c r="L2044" s="1" t="s">
        <v>704</v>
      </c>
      <c r="R2044" s="3">
        <v>19.809999999999999</v>
      </c>
      <c r="T2044" s="3"/>
    </row>
    <row r="2045" spans="1:60">
      <c r="A2045" s="6">
        <v>5</v>
      </c>
      <c r="B2045" s="103" t="s">
        <v>360</v>
      </c>
      <c r="C2045" s="1" t="s">
        <v>56</v>
      </c>
      <c r="D2045" s="2"/>
      <c r="E2045" s="2"/>
      <c r="F2045" s="10">
        <v>0</v>
      </c>
      <c r="G2045" s="10"/>
      <c r="H2045" s="10">
        <v>0</v>
      </c>
      <c r="I2045" s="10"/>
      <c r="J2045" s="108"/>
    </row>
    <row r="2046" spans="1:60">
      <c r="A2046" s="6">
        <v>2</v>
      </c>
      <c r="B2046" s="103" t="s">
        <v>360</v>
      </c>
      <c r="C2046" s="1" t="s">
        <v>53</v>
      </c>
      <c r="D2046" s="2">
        <v>6</v>
      </c>
      <c r="E2046" s="2"/>
      <c r="F2046" s="10">
        <v>4.8</v>
      </c>
      <c r="G2046" s="10"/>
      <c r="H2046" s="10">
        <v>4.8</v>
      </c>
      <c r="I2046" s="10">
        <f>H2046-D2046</f>
        <v>-1.2000000000000002</v>
      </c>
      <c r="J2046" s="108"/>
      <c r="K2046" s="3"/>
      <c r="M2046" s="3">
        <v>11.05</v>
      </c>
      <c r="O2046" s="3">
        <v>11.05</v>
      </c>
      <c r="Q2046" s="3">
        <f>O2046-H2046</f>
        <v>6.2500000000000009</v>
      </c>
      <c r="R2046" s="3">
        <v>4.28</v>
      </c>
      <c r="T2046" s="3">
        <f>R2046-O2046</f>
        <v>-6.7700000000000005</v>
      </c>
      <c r="U2046" s="3">
        <v>5.15</v>
      </c>
      <c r="W2046" s="3">
        <f>U2046-R2046</f>
        <v>0.87000000000000011</v>
      </c>
    </row>
    <row r="2047" spans="1:60">
      <c r="B2047" s="103" t="s">
        <v>360</v>
      </c>
      <c r="C2047" s="1" t="s">
        <v>597</v>
      </c>
      <c r="D2047" s="2"/>
      <c r="E2047" s="2"/>
      <c r="F2047" s="10"/>
      <c r="G2047" s="10"/>
      <c r="H2047" s="10"/>
      <c r="I2047" s="10"/>
      <c r="J2047" s="108"/>
      <c r="T2047" s="3"/>
      <c r="W2047" s="3"/>
      <c r="X2047" s="3">
        <v>30</v>
      </c>
    </row>
    <row r="2048" spans="1:60">
      <c r="B2048" s="103" t="s">
        <v>360</v>
      </c>
      <c r="C2048" s="1" t="s">
        <v>595</v>
      </c>
      <c r="D2048" s="2"/>
      <c r="E2048" s="2"/>
      <c r="F2048" s="10"/>
      <c r="G2048" s="10"/>
      <c r="H2048" s="10"/>
      <c r="I2048" s="10"/>
      <c r="J2048" s="108"/>
      <c r="R2048" s="3">
        <v>19.82</v>
      </c>
      <c r="T2048" s="3"/>
      <c r="AD2048" s="24">
        <v>4.9800000000000004</v>
      </c>
      <c r="AG2048" s="3">
        <v>5.38</v>
      </c>
      <c r="AI2048" s="3">
        <f>AG2048-AD2048</f>
        <v>0.39999999999999947</v>
      </c>
      <c r="AJ2048" s="3">
        <v>5.38</v>
      </c>
      <c r="AL2048" s="3">
        <f>AJ2048-AG2048</f>
        <v>0</v>
      </c>
      <c r="AM2048" s="3">
        <v>5.42</v>
      </c>
      <c r="AO2048" s="3">
        <f>AM2048-AJ2048</f>
        <v>4.0000000000000036E-2</v>
      </c>
      <c r="AP2048" s="3">
        <v>5.52</v>
      </c>
      <c r="AS2048" s="3">
        <v>9.01</v>
      </c>
      <c r="AW2048" s="1">
        <v>8.3000000000000007</v>
      </c>
      <c r="AY2048" s="3">
        <v>8.3000000000000007</v>
      </c>
      <c r="AZ2048" s="3">
        <v>7.36</v>
      </c>
      <c r="BC2048" s="3">
        <v>7.36</v>
      </c>
      <c r="BD2048" s="3">
        <v>10.41</v>
      </c>
      <c r="BG2048" s="3">
        <v>10.41</v>
      </c>
    </row>
    <row r="2049" spans="1:60">
      <c r="A2049" s="6">
        <v>12</v>
      </c>
      <c r="B2049" s="103" t="s">
        <v>360</v>
      </c>
      <c r="C2049" s="1" t="s">
        <v>594</v>
      </c>
      <c r="D2049" s="2">
        <v>4.5</v>
      </c>
      <c r="E2049" s="2"/>
      <c r="F2049" s="10">
        <v>4.7</v>
      </c>
      <c r="G2049" s="10"/>
      <c r="H2049" s="10">
        <v>4.7</v>
      </c>
      <c r="I2049" s="8">
        <f>H2049-D2049</f>
        <v>0.20000000000000018</v>
      </c>
      <c r="J2049" s="108"/>
      <c r="K2049" s="3"/>
      <c r="M2049" s="3">
        <v>5.83</v>
      </c>
      <c r="O2049" s="3">
        <v>5.83</v>
      </c>
      <c r="Q2049" s="3">
        <f>O2049-H2049</f>
        <v>1.1299999999999999</v>
      </c>
      <c r="R2049" s="3">
        <v>5.78</v>
      </c>
      <c r="T2049" s="3">
        <f>R2049-O2049</f>
        <v>-4.9999999999999822E-2</v>
      </c>
      <c r="U2049" s="3">
        <v>11.86</v>
      </c>
      <c r="W2049" s="3">
        <f>U2049-R2049</f>
        <v>6.0799999999999992</v>
      </c>
      <c r="X2049" s="3">
        <v>7</v>
      </c>
      <c r="Z2049" s="3">
        <f>X2049-U2049</f>
        <v>-4.8599999999999994</v>
      </c>
      <c r="AA2049" s="3">
        <v>4.5</v>
      </c>
      <c r="AC2049" s="3">
        <f>AA2049-X2049</f>
        <v>-2.5</v>
      </c>
      <c r="AD2049" s="24">
        <v>5.13</v>
      </c>
      <c r="AG2049" s="3">
        <v>3.86</v>
      </c>
      <c r="AI2049" s="3">
        <f>AG2049-AD2049</f>
        <v>-1.27</v>
      </c>
      <c r="AJ2049" s="3">
        <v>4.2699999999999996</v>
      </c>
      <c r="AL2049" s="3">
        <f>AJ2049-AG2049</f>
        <v>0.4099999999999997</v>
      </c>
      <c r="AM2049" s="3">
        <v>4.58</v>
      </c>
      <c r="AO2049" s="3">
        <f>AM2049-AJ2049</f>
        <v>0.3100000000000005</v>
      </c>
      <c r="AP2049" s="3">
        <v>4.8099999999999996</v>
      </c>
      <c r="AS2049" s="3">
        <v>6.19</v>
      </c>
      <c r="AW2049" s="1">
        <v>7.55</v>
      </c>
      <c r="AY2049" s="3">
        <v>7.55</v>
      </c>
      <c r="AZ2049" s="3">
        <v>7.38</v>
      </c>
      <c r="BC2049" s="3">
        <v>7.38</v>
      </c>
      <c r="BD2049" s="3">
        <v>8.4</v>
      </c>
      <c r="BG2049" s="3">
        <v>8.4</v>
      </c>
      <c r="BH2049" s="3">
        <v>5.77</v>
      </c>
    </row>
    <row r="2050" spans="1:60">
      <c r="B2050" s="103" t="s">
        <v>360</v>
      </c>
      <c r="C2050" s="1" t="s">
        <v>372</v>
      </c>
      <c r="D2050" s="2"/>
      <c r="E2050" s="2"/>
      <c r="F2050" s="10"/>
      <c r="G2050" s="10"/>
      <c r="H2050" s="10"/>
      <c r="I2050" s="8"/>
      <c r="J2050" s="108"/>
      <c r="K2050" s="3"/>
      <c r="Q2050" s="3"/>
      <c r="T2050" s="3"/>
      <c r="W2050" s="3"/>
      <c r="AC2050" s="3"/>
      <c r="AI2050" s="3"/>
      <c r="AL2050" s="3"/>
      <c r="AO2050" s="3"/>
      <c r="BH2050" s="3">
        <v>4.72</v>
      </c>
    </row>
    <row r="2051" spans="1:60">
      <c r="A2051" s="6">
        <v>14</v>
      </c>
      <c r="B2051" s="103" t="s">
        <v>360</v>
      </c>
      <c r="C2051" s="1" t="s">
        <v>58</v>
      </c>
      <c r="D2051" s="2"/>
      <c r="E2051" s="2"/>
      <c r="F2051" s="10">
        <v>9</v>
      </c>
      <c r="G2051" s="10"/>
      <c r="H2051" s="10">
        <v>9</v>
      </c>
      <c r="I2051" s="10"/>
      <c r="J2051" s="108"/>
      <c r="M2051" s="3">
        <v>6.78</v>
      </c>
      <c r="O2051" s="3">
        <v>6.78</v>
      </c>
      <c r="Q2051" s="3">
        <f>O2051-H2051</f>
        <v>-2.2199999999999998</v>
      </c>
      <c r="R2051" s="3">
        <v>3.19</v>
      </c>
      <c r="T2051" s="3">
        <f>R2051-O2051</f>
        <v>-3.5900000000000003</v>
      </c>
      <c r="U2051" s="3">
        <v>23.53</v>
      </c>
      <c r="W2051" s="3">
        <f>U2051-R2051</f>
        <v>20.34</v>
      </c>
      <c r="X2051" s="3">
        <v>9</v>
      </c>
      <c r="Z2051" s="3">
        <f>X2051-U2051</f>
        <v>-14.530000000000001</v>
      </c>
      <c r="AA2051" s="3">
        <v>8.4</v>
      </c>
      <c r="AC2051" s="3">
        <f>AA2051-X2051</f>
        <v>-0.59999999999999964</v>
      </c>
      <c r="AD2051" s="24">
        <v>8.2100000000000009</v>
      </c>
      <c r="AG2051" s="3">
        <v>4.26</v>
      </c>
      <c r="AI2051" s="3">
        <f>AG2051-AD2051</f>
        <v>-3.9500000000000011</v>
      </c>
      <c r="AJ2051" s="3">
        <v>4.16</v>
      </c>
      <c r="AL2051" s="3">
        <f>AJ2051-AG2051</f>
        <v>-9.9999999999999645E-2</v>
      </c>
      <c r="AM2051" s="3">
        <v>5.42</v>
      </c>
      <c r="AO2051" s="3">
        <f>AM2051-AJ2051</f>
        <v>1.2599999999999998</v>
      </c>
      <c r="AP2051" s="3">
        <v>4.1100000000000003</v>
      </c>
      <c r="AS2051" s="3">
        <v>5.61</v>
      </c>
      <c r="AW2051" s="1">
        <v>8.84</v>
      </c>
      <c r="AY2051" s="3">
        <v>8.84</v>
      </c>
      <c r="AZ2051" s="3">
        <v>6.6239999999999997</v>
      </c>
      <c r="BC2051" s="3">
        <v>6.62</v>
      </c>
      <c r="BD2051" s="3">
        <v>5.67</v>
      </c>
      <c r="BG2051" s="3">
        <v>5.67</v>
      </c>
      <c r="BH2051" s="3">
        <v>5.42</v>
      </c>
    </row>
    <row r="2052" spans="1:60">
      <c r="B2052" s="103" t="s">
        <v>360</v>
      </c>
      <c r="C2052" s="1" t="s">
        <v>961</v>
      </c>
      <c r="D2052" s="2"/>
      <c r="E2052" s="2"/>
      <c r="F2052" s="10"/>
      <c r="G2052" s="10"/>
      <c r="H2052" s="10"/>
      <c r="I2052" s="10"/>
      <c r="J2052" s="108"/>
      <c r="Q2052" s="3"/>
      <c r="T2052" s="3"/>
      <c r="W2052" s="3"/>
      <c r="AC2052" s="3"/>
      <c r="AI2052" s="3"/>
      <c r="AL2052" s="3"/>
      <c r="AO2052" s="3"/>
      <c r="BD2052" s="3">
        <v>7.96</v>
      </c>
      <c r="BG2052" s="3">
        <v>7.96</v>
      </c>
    </row>
    <row r="2053" spans="1:60">
      <c r="B2053" s="103" t="s">
        <v>360</v>
      </c>
      <c r="C2053" s="1" t="s">
        <v>607</v>
      </c>
      <c r="D2053" s="2"/>
      <c r="E2053" s="2"/>
      <c r="F2053" s="10"/>
      <c r="G2053" s="10"/>
      <c r="H2053" s="10"/>
      <c r="I2053" s="10"/>
      <c r="J2053" s="108"/>
      <c r="R2053" s="3">
        <v>22.45</v>
      </c>
      <c r="U2053" s="3">
        <v>22.36</v>
      </c>
      <c r="W2053" s="3">
        <f>U2053-R2053</f>
        <v>-8.9999999999999858E-2</v>
      </c>
      <c r="X2053" s="3">
        <v>55</v>
      </c>
      <c r="Z2053" s="3">
        <f>X2053-U2053</f>
        <v>32.64</v>
      </c>
      <c r="AA2053" s="3">
        <v>30</v>
      </c>
      <c r="AC2053" s="3">
        <f>AA2053-X2053</f>
        <v>-25</v>
      </c>
      <c r="AD2053" s="24">
        <v>39.28</v>
      </c>
      <c r="AG2053" s="3">
        <v>49.71</v>
      </c>
      <c r="AJ2053" s="3">
        <v>38.659999999999997</v>
      </c>
      <c r="AM2053" s="3">
        <v>38.97</v>
      </c>
      <c r="AP2053" s="3">
        <v>38.81</v>
      </c>
      <c r="AS2053" s="3">
        <v>37.78</v>
      </c>
      <c r="AW2053" s="1">
        <v>37.75</v>
      </c>
      <c r="AY2053" s="3">
        <v>37.75</v>
      </c>
      <c r="AZ2053" s="3">
        <v>35</v>
      </c>
      <c r="BD2053" s="3">
        <v>17.09</v>
      </c>
      <c r="BG2053" s="3">
        <v>17.09</v>
      </c>
    </row>
    <row r="2054" spans="1:60">
      <c r="B2054" s="103" t="s">
        <v>360</v>
      </c>
      <c r="C2054" s="1" t="s">
        <v>857</v>
      </c>
      <c r="D2054" s="2"/>
      <c r="E2054" s="2"/>
      <c r="F2054" s="10"/>
      <c r="G2054" s="10"/>
      <c r="H2054" s="10"/>
      <c r="I2054" s="10"/>
      <c r="J2054" s="108"/>
      <c r="T2054" s="3"/>
      <c r="W2054" s="3"/>
      <c r="AC2054" s="3"/>
      <c r="AI2054" s="3"/>
      <c r="AL2054" s="3"/>
      <c r="AO2054" s="3"/>
      <c r="AZ2054" s="3">
        <v>7.7880000000000003</v>
      </c>
      <c r="BC2054" s="3">
        <v>7.79</v>
      </c>
      <c r="BD2054" s="3">
        <v>10.09</v>
      </c>
      <c r="BG2054" s="3">
        <v>10.09</v>
      </c>
      <c r="BH2054" s="3">
        <v>3.47</v>
      </c>
    </row>
    <row r="2055" spans="1:60">
      <c r="B2055" s="103" t="s">
        <v>360</v>
      </c>
      <c r="C2055" s="1" t="s">
        <v>289</v>
      </c>
      <c r="D2055" s="2"/>
      <c r="E2055" s="2"/>
      <c r="F2055" s="10"/>
      <c r="G2055" s="10"/>
      <c r="H2055" s="10"/>
      <c r="I2055" s="10"/>
      <c r="J2055" s="108"/>
      <c r="T2055" s="3"/>
      <c r="W2055" s="3"/>
      <c r="AC2055" s="3"/>
      <c r="AI2055" s="3"/>
      <c r="AL2055" s="3"/>
      <c r="AO2055" s="3"/>
      <c r="AP2055" s="3">
        <v>12.25</v>
      </c>
      <c r="AS2055" s="3">
        <v>12.25</v>
      </c>
      <c r="AW2055" s="1">
        <v>10.29</v>
      </c>
      <c r="AY2055" s="3">
        <v>10.29</v>
      </c>
      <c r="AZ2055" s="3">
        <v>12.79</v>
      </c>
      <c r="BC2055" s="3">
        <v>12.79</v>
      </c>
      <c r="BD2055" s="3">
        <v>14.61</v>
      </c>
    </row>
    <row r="2056" spans="1:60">
      <c r="B2056" s="103" t="s">
        <v>360</v>
      </c>
      <c r="C2056" s="1" t="s">
        <v>290</v>
      </c>
      <c r="D2056" s="2"/>
      <c r="E2056" s="2"/>
      <c r="F2056" s="10"/>
      <c r="G2056" s="10"/>
      <c r="H2056" s="10"/>
      <c r="I2056" s="10"/>
      <c r="J2056" s="108"/>
      <c r="T2056" s="3"/>
      <c r="W2056" s="3"/>
      <c r="AC2056" s="3"/>
      <c r="AI2056" s="3"/>
      <c r="AL2056" s="3"/>
      <c r="AO2056" s="3"/>
      <c r="AP2056" s="3">
        <v>27.81</v>
      </c>
      <c r="AS2056" s="3">
        <v>27.81</v>
      </c>
      <c r="AW2056" s="1">
        <v>29.06</v>
      </c>
      <c r="AY2056" s="3">
        <v>29.06</v>
      </c>
      <c r="AZ2056" s="3">
        <v>29.79</v>
      </c>
      <c r="BC2056" s="3">
        <v>29.79</v>
      </c>
      <c r="BD2056" s="3">
        <v>25.48</v>
      </c>
    </row>
    <row r="2057" spans="1:60">
      <c r="B2057" s="103" t="s">
        <v>360</v>
      </c>
      <c r="C2057" s="1" t="s">
        <v>64</v>
      </c>
      <c r="D2057" s="2"/>
      <c r="E2057" s="2"/>
      <c r="F2057" s="10"/>
      <c r="G2057" s="10"/>
      <c r="H2057" s="10"/>
      <c r="I2057" s="10"/>
      <c r="J2057" s="108"/>
      <c r="M2057" s="3">
        <v>8.1300000000000008</v>
      </c>
      <c r="O2057" s="3">
        <v>8.1300000000000008</v>
      </c>
      <c r="R2057" s="3">
        <v>4.92</v>
      </c>
      <c r="T2057" s="3">
        <f>R2057-O2057</f>
        <v>-3.2100000000000009</v>
      </c>
      <c r="U2057" s="3">
        <v>25.43</v>
      </c>
      <c r="W2057" s="3">
        <f>U2057-R2057</f>
        <v>20.509999999999998</v>
      </c>
      <c r="X2057" s="3">
        <v>11</v>
      </c>
      <c r="Z2057" s="3">
        <f>X2057-U2057</f>
        <v>-14.43</v>
      </c>
      <c r="AA2057" s="3">
        <v>9</v>
      </c>
      <c r="AC2057" s="3">
        <f>AA2057-X2057</f>
        <v>-2</v>
      </c>
      <c r="AD2057" s="24">
        <v>8.32</v>
      </c>
      <c r="AG2057" s="3">
        <v>5.32</v>
      </c>
      <c r="AI2057" s="3">
        <f>AG2057-AD2057</f>
        <v>-3</v>
      </c>
      <c r="AJ2057" s="3">
        <v>5.07</v>
      </c>
      <c r="AL2057" s="3">
        <f>AJ2057-AG2057</f>
        <v>-0.25</v>
      </c>
      <c r="AM2057" s="3">
        <v>5.83</v>
      </c>
      <c r="AO2057" s="3">
        <f>AM2057-AJ2057</f>
        <v>0.75999999999999979</v>
      </c>
      <c r="AP2057" s="3">
        <v>6.62</v>
      </c>
      <c r="AS2057" s="3">
        <v>6.55</v>
      </c>
      <c r="AW2057" s="1">
        <v>11.43</v>
      </c>
      <c r="AY2057" s="3">
        <v>11.43</v>
      </c>
      <c r="AZ2057" s="3">
        <v>7.31</v>
      </c>
      <c r="BC2057" s="3">
        <v>7.31</v>
      </c>
      <c r="BD2057" s="3">
        <v>7.12</v>
      </c>
      <c r="BG2057" s="3">
        <v>7.12</v>
      </c>
      <c r="BH2057" s="3">
        <v>6.95</v>
      </c>
    </row>
    <row r="2058" spans="1:60">
      <c r="B2058" s="103" t="s">
        <v>360</v>
      </c>
      <c r="C2058" s="1" t="s">
        <v>286</v>
      </c>
      <c r="D2058" s="2"/>
      <c r="E2058" s="2"/>
      <c r="F2058" s="10"/>
      <c r="G2058" s="10"/>
      <c r="H2058" s="10"/>
      <c r="I2058" s="10"/>
      <c r="J2058" s="108"/>
      <c r="M2058" s="3">
        <v>8.16</v>
      </c>
      <c r="O2058" s="3">
        <v>8.16</v>
      </c>
      <c r="R2058" s="3">
        <v>5.01</v>
      </c>
      <c r="T2058" s="3">
        <f>R2058-O2058</f>
        <v>-3.1500000000000004</v>
      </c>
      <c r="U2058" s="3">
        <v>25.56</v>
      </c>
      <c r="W2058" s="3">
        <f>U2058-R2058</f>
        <v>20.549999999999997</v>
      </c>
      <c r="X2058" s="3">
        <v>10</v>
      </c>
      <c r="Z2058" s="3">
        <f>X2058-U2058</f>
        <v>-15.559999999999999</v>
      </c>
      <c r="AA2058" s="3">
        <v>10</v>
      </c>
      <c r="AC2058" s="3">
        <f>AA2058-X2058</f>
        <v>0</v>
      </c>
      <c r="AD2058" s="24">
        <v>9.14</v>
      </c>
      <c r="AG2058" s="3">
        <v>5.5</v>
      </c>
      <c r="AI2058" s="3">
        <f>AG2058-AD2058</f>
        <v>-3.6400000000000006</v>
      </c>
      <c r="AJ2058" s="3">
        <v>4.76</v>
      </c>
      <c r="AL2058" s="3">
        <f>AJ2058-AG2058</f>
        <v>-0.74000000000000021</v>
      </c>
      <c r="AM2058" s="3">
        <v>5.32</v>
      </c>
      <c r="AO2058" s="3">
        <f>AM2058-AJ2058</f>
        <v>0.5600000000000005</v>
      </c>
      <c r="AP2058" s="3">
        <v>5.98</v>
      </c>
      <c r="AS2058" s="3">
        <v>7.04</v>
      </c>
      <c r="AW2058" s="1">
        <v>9.99</v>
      </c>
      <c r="AY2058" s="3">
        <v>9.99</v>
      </c>
      <c r="AZ2058" s="3">
        <v>7.7039999999999997</v>
      </c>
      <c r="BC2058" s="3">
        <v>7.7</v>
      </c>
      <c r="BD2058" s="3">
        <v>6.61</v>
      </c>
      <c r="BG2058" s="3">
        <v>6.61</v>
      </c>
      <c r="BH2058" s="3">
        <v>6.19</v>
      </c>
    </row>
    <row r="2059" spans="1:60">
      <c r="B2059" s="103" t="s">
        <v>360</v>
      </c>
      <c r="C2059" s="1" t="s">
        <v>288</v>
      </c>
      <c r="D2059" s="2"/>
      <c r="E2059" s="2"/>
      <c r="F2059" s="10"/>
      <c r="G2059" s="10"/>
      <c r="H2059" s="10"/>
      <c r="I2059" s="10"/>
      <c r="J2059" s="108"/>
      <c r="M2059" s="3">
        <v>8.39</v>
      </c>
      <c r="O2059" s="3">
        <v>8.39</v>
      </c>
      <c r="R2059" s="3">
        <v>4.75</v>
      </c>
      <c r="T2059" s="3">
        <f>R2059-O2059</f>
        <v>-3.6400000000000006</v>
      </c>
      <c r="U2059" s="3">
        <v>17.05</v>
      </c>
      <c r="W2059" s="3">
        <f>U2059-R2059</f>
        <v>12.3</v>
      </c>
      <c r="X2059" s="3">
        <v>11</v>
      </c>
      <c r="Z2059" s="3">
        <f>X2059-U2059</f>
        <v>-6.0500000000000007</v>
      </c>
      <c r="AA2059" s="3">
        <v>10</v>
      </c>
      <c r="AC2059" s="3">
        <f>AA2059-X2059</f>
        <v>-1</v>
      </c>
      <c r="AD2059" s="24">
        <v>8.9600000000000009</v>
      </c>
      <c r="AG2059" s="3">
        <v>5.25</v>
      </c>
      <c r="AI2059" s="3">
        <f>AG2059-AD2059</f>
        <v>-3.7100000000000009</v>
      </c>
      <c r="AJ2059" s="3">
        <v>4.8899999999999997</v>
      </c>
      <c r="AL2059" s="3">
        <f>AJ2059-AG2059</f>
        <v>-0.36000000000000032</v>
      </c>
      <c r="AM2059" s="3">
        <v>5.42</v>
      </c>
      <c r="AO2059" s="3">
        <f>AM2059-AJ2059</f>
        <v>0.53000000000000025</v>
      </c>
      <c r="AP2059" s="3">
        <v>5.98</v>
      </c>
      <c r="AS2059" s="3">
        <v>6.57</v>
      </c>
      <c r="AW2059" s="1">
        <v>11.29</v>
      </c>
      <c r="AY2059" s="3">
        <v>11.29</v>
      </c>
      <c r="AZ2059" s="3">
        <v>7.5119999999999996</v>
      </c>
      <c r="BC2059" s="3">
        <v>7.51</v>
      </c>
      <c r="BD2059" s="3">
        <v>8.3000000000000007</v>
      </c>
      <c r="BG2059" s="3">
        <v>8.3000000000000007</v>
      </c>
      <c r="BH2059" s="3">
        <v>5.74</v>
      </c>
    </row>
    <row r="2060" spans="1:60">
      <c r="B2060" s="103" t="s">
        <v>360</v>
      </c>
      <c r="C2060" s="1" t="s">
        <v>953</v>
      </c>
      <c r="D2060" s="2"/>
      <c r="E2060" s="2"/>
      <c r="F2060" s="10"/>
      <c r="G2060" s="10"/>
      <c r="H2060" s="10"/>
      <c r="I2060" s="10"/>
      <c r="J2060" s="108"/>
      <c r="T2060" s="3"/>
      <c r="W2060" s="3"/>
      <c r="AC2060" s="3"/>
      <c r="AI2060" s="3"/>
      <c r="AL2060" s="3"/>
      <c r="AO2060" s="3"/>
      <c r="BG2060" s="3">
        <v>14.61</v>
      </c>
      <c r="BH2060" s="3">
        <v>18.899999999999999</v>
      </c>
    </row>
    <row r="2061" spans="1:60">
      <c r="B2061" s="103" t="s">
        <v>360</v>
      </c>
      <c r="C2061" s="1" t="s">
        <v>878</v>
      </c>
      <c r="D2061" s="2"/>
      <c r="E2061" s="2"/>
      <c r="F2061" s="10"/>
      <c r="G2061" s="10"/>
      <c r="H2061" s="10"/>
      <c r="I2061" s="10"/>
      <c r="J2061" s="108"/>
      <c r="T2061" s="3"/>
      <c r="W2061" s="3"/>
      <c r="AC2061" s="3"/>
      <c r="AI2061" s="3"/>
      <c r="AL2061" s="3"/>
      <c r="AO2061" s="3"/>
      <c r="BG2061" s="3">
        <v>25.48</v>
      </c>
      <c r="BH2061" s="3">
        <v>18.899999999999999</v>
      </c>
    </row>
    <row r="2062" spans="1:60">
      <c r="A2062" s="6">
        <v>11</v>
      </c>
      <c r="B2062" s="103" t="s">
        <v>360</v>
      </c>
      <c r="C2062" s="1" t="s">
        <v>57</v>
      </c>
      <c r="D2062" s="2">
        <v>10</v>
      </c>
      <c r="E2062" s="2"/>
      <c r="F2062" s="10">
        <v>18.399999999999999</v>
      </c>
      <c r="G2062" s="10">
        <v>6.16</v>
      </c>
      <c r="H2062" s="10">
        <v>6.16</v>
      </c>
      <c r="I2062" s="8">
        <f>H2062-D2062</f>
        <v>-3.84</v>
      </c>
      <c r="J2062" s="108"/>
      <c r="K2062" s="3"/>
      <c r="L2062" s="1" t="s">
        <v>618</v>
      </c>
    </row>
    <row r="2063" spans="1:60">
      <c r="B2063" s="103" t="s">
        <v>360</v>
      </c>
      <c r="C2063" s="1" t="s">
        <v>287</v>
      </c>
      <c r="D2063" s="2"/>
      <c r="E2063" s="2"/>
      <c r="F2063" s="10"/>
      <c r="G2063" s="10"/>
      <c r="H2063" s="10"/>
      <c r="I2063" s="10"/>
      <c r="J2063" s="108"/>
      <c r="T2063" s="3"/>
      <c r="W2063" s="3"/>
      <c r="AC2063" s="3"/>
      <c r="AD2063" s="24">
        <v>8.11</v>
      </c>
      <c r="AG2063" s="3">
        <v>6.11</v>
      </c>
      <c r="AI2063" s="3">
        <f>AG2063-AD2063</f>
        <v>-1.9999999999999991</v>
      </c>
      <c r="AJ2063" s="3">
        <v>6.23</v>
      </c>
      <c r="AL2063" s="3">
        <f>AJ2063-AG2063</f>
        <v>0.12000000000000011</v>
      </c>
      <c r="AM2063" s="3">
        <v>5.92</v>
      </c>
      <c r="AO2063" s="3">
        <f>AM2063-AJ2063</f>
        <v>-0.3100000000000005</v>
      </c>
      <c r="AP2063" s="3">
        <v>5.98</v>
      </c>
      <c r="AS2063" s="3">
        <v>11.02</v>
      </c>
      <c r="AZ2063" s="3">
        <v>9.83</v>
      </c>
      <c r="BC2063" s="3">
        <v>9.83</v>
      </c>
      <c r="BD2063" s="3">
        <v>9.1999999999999993</v>
      </c>
      <c r="BG2063" s="3">
        <v>9.1999999999999993</v>
      </c>
      <c r="BH2063" s="3">
        <v>6.64</v>
      </c>
    </row>
    <row r="2064" spans="1:60">
      <c r="A2064" s="6">
        <v>1</v>
      </c>
      <c r="B2064" s="103" t="s">
        <v>556</v>
      </c>
      <c r="C2064" s="1" t="s">
        <v>52</v>
      </c>
      <c r="D2064" s="2"/>
      <c r="E2064" s="2"/>
      <c r="F2064" s="8">
        <v>0</v>
      </c>
      <c r="G2064" s="8"/>
      <c r="H2064" s="8">
        <v>0</v>
      </c>
      <c r="I2064" s="8"/>
      <c r="J2064" s="1" t="s">
        <v>685</v>
      </c>
      <c r="P2064" s="1" t="s">
        <v>685</v>
      </c>
      <c r="R2064" s="2" t="s">
        <v>685</v>
      </c>
    </row>
    <row r="2065" spans="1:60">
      <c r="A2065" s="6">
        <v>3</v>
      </c>
      <c r="B2065" s="103" t="s">
        <v>556</v>
      </c>
      <c r="C2065" s="1" t="s">
        <v>54</v>
      </c>
      <c r="D2065" s="2"/>
      <c r="E2065" s="2"/>
      <c r="F2065" s="8">
        <v>0</v>
      </c>
      <c r="G2065" s="8"/>
      <c r="H2065" s="8">
        <v>0</v>
      </c>
      <c r="I2065" s="8"/>
      <c r="J2065" s="1" t="s">
        <v>685</v>
      </c>
      <c r="P2065" s="1" t="s">
        <v>685</v>
      </c>
      <c r="R2065" s="2" t="s">
        <v>685</v>
      </c>
    </row>
    <row r="2066" spans="1:60">
      <c r="A2066" s="6">
        <v>4</v>
      </c>
      <c r="B2066" s="103" t="s">
        <v>556</v>
      </c>
      <c r="C2066" s="1" t="s">
        <v>55</v>
      </c>
      <c r="D2066" s="2"/>
      <c r="E2066" s="2"/>
      <c r="F2066" s="8">
        <v>0</v>
      </c>
      <c r="G2066" s="8"/>
      <c r="H2066" s="8">
        <v>0</v>
      </c>
      <c r="I2066" s="8"/>
      <c r="J2066" s="1" t="s">
        <v>685</v>
      </c>
      <c r="P2066" s="1" t="s">
        <v>685</v>
      </c>
      <c r="R2066" s="2" t="s">
        <v>685</v>
      </c>
    </row>
    <row r="2067" spans="1:60">
      <c r="A2067" s="6">
        <v>5</v>
      </c>
      <c r="B2067" s="103" t="s">
        <v>556</v>
      </c>
      <c r="C2067" s="1" t="s">
        <v>56</v>
      </c>
      <c r="D2067" s="2"/>
      <c r="E2067" s="2"/>
      <c r="F2067" s="8">
        <v>0</v>
      </c>
      <c r="G2067" s="8"/>
      <c r="H2067" s="8">
        <v>0</v>
      </c>
      <c r="I2067" s="8"/>
      <c r="J2067" s="1" t="s">
        <v>685</v>
      </c>
      <c r="P2067" s="1" t="s">
        <v>685</v>
      </c>
      <c r="R2067" s="2" t="s">
        <v>685</v>
      </c>
    </row>
    <row r="2068" spans="1:60">
      <c r="A2068" s="6">
        <v>2</v>
      </c>
      <c r="B2068" s="103" t="s">
        <v>556</v>
      </c>
      <c r="C2068" s="1" t="s">
        <v>53</v>
      </c>
      <c r="D2068" s="2"/>
      <c r="E2068" s="2"/>
      <c r="F2068" s="8">
        <v>250</v>
      </c>
      <c r="G2068" s="8"/>
      <c r="H2068" s="8">
        <v>250</v>
      </c>
      <c r="I2068" s="8"/>
      <c r="J2068" s="1" t="s">
        <v>91</v>
      </c>
      <c r="P2068" s="1" t="s">
        <v>685</v>
      </c>
      <c r="R2068" s="2" t="s">
        <v>685</v>
      </c>
    </row>
    <row r="2069" spans="1:60">
      <c r="B2069" s="103" t="s">
        <v>556</v>
      </c>
      <c r="C2069" s="1" t="s">
        <v>595</v>
      </c>
      <c r="D2069" s="2"/>
      <c r="E2069" s="2"/>
      <c r="F2069" s="8"/>
      <c r="G2069" s="8"/>
      <c r="H2069" s="8"/>
      <c r="I2069" s="8"/>
      <c r="Q2069" s="3"/>
      <c r="T2069" s="3"/>
      <c r="W2069" s="3"/>
      <c r="AA2069" s="3">
        <v>4.3</v>
      </c>
    </row>
    <row r="2070" spans="1:60">
      <c r="A2070" s="6">
        <v>12</v>
      </c>
      <c r="B2070" s="103" t="s">
        <v>556</v>
      </c>
      <c r="C2070" s="1" t="s">
        <v>594</v>
      </c>
      <c r="D2070" s="2"/>
      <c r="E2070" s="2"/>
      <c r="F2070" s="8">
        <v>190</v>
      </c>
      <c r="G2070" s="8">
        <v>14.62</v>
      </c>
      <c r="H2070" s="8">
        <v>14.62</v>
      </c>
      <c r="I2070" s="8"/>
      <c r="J2070" s="1" t="s">
        <v>197</v>
      </c>
      <c r="L2070" s="1" t="s">
        <v>403</v>
      </c>
      <c r="M2070" s="3">
        <v>6</v>
      </c>
      <c r="O2070" s="3">
        <v>6</v>
      </c>
      <c r="Q2070" s="3">
        <f>O2070-H2070</f>
        <v>-8.6199999999999992</v>
      </c>
      <c r="R2070" s="3">
        <v>6</v>
      </c>
      <c r="T2070" s="3">
        <f>R2070-O2070</f>
        <v>0</v>
      </c>
      <c r="U2070" s="3">
        <v>6</v>
      </c>
      <c r="W2070" s="3">
        <f>U2070-R2070</f>
        <v>0</v>
      </c>
      <c r="X2070" s="3">
        <v>6</v>
      </c>
      <c r="Z2070" s="3">
        <f>X2070-U2070</f>
        <v>0</v>
      </c>
      <c r="AA2070" s="3">
        <v>7.7</v>
      </c>
      <c r="AC2070" s="3">
        <f>AA2070-X2070</f>
        <v>1.7000000000000002</v>
      </c>
      <c r="AD2070" s="24">
        <v>15</v>
      </c>
      <c r="AF2070" s="24">
        <f>AD2070-AA2070</f>
        <v>7.3</v>
      </c>
      <c r="AG2070" s="3">
        <v>13</v>
      </c>
      <c r="AI2070" s="3">
        <f>AG2070-AD2070</f>
        <v>-2</v>
      </c>
      <c r="AJ2070" s="3">
        <v>19</v>
      </c>
      <c r="AK2070" s="1" t="s">
        <v>826</v>
      </c>
      <c r="AL2070" s="3">
        <f>AJ2070-AG2070</f>
        <v>6</v>
      </c>
      <c r="AM2070" s="3">
        <v>23</v>
      </c>
      <c r="AO2070" s="3">
        <f>AM2070-AJ2070</f>
        <v>4</v>
      </c>
      <c r="AP2070" s="3">
        <v>15</v>
      </c>
      <c r="AS2070" s="3">
        <v>21</v>
      </c>
      <c r="AV2070" s="3">
        <v>23</v>
      </c>
    </row>
    <row r="2071" spans="1:60">
      <c r="B2071" s="103" t="s">
        <v>556</v>
      </c>
      <c r="C2071" s="1" t="s">
        <v>851</v>
      </c>
      <c r="D2071" s="2"/>
      <c r="E2071" s="2"/>
      <c r="F2071" s="8"/>
      <c r="G2071" s="8"/>
      <c r="H2071" s="8"/>
      <c r="I2071" s="8"/>
      <c r="Q2071" s="3"/>
      <c r="T2071" s="3"/>
      <c r="W2071" s="3"/>
      <c r="AC2071" s="3"/>
      <c r="AF2071" s="24"/>
      <c r="AI2071" s="3"/>
      <c r="AL2071" s="3"/>
      <c r="AO2071" s="3"/>
      <c r="AY2071" s="2" t="s">
        <v>920</v>
      </c>
      <c r="AZ2071" s="2">
        <v>14.7</v>
      </c>
      <c r="BC2071" s="2" t="s">
        <v>920</v>
      </c>
      <c r="BD2071" s="3">
        <v>14.7</v>
      </c>
    </row>
    <row r="2072" spans="1:60">
      <c r="A2072" s="6">
        <v>14</v>
      </c>
      <c r="B2072" s="103" t="s">
        <v>556</v>
      </c>
      <c r="C2072" s="1" t="s">
        <v>58</v>
      </c>
      <c r="D2072" s="2"/>
      <c r="E2072" s="2"/>
      <c r="F2072" s="8">
        <v>240</v>
      </c>
      <c r="G2072" s="8">
        <v>18.46</v>
      </c>
      <c r="H2072" s="8">
        <v>18.46</v>
      </c>
      <c r="I2072" s="8"/>
      <c r="J2072" s="1" t="s">
        <v>198</v>
      </c>
      <c r="L2072" s="1" t="s">
        <v>615</v>
      </c>
      <c r="M2072" s="3">
        <v>7.3</v>
      </c>
      <c r="O2072" s="3">
        <v>7.3</v>
      </c>
      <c r="Q2072" s="3">
        <f>O2072-H2072</f>
        <v>-11.16</v>
      </c>
      <c r="R2072" s="3">
        <v>7.3</v>
      </c>
      <c r="T2072" s="3">
        <f>R2072-O2072</f>
        <v>0</v>
      </c>
      <c r="U2072" s="3">
        <v>7.3</v>
      </c>
      <c r="W2072" s="3">
        <f>U2072-R2072</f>
        <v>0</v>
      </c>
      <c r="X2072" s="3">
        <v>7.3</v>
      </c>
      <c r="Z2072" s="3">
        <f>X2072-U2072</f>
        <v>0</v>
      </c>
      <c r="AA2072" s="3">
        <v>15.3</v>
      </c>
      <c r="AC2072" s="3">
        <f>AA2072-X2072</f>
        <v>8</v>
      </c>
      <c r="AD2072" s="24">
        <v>12</v>
      </c>
      <c r="AF2072" s="24">
        <f>AD2072-AA2072</f>
        <v>-3.3000000000000007</v>
      </c>
      <c r="AG2072" s="3">
        <v>9</v>
      </c>
      <c r="AI2072" s="3">
        <f>AG2072-AD2072</f>
        <v>-3</v>
      </c>
      <c r="AJ2072" s="3">
        <v>14</v>
      </c>
      <c r="AK2072" s="1" t="s">
        <v>827</v>
      </c>
      <c r="AL2072" s="3">
        <f>AJ2072-AG2072</f>
        <v>5</v>
      </c>
      <c r="AM2072" s="3">
        <v>14</v>
      </c>
      <c r="AO2072" s="3">
        <f>AM2072-AJ2072</f>
        <v>0</v>
      </c>
      <c r="AP2072" s="3">
        <v>12</v>
      </c>
      <c r="AS2072" s="3">
        <v>12</v>
      </c>
      <c r="AV2072" s="3">
        <v>15</v>
      </c>
      <c r="AY2072" s="2" t="s">
        <v>920</v>
      </c>
      <c r="AZ2072" s="2">
        <v>14.7</v>
      </c>
      <c r="BC2072" s="2" t="s">
        <v>920</v>
      </c>
      <c r="BD2072" s="3">
        <v>14.7</v>
      </c>
      <c r="BH2072" s="3">
        <v>20</v>
      </c>
    </row>
    <row r="2073" spans="1:60">
      <c r="B2073" s="103" t="s">
        <v>556</v>
      </c>
      <c r="C2073" s="1" t="s">
        <v>607</v>
      </c>
      <c r="D2073" s="2"/>
      <c r="E2073" s="2"/>
      <c r="F2073" s="8"/>
      <c r="G2073" s="8"/>
      <c r="H2073" s="8"/>
      <c r="I2073" s="8"/>
      <c r="Q2073" s="3"/>
      <c r="T2073" s="3"/>
      <c r="W2073" s="3"/>
      <c r="AA2073" s="3">
        <v>2.2000000000000002</v>
      </c>
      <c r="BD2073" s="3">
        <v>65.900000000000006</v>
      </c>
    </row>
    <row r="2074" spans="1:60">
      <c r="B2074" s="103" t="s">
        <v>556</v>
      </c>
      <c r="C2074" s="1" t="s">
        <v>854</v>
      </c>
      <c r="D2074" s="2"/>
      <c r="E2074" s="2"/>
      <c r="F2074" s="8"/>
      <c r="G2074" s="8"/>
      <c r="H2074" s="8"/>
      <c r="I2074" s="8"/>
      <c r="Q2074" s="3"/>
      <c r="T2074" s="3"/>
      <c r="W2074" s="3"/>
      <c r="AF2074" s="24"/>
      <c r="AI2074" s="3"/>
      <c r="AL2074" s="3"/>
      <c r="AO2074" s="3"/>
      <c r="BD2074" s="3">
        <v>28.5</v>
      </c>
      <c r="BH2074" s="3">
        <v>28</v>
      </c>
    </row>
    <row r="2075" spans="1:60">
      <c r="B2075" s="103" t="s">
        <v>556</v>
      </c>
      <c r="C2075" s="1" t="s">
        <v>857</v>
      </c>
      <c r="D2075" s="2"/>
      <c r="E2075" s="2"/>
      <c r="F2075" s="8"/>
      <c r="G2075" s="8"/>
      <c r="H2075" s="8"/>
      <c r="I2075" s="8"/>
      <c r="Q2075" s="3"/>
      <c r="T2075" s="3"/>
      <c r="W2075" s="3"/>
      <c r="AF2075" s="24"/>
      <c r="AI2075" s="3"/>
      <c r="AL2075" s="3"/>
      <c r="AO2075" s="3"/>
      <c r="AZ2075" s="3">
        <v>23</v>
      </c>
      <c r="BD2075" s="3">
        <v>18.399999999999999</v>
      </c>
      <c r="BH2075" s="3">
        <v>38</v>
      </c>
    </row>
    <row r="2076" spans="1:60">
      <c r="B2076" s="103" t="s">
        <v>556</v>
      </c>
      <c r="C2076" s="1" t="s">
        <v>289</v>
      </c>
      <c r="D2076" s="2"/>
      <c r="E2076" s="2"/>
      <c r="F2076" s="8"/>
      <c r="G2076" s="8"/>
      <c r="H2076" s="8"/>
      <c r="I2076" s="8"/>
      <c r="Q2076" s="3"/>
      <c r="T2076" s="3"/>
      <c r="W2076" s="3"/>
      <c r="AA2076" s="3">
        <v>7.1</v>
      </c>
      <c r="AD2076" s="24">
        <v>15</v>
      </c>
      <c r="AF2076" s="24">
        <f>AD2076-AA2076</f>
        <v>7.9</v>
      </c>
      <c r="AJ2076" s="3">
        <v>19</v>
      </c>
      <c r="AK2076" s="1" t="s">
        <v>826</v>
      </c>
      <c r="AM2076" s="3">
        <v>18</v>
      </c>
      <c r="AO2076" s="3">
        <f>AM2076-AJ2076</f>
        <v>-1</v>
      </c>
      <c r="AP2076" s="3">
        <v>18</v>
      </c>
      <c r="AS2076" s="3">
        <v>18</v>
      </c>
      <c r="AV2076" s="3">
        <v>19</v>
      </c>
      <c r="AY2076" s="2" t="s">
        <v>826</v>
      </c>
      <c r="AZ2076" s="2">
        <v>14.2</v>
      </c>
      <c r="BC2076" s="2" t="s">
        <v>826</v>
      </c>
      <c r="BD2076" s="2">
        <v>23</v>
      </c>
      <c r="BH2076" s="3">
        <v>18</v>
      </c>
    </row>
    <row r="2077" spans="1:60">
      <c r="B2077" s="103" t="s">
        <v>556</v>
      </c>
      <c r="C2077" s="1" t="s">
        <v>74</v>
      </c>
      <c r="D2077" s="2"/>
      <c r="E2077" s="2"/>
      <c r="F2077" s="8"/>
      <c r="G2077" s="8"/>
      <c r="H2077" s="8"/>
      <c r="I2077" s="8"/>
      <c r="Q2077" s="3"/>
      <c r="T2077" s="3"/>
      <c r="W2077" s="3"/>
      <c r="AF2077" s="24"/>
      <c r="AI2077" s="3"/>
      <c r="AL2077" s="3"/>
      <c r="AM2077" s="3">
        <v>18</v>
      </c>
      <c r="BC2077" s="2"/>
      <c r="BD2077" s="2"/>
    </row>
    <row r="2078" spans="1:60">
      <c r="B2078" s="103" t="s">
        <v>556</v>
      </c>
      <c r="C2078" s="1" t="s">
        <v>290</v>
      </c>
      <c r="D2078" s="2"/>
      <c r="E2078" s="2"/>
      <c r="F2078" s="8"/>
      <c r="G2078" s="8"/>
      <c r="H2078" s="8"/>
      <c r="I2078" s="8"/>
      <c r="Q2078" s="3"/>
      <c r="T2078" s="3"/>
      <c r="W2078" s="3"/>
      <c r="AD2078" s="24">
        <v>15</v>
      </c>
      <c r="AF2078" s="24"/>
      <c r="AJ2078" s="3">
        <v>19</v>
      </c>
      <c r="AK2078" s="1" t="s">
        <v>826</v>
      </c>
      <c r="AM2078" s="3">
        <v>18</v>
      </c>
      <c r="AO2078" s="3">
        <f>AM2078-AJ2078</f>
        <v>-1</v>
      </c>
      <c r="AP2078" s="3">
        <v>18</v>
      </c>
      <c r="AS2078" s="3">
        <v>18</v>
      </c>
      <c r="AV2078" s="3">
        <v>19</v>
      </c>
      <c r="AY2078" s="2" t="s">
        <v>826</v>
      </c>
      <c r="AZ2078" s="2">
        <v>30.3</v>
      </c>
      <c r="BC2078" s="2" t="s">
        <v>826</v>
      </c>
      <c r="BD2078" s="2">
        <v>23</v>
      </c>
      <c r="BH2078" s="3">
        <v>23</v>
      </c>
    </row>
    <row r="2079" spans="1:60">
      <c r="B2079" s="103" t="s">
        <v>556</v>
      </c>
      <c r="C2079" s="1" t="s">
        <v>64</v>
      </c>
      <c r="D2079" s="2"/>
      <c r="E2079" s="2"/>
      <c r="F2079" s="8"/>
      <c r="G2079" s="8"/>
      <c r="H2079" s="8"/>
      <c r="I2079" s="8"/>
      <c r="Q2079" s="3"/>
      <c r="T2079" s="3"/>
      <c r="W2079" s="3"/>
      <c r="AA2079" s="3">
        <v>17.899999999999999</v>
      </c>
      <c r="AD2079" s="24">
        <v>9</v>
      </c>
      <c r="AF2079" s="24">
        <f>AD2079-AA2079</f>
        <v>-8.8999999999999986</v>
      </c>
      <c r="AG2079" s="3">
        <v>10</v>
      </c>
      <c r="AI2079" s="3">
        <f>AG2079-AD2079</f>
        <v>1</v>
      </c>
      <c r="AJ2079" s="3">
        <v>14</v>
      </c>
      <c r="AK2079" s="1" t="s">
        <v>827</v>
      </c>
      <c r="AL2079" s="3">
        <f>AJ2079-AG2079</f>
        <v>4</v>
      </c>
      <c r="AM2079" s="3">
        <v>14</v>
      </c>
      <c r="AO2079" s="3">
        <f>AM2079-AJ2079</f>
        <v>0</v>
      </c>
      <c r="AP2079" s="3">
        <v>15</v>
      </c>
      <c r="AS2079" s="3">
        <v>15</v>
      </c>
      <c r="AV2079" s="3">
        <v>14</v>
      </c>
      <c r="AY2079" s="2" t="s">
        <v>827</v>
      </c>
      <c r="AZ2079" s="3">
        <v>18.3</v>
      </c>
      <c r="BC2079" s="2" t="s">
        <v>827</v>
      </c>
      <c r="BD2079" s="2">
        <v>18.3</v>
      </c>
      <c r="BH2079" s="3">
        <v>28</v>
      </c>
    </row>
    <row r="2080" spans="1:60">
      <c r="B2080" s="103" t="s">
        <v>556</v>
      </c>
      <c r="C2080" s="1" t="s">
        <v>855</v>
      </c>
      <c r="D2080" s="2"/>
      <c r="E2080" s="2"/>
      <c r="F2080" s="8"/>
      <c r="G2080" s="8"/>
      <c r="H2080" s="8"/>
      <c r="I2080" s="8"/>
      <c r="Q2080" s="3"/>
      <c r="T2080" s="3"/>
      <c r="W2080" s="3"/>
      <c r="AF2080" s="24"/>
      <c r="AI2080" s="3"/>
      <c r="AL2080" s="3"/>
      <c r="AO2080" s="3"/>
      <c r="AY2080" s="2" t="s">
        <v>920</v>
      </c>
      <c r="AZ2080" s="2">
        <v>18.3</v>
      </c>
      <c r="BC2080" s="2" t="s">
        <v>920</v>
      </c>
      <c r="BD2080" s="2">
        <v>18.3</v>
      </c>
      <c r="BH2080" s="3">
        <v>24</v>
      </c>
    </row>
    <row r="2081" spans="1:60">
      <c r="B2081" s="103" t="s">
        <v>556</v>
      </c>
      <c r="C2081" s="1" t="s">
        <v>286</v>
      </c>
      <c r="D2081" s="2"/>
      <c r="E2081" s="2"/>
      <c r="F2081" s="8"/>
      <c r="G2081" s="8"/>
      <c r="H2081" s="8"/>
      <c r="I2081" s="8"/>
      <c r="Q2081" s="3"/>
      <c r="T2081" s="3"/>
      <c r="W2081" s="3"/>
      <c r="AA2081" s="3">
        <v>15.3</v>
      </c>
      <c r="AD2081" s="24">
        <v>10</v>
      </c>
      <c r="AF2081" s="24">
        <f>AD2081-AA2081</f>
        <v>-5.3000000000000007</v>
      </c>
      <c r="AG2081" s="3">
        <v>10</v>
      </c>
      <c r="AI2081" s="3">
        <f>AG2081-AD2081</f>
        <v>0</v>
      </c>
      <c r="AJ2081" s="3">
        <v>14</v>
      </c>
      <c r="AK2081" s="1" t="s">
        <v>827</v>
      </c>
      <c r="AL2081" s="3">
        <f>AJ2081-AG2081</f>
        <v>4</v>
      </c>
      <c r="AM2081" s="3">
        <v>13</v>
      </c>
      <c r="AO2081" s="3">
        <f>AM2081-AJ2081</f>
        <v>-1</v>
      </c>
      <c r="AP2081" s="3">
        <v>15</v>
      </c>
      <c r="AS2081" s="3">
        <v>15</v>
      </c>
      <c r="AV2081" s="3">
        <v>15</v>
      </c>
      <c r="AY2081" s="2" t="s">
        <v>920</v>
      </c>
      <c r="AZ2081" s="2">
        <v>18.3</v>
      </c>
      <c r="BC2081" s="2" t="s">
        <v>920</v>
      </c>
      <c r="BD2081" s="2">
        <v>18.3</v>
      </c>
      <c r="BH2081" s="3">
        <v>24</v>
      </c>
    </row>
    <row r="2082" spans="1:60">
      <c r="B2082" s="103" t="s">
        <v>556</v>
      </c>
      <c r="C2082" s="1" t="s">
        <v>288</v>
      </c>
      <c r="D2082" s="2"/>
      <c r="E2082" s="2"/>
      <c r="F2082" s="8"/>
      <c r="G2082" s="8"/>
      <c r="H2082" s="8"/>
      <c r="I2082" s="8"/>
      <c r="Q2082" s="3"/>
      <c r="T2082" s="3"/>
      <c r="W2082" s="3"/>
      <c r="AA2082" s="3">
        <v>15.3</v>
      </c>
      <c r="AD2082" s="24">
        <v>12</v>
      </c>
      <c r="AF2082" s="24">
        <f>AD2082-AA2082</f>
        <v>-3.3000000000000007</v>
      </c>
      <c r="AG2082" s="3">
        <v>10</v>
      </c>
      <c r="AI2082" s="3">
        <f>AG2082-AD2082</f>
        <v>-2</v>
      </c>
      <c r="AJ2082" s="3">
        <v>14</v>
      </c>
      <c r="AK2082" s="1" t="s">
        <v>827</v>
      </c>
      <c r="AL2082" s="3">
        <f>AJ2082-AG2082</f>
        <v>4</v>
      </c>
      <c r="AM2082" s="3">
        <v>13</v>
      </c>
      <c r="AO2082" s="3">
        <f>AM2082-AJ2082</f>
        <v>-1</v>
      </c>
      <c r="AP2082" s="3">
        <v>13</v>
      </c>
      <c r="AS2082" s="3">
        <v>13</v>
      </c>
      <c r="AV2082" s="3">
        <v>15</v>
      </c>
      <c r="AY2082" s="2" t="s">
        <v>920</v>
      </c>
      <c r="AZ2082" s="2">
        <v>18.3</v>
      </c>
      <c r="BC2082" s="2" t="s">
        <v>920</v>
      </c>
      <c r="BD2082" s="2">
        <v>18.3</v>
      </c>
      <c r="BH2082" s="3">
        <v>24</v>
      </c>
    </row>
    <row r="2083" spans="1:60">
      <c r="B2083" s="103" t="s">
        <v>556</v>
      </c>
      <c r="C2083" s="1" t="s">
        <v>921</v>
      </c>
      <c r="D2083" s="2"/>
      <c r="E2083" s="2"/>
      <c r="F2083" s="8"/>
      <c r="G2083" s="8"/>
      <c r="H2083" s="8"/>
      <c r="I2083" s="8"/>
      <c r="Q2083" s="3"/>
      <c r="T2083" s="3"/>
      <c r="W2083" s="3"/>
      <c r="AF2083" s="24"/>
      <c r="AI2083" s="3"/>
      <c r="AL2083" s="3"/>
      <c r="AO2083" s="3"/>
      <c r="AY2083" s="2" t="s">
        <v>922</v>
      </c>
      <c r="AZ2083" s="2">
        <v>23</v>
      </c>
      <c r="BC2083" s="2" t="s">
        <v>922</v>
      </c>
      <c r="BD2083" s="2">
        <v>23</v>
      </c>
    </row>
    <row r="2084" spans="1:60">
      <c r="A2084" s="6">
        <v>11</v>
      </c>
      <c r="B2084" s="103" t="s">
        <v>556</v>
      </c>
      <c r="C2084" s="1" t="s">
        <v>57</v>
      </c>
      <c r="D2084" s="2"/>
      <c r="E2084" s="2"/>
      <c r="F2084" s="8">
        <v>320</v>
      </c>
      <c r="G2084" s="8"/>
      <c r="H2084" s="8">
        <v>320</v>
      </c>
      <c r="I2084" s="8"/>
      <c r="J2084" s="1" t="s">
        <v>513</v>
      </c>
      <c r="P2084" s="1" t="s">
        <v>685</v>
      </c>
      <c r="R2084" s="2" t="s">
        <v>685</v>
      </c>
      <c r="BC2084" s="2"/>
      <c r="BD2084" s="2"/>
    </row>
    <row r="2085" spans="1:60">
      <c r="B2085" s="103" t="s">
        <v>556</v>
      </c>
      <c r="C2085" s="1" t="s">
        <v>287</v>
      </c>
      <c r="D2085" s="2"/>
      <c r="E2085" s="2"/>
      <c r="F2085" s="8"/>
      <c r="G2085" s="8"/>
      <c r="H2085" s="8"/>
      <c r="I2085" s="8"/>
      <c r="Q2085" s="3"/>
      <c r="T2085" s="3"/>
      <c r="W2085" s="3"/>
      <c r="AA2085" s="3">
        <v>17.899999999999999</v>
      </c>
      <c r="AD2085" s="24">
        <v>9</v>
      </c>
      <c r="AF2085" s="24">
        <f>AD2085-AA2085</f>
        <v>-8.8999999999999986</v>
      </c>
      <c r="AG2085" s="3">
        <v>10</v>
      </c>
      <c r="AI2085" s="3">
        <f>AG2085-AD2085</f>
        <v>1</v>
      </c>
      <c r="AJ2085" s="3">
        <v>14</v>
      </c>
      <c r="AK2085" s="1" t="s">
        <v>827</v>
      </c>
      <c r="AL2085" s="3">
        <f>AJ2085-AG2085</f>
        <v>4</v>
      </c>
      <c r="AM2085" s="3">
        <v>14</v>
      </c>
      <c r="AO2085" s="3">
        <f>AM2085-AJ2085</f>
        <v>0</v>
      </c>
      <c r="AP2085" s="3">
        <v>15</v>
      </c>
      <c r="AS2085" s="3">
        <v>15</v>
      </c>
      <c r="AV2085" s="3">
        <v>15</v>
      </c>
      <c r="AY2085" s="2" t="s">
        <v>920</v>
      </c>
      <c r="AZ2085" s="2">
        <v>17</v>
      </c>
      <c r="BC2085" s="2" t="s">
        <v>920</v>
      </c>
      <c r="BD2085" s="2">
        <v>17</v>
      </c>
    </row>
    <row r="2086" spans="1:60">
      <c r="B2086" s="103" t="s">
        <v>556</v>
      </c>
      <c r="C2086" s="1" t="s">
        <v>1005</v>
      </c>
      <c r="D2086" s="2"/>
      <c r="E2086" s="2"/>
      <c r="F2086" s="8"/>
      <c r="G2086" s="8"/>
      <c r="H2086" s="8"/>
      <c r="I2086" s="8"/>
      <c r="Q2086" s="3"/>
      <c r="T2086" s="3"/>
      <c r="W2086" s="3"/>
      <c r="AF2086" s="24"/>
      <c r="AI2086" s="3"/>
      <c r="AL2086" s="3"/>
      <c r="AO2086" s="3"/>
      <c r="AY2086" s="2"/>
      <c r="AZ2086" s="2"/>
      <c r="BC2086" s="2"/>
      <c r="BD2086" s="2"/>
      <c r="BH2086" s="3">
        <v>26</v>
      </c>
    </row>
    <row r="2087" spans="1:60">
      <c r="A2087" s="6">
        <v>1</v>
      </c>
      <c r="B2087" s="103" t="s">
        <v>775</v>
      </c>
      <c r="C2087" s="1" t="s">
        <v>52</v>
      </c>
      <c r="D2087" s="2"/>
      <c r="E2087" s="2"/>
      <c r="F2087" s="8"/>
      <c r="G2087" s="8"/>
      <c r="H2087" s="8"/>
      <c r="I2087" s="8"/>
      <c r="J2087" s="1" t="s">
        <v>788</v>
      </c>
      <c r="AE2087" s="1" t="s">
        <v>285</v>
      </c>
      <c r="AN2087" s="1" t="s">
        <v>285</v>
      </c>
      <c r="AW2087" s="1" t="s">
        <v>285</v>
      </c>
      <c r="BC2087" s="2"/>
      <c r="BD2087" s="2"/>
    </row>
    <row r="2088" spans="1:60">
      <c r="A2088" s="6">
        <v>3</v>
      </c>
      <c r="B2088" s="103" t="s">
        <v>775</v>
      </c>
      <c r="C2088" s="1" t="s">
        <v>54</v>
      </c>
      <c r="D2088" s="2"/>
      <c r="E2088" s="2"/>
      <c r="F2088" s="8"/>
      <c r="G2088" s="8"/>
      <c r="H2088" s="8"/>
      <c r="I2088" s="8"/>
      <c r="J2088" s="1" t="s">
        <v>788</v>
      </c>
      <c r="AE2088" s="1" t="s">
        <v>285</v>
      </c>
      <c r="AN2088" s="1" t="s">
        <v>285</v>
      </c>
      <c r="AW2088" s="1" t="s">
        <v>285</v>
      </c>
    </row>
    <row r="2089" spans="1:60">
      <c r="A2089" s="6">
        <v>4</v>
      </c>
      <c r="B2089" s="103" t="s">
        <v>775</v>
      </c>
      <c r="C2089" s="1" t="s">
        <v>55</v>
      </c>
      <c r="D2089" s="2"/>
      <c r="E2089" s="2"/>
      <c r="F2089" s="8"/>
      <c r="G2089" s="8"/>
      <c r="H2089" s="8"/>
      <c r="I2089" s="8"/>
      <c r="J2089" s="1" t="s">
        <v>788</v>
      </c>
      <c r="AE2089" s="1" t="s">
        <v>285</v>
      </c>
      <c r="AN2089" s="1" t="s">
        <v>285</v>
      </c>
      <c r="AW2089" s="1" t="s">
        <v>285</v>
      </c>
    </row>
    <row r="2090" spans="1:60">
      <c r="A2090" s="6">
        <v>5</v>
      </c>
      <c r="B2090" s="103" t="s">
        <v>775</v>
      </c>
      <c r="C2090" s="1" t="s">
        <v>56</v>
      </c>
      <c r="D2090" s="2"/>
      <c r="E2090" s="2"/>
      <c r="F2090" s="8"/>
      <c r="G2090" s="8"/>
      <c r="H2090" s="8"/>
      <c r="I2090" s="8"/>
      <c r="J2090" s="1" t="s">
        <v>789</v>
      </c>
      <c r="R2090" s="3">
        <v>6.5</v>
      </c>
      <c r="AE2090" s="1" t="s">
        <v>285</v>
      </c>
      <c r="AN2090" s="1" t="s">
        <v>285</v>
      </c>
      <c r="AW2090" s="1" t="s">
        <v>285</v>
      </c>
    </row>
    <row r="2091" spans="1:60" ht="9.6" customHeight="1">
      <c r="A2091" s="6">
        <v>2</v>
      </c>
      <c r="B2091" s="103" t="s">
        <v>775</v>
      </c>
      <c r="C2091" s="1" t="s">
        <v>53</v>
      </c>
      <c r="D2091" s="2"/>
      <c r="E2091" s="2"/>
      <c r="F2091" s="8">
        <v>7</v>
      </c>
      <c r="G2091" s="8"/>
      <c r="H2091" s="8">
        <v>7</v>
      </c>
      <c r="I2091" s="8"/>
      <c r="M2091" s="3">
        <v>6.13</v>
      </c>
      <c r="O2091" s="3">
        <v>6.13</v>
      </c>
      <c r="Q2091" s="3">
        <f>O2091-H2091</f>
        <v>-0.87000000000000011</v>
      </c>
      <c r="R2091" s="3">
        <v>7</v>
      </c>
      <c r="T2091" s="3">
        <f>R2091-O2091</f>
        <v>0.87000000000000011</v>
      </c>
      <c r="X2091" s="3">
        <v>17</v>
      </c>
      <c r="AE2091" s="1" t="s">
        <v>285</v>
      </c>
      <c r="AN2091" s="1" t="s">
        <v>285</v>
      </c>
      <c r="AW2091" s="1" t="s">
        <v>285</v>
      </c>
    </row>
    <row r="2092" spans="1:60">
      <c r="A2092" s="6">
        <v>12</v>
      </c>
      <c r="B2092" s="103" t="s">
        <v>775</v>
      </c>
      <c r="C2092" s="1" t="s">
        <v>594</v>
      </c>
      <c r="D2092" s="2"/>
      <c r="E2092" s="2"/>
      <c r="F2092" s="8">
        <v>6</v>
      </c>
      <c r="G2092" s="8"/>
      <c r="H2092" s="8">
        <v>6</v>
      </c>
      <c r="I2092" s="8"/>
      <c r="M2092" s="3">
        <v>4.41</v>
      </c>
      <c r="O2092" s="3">
        <v>4.41</v>
      </c>
      <c r="Q2092" s="3">
        <f>O2092-H2092</f>
        <v>-1.5899999999999999</v>
      </c>
      <c r="R2092" s="3">
        <v>10</v>
      </c>
      <c r="T2092" s="3">
        <f>R2092-O2092</f>
        <v>5.59</v>
      </c>
      <c r="X2092" s="3">
        <v>12</v>
      </c>
      <c r="AA2092" s="3">
        <v>13.6</v>
      </c>
      <c r="AC2092" s="3">
        <f>AA2092-X2092</f>
        <v>1.5999999999999996</v>
      </c>
      <c r="AE2092" s="1" t="s">
        <v>285</v>
      </c>
      <c r="AG2092" s="3">
        <v>6.8179999999999996</v>
      </c>
      <c r="AJ2092" s="3">
        <v>10</v>
      </c>
      <c r="AL2092" s="3">
        <f>AJ2092-AG2092</f>
        <v>3.1820000000000004</v>
      </c>
      <c r="AN2092" s="1" t="s">
        <v>285</v>
      </c>
      <c r="AP2092" s="3">
        <v>7.3</v>
      </c>
      <c r="AS2092" s="3">
        <v>8</v>
      </c>
      <c r="AW2092" s="1" t="s">
        <v>285</v>
      </c>
      <c r="AZ2092" s="3">
        <v>6</v>
      </c>
      <c r="BD2092" s="3">
        <v>8</v>
      </c>
      <c r="BG2092" s="3">
        <v>8</v>
      </c>
      <c r="BH2092" s="3">
        <v>13</v>
      </c>
    </row>
    <row r="2093" spans="1:60">
      <c r="A2093" s="6">
        <v>14</v>
      </c>
      <c r="B2093" s="103" t="s">
        <v>775</v>
      </c>
      <c r="C2093" s="1" t="s">
        <v>58</v>
      </c>
      <c r="D2093" s="2"/>
      <c r="E2093" s="2"/>
      <c r="F2093" s="8">
        <v>7</v>
      </c>
      <c r="G2093" s="8"/>
      <c r="H2093" s="8">
        <v>7</v>
      </c>
      <c r="I2093" s="8"/>
      <c r="M2093" s="3">
        <v>8.09</v>
      </c>
      <c r="O2093" s="3">
        <v>8.09</v>
      </c>
      <c r="Q2093" s="3">
        <f>O2093-H2093</f>
        <v>1.0899999999999999</v>
      </c>
      <c r="R2093" s="3">
        <v>6</v>
      </c>
      <c r="T2093" s="3">
        <f>R2093-O2093</f>
        <v>-2.09</v>
      </c>
      <c r="X2093" s="3">
        <v>14</v>
      </c>
      <c r="AA2093" s="3">
        <v>15</v>
      </c>
      <c r="AC2093" s="3">
        <f>AA2093-X2093</f>
        <v>1</v>
      </c>
      <c r="AE2093" s="1" t="s">
        <v>285</v>
      </c>
      <c r="AG2093" s="3">
        <v>11.36</v>
      </c>
      <c r="AJ2093" s="3">
        <v>10</v>
      </c>
      <c r="AL2093" s="3">
        <f>AJ2093-AG2093</f>
        <v>-1.3599999999999994</v>
      </c>
      <c r="AN2093" s="1" t="s">
        <v>285</v>
      </c>
      <c r="AP2093" s="3">
        <v>7</v>
      </c>
      <c r="AS2093" s="3">
        <v>7.6</v>
      </c>
      <c r="AW2093" s="1" t="s">
        <v>285</v>
      </c>
      <c r="BD2093" s="3">
        <v>6</v>
      </c>
      <c r="BG2093" s="3">
        <v>6</v>
      </c>
      <c r="BH2093" s="3">
        <v>18</v>
      </c>
    </row>
    <row r="2094" spans="1:60">
      <c r="B2094" s="103" t="s">
        <v>775</v>
      </c>
      <c r="C2094" s="1" t="s">
        <v>289</v>
      </c>
      <c r="D2094" s="2"/>
      <c r="E2094" s="2"/>
      <c r="F2094" s="8"/>
      <c r="G2094" s="8"/>
      <c r="H2094" s="8"/>
      <c r="I2094" s="8"/>
      <c r="M2094" s="3">
        <v>14.17</v>
      </c>
      <c r="O2094" s="3">
        <v>14.17</v>
      </c>
      <c r="R2094" s="3">
        <v>11.14</v>
      </c>
      <c r="T2094" s="3">
        <f>R2094-O2094</f>
        <v>-3.0299999999999994</v>
      </c>
      <c r="X2094" s="3">
        <v>13</v>
      </c>
      <c r="AA2094" s="3">
        <v>13</v>
      </c>
      <c r="AC2094" s="3">
        <f>AA2094-X2094</f>
        <v>0</v>
      </c>
      <c r="AE2094" s="1" t="s">
        <v>285</v>
      </c>
      <c r="AJ2094" s="3">
        <v>6</v>
      </c>
      <c r="AN2094" s="1" t="s">
        <v>285</v>
      </c>
      <c r="AP2094" s="3">
        <v>6</v>
      </c>
      <c r="AS2094" s="3">
        <v>9</v>
      </c>
      <c r="AW2094" s="1" t="s">
        <v>285</v>
      </c>
      <c r="AZ2094" s="3">
        <v>6</v>
      </c>
      <c r="BD2094" s="3">
        <v>5</v>
      </c>
      <c r="BG2094" s="3">
        <v>5</v>
      </c>
      <c r="BH2094" s="3">
        <v>6</v>
      </c>
    </row>
    <row r="2095" spans="1:60">
      <c r="B2095" s="103" t="s">
        <v>775</v>
      </c>
      <c r="C2095" s="1" t="s">
        <v>160</v>
      </c>
      <c r="D2095" s="2"/>
      <c r="E2095" s="2"/>
      <c r="F2095" s="8"/>
      <c r="G2095" s="8"/>
      <c r="H2095" s="8"/>
      <c r="I2095" s="8"/>
      <c r="M2095" s="2" t="s">
        <v>685</v>
      </c>
      <c r="O2095" s="2" t="s">
        <v>685</v>
      </c>
      <c r="AE2095" s="1" t="s">
        <v>285</v>
      </c>
      <c r="AN2095" s="1" t="s">
        <v>285</v>
      </c>
      <c r="AW2095" s="1" t="s">
        <v>285</v>
      </c>
      <c r="BD2095" s="3">
        <v>9</v>
      </c>
    </row>
    <row r="2096" spans="1:60">
      <c r="B2096" s="103" t="s">
        <v>775</v>
      </c>
      <c r="C2096" s="1" t="s">
        <v>74</v>
      </c>
      <c r="D2096" s="2"/>
      <c r="E2096" s="2"/>
      <c r="F2096" s="8"/>
      <c r="G2096" s="8"/>
      <c r="H2096" s="8"/>
      <c r="I2096" s="8"/>
      <c r="R2096" s="3">
        <v>6</v>
      </c>
      <c r="AE2096" s="1" t="s">
        <v>285</v>
      </c>
      <c r="AN2096" s="1" t="s">
        <v>285</v>
      </c>
      <c r="AW2096" s="1" t="s">
        <v>285</v>
      </c>
    </row>
    <row r="2097" spans="1:61">
      <c r="B2097" s="103" t="s">
        <v>775</v>
      </c>
      <c r="C2097" s="1" t="s">
        <v>290</v>
      </c>
      <c r="D2097" s="2"/>
      <c r="E2097" s="2"/>
      <c r="F2097" s="8"/>
      <c r="G2097" s="8"/>
      <c r="H2097" s="8"/>
      <c r="I2097" s="8"/>
      <c r="T2097" s="3"/>
      <c r="AC2097" s="3"/>
      <c r="AE2097" s="1" t="s">
        <v>285</v>
      </c>
      <c r="AP2097" s="3">
        <v>6</v>
      </c>
      <c r="AS2097" s="3">
        <v>10</v>
      </c>
      <c r="AW2097" s="1" t="s">
        <v>285</v>
      </c>
      <c r="AZ2097" s="3">
        <v>10</v>
      </c>
      <c r="BG2097" s="3">
        <v>9</v>
      </c>
      <c r="BH2097" s="3">
        <v>27</v>
      </c>
    </row>
    <row r="2098" spans="1:61">
      <c r="B2098" s="103" t="s">
        <v>775</v>
      </c>
      <c r="C2098" s="1" t="s">
        <v>64</v>
      </c>
      <c r="D2098" s="2"/>
      <c r="E2098" s="2"/>
      <c r="F2098" s="8"/>
      <c r="G2098" s="8"/>
      <c r="H2098" s="8"/>
      <c r="I2098" s="8"/>
      <c r="Q2098" s="3"/>
      <c r="R2098" s="3">
        <v>6</v>
      </c>
      <c r="T2098" s="3"/>
      <c r="X2098" s="3">
        <v>18.5</v>
      </c>
      <c r="AA2098" s="3">
        <v>19.3</v>
      </c>
      <c r="AC2098" s="3">
        <f>AA2098-X2098</f>
        <v>0.80000000000000071</v>
      </c>
      <c r="AE2098" s="1" t="s">
        <v>285</v>
      </c>
      <c r="AG2098" s="3">
        <v>12.5</v>
      </c>
      <c r="AJ2098" s="3">
        <v>10</v>
      </c>
      <c r="AL2098" s="3">
        <f>AJ2098-AG2098</f>
        <v>-2.5</v>
      </c>
      <c r="AN2098" s="1" t="s">
        <v>285</v>
      </c>
      <c r="AP2098" s="3">
        <v>7.2</v>
      </c>
      <c r="AS2098" s="3">
        <v>7.5</v>
      </c>
      <c r="AW2098" s="1" t="s">
        <v>285</v>
      </c>
      <c r="AZ2098" s="3">
        <v>7</v>
      </c>
      <c r="BD2098" s="3">
        <v>6.5</v>
      </c>
      <c r="BG2098" s="3">
        <v>6.5</v>
      </c>
      <c r="BH2098" s="3">
        <v>21</v>
      </c>
    </row>
    <row r="2099" spans="1:61">
      <c r="B2099" s="103" t="s">
        <v>775</v>
      </c>
      <c r="C2099" s="1" t="s">
        <v>855</v>
      </c>
      <c r="D2099" s="2"/>
      <c r="E2099" s="2"/>
      <c r="F2099" s="8"/>
      <c r="G2099" s="8"/>
      <c r="H2099" s="8"/>
      <c r="I2099" s="8"/>
      <c r="Q2099" s="3"/>
      <c r="T2099" s="3"/>
      <c r="AC2099" s="3"/>
      <c r="AL2099" s="3"/>
      <c r="AZ2099" s="3">
        <v>7</v>
      </c>
      <c r="BD2099" s="3">
        <v>6.5</v>
      </c>
      <c r="BG2099" s="3">
        <v>6.5</v>
      </c>
      <c r="BH2099" s="3">
        <v>21</v>
      </c>
    </row>
    <row r="2100" spans="1:61">
      <c r="B2100" s="103" t="s">
        <v>775</v>
      </c>
      <c r="C2100" s="1" t="s">
        <v>286</v>
      </c>
      <c r="D2100" s="2"/>
      <c r="E2100" s="2"/>
      <c r="F2100" s="8"/>
      <c r="G2100" s="8"/>
      <c r="H2100" s="8"/>
      <c r="I2100" s="8"/>
      <c r="Q2100" s="3"/>
      <c r="R2100" s="3">
        <v>6</v>
      </c>
      <c r="T2100" s="3"/>
      <c r="AE2100" s="1" t="s">
        <v>285</v>
      </c>
      <c r="AJ2100" s="3">
        <v>10</v>
      </c>
      <c r="AN2100" s="1" t="s">
        <v>285</v>
      </c>
      <c r="AP2100" s="3">
        <v>7.2</v>
      </c>
      <c r="AS2100" s="3">
        <v>7.5</v>
      </c>
      <c r="AW2100" s="1" t="s">
        <v>285</v>
      </c>
      <c r="AZ2100" s="3">
        <v>7</v>
      </c>
      <c r="BD2100" s="3">
        <v>6.5</v>
      </c>
      <c r="BG2100" s="3">
        <v>6.5</v>
      </c>
      <c r="BH2100" s="3">
        <v>21</v>
      </c>
    </row>
    <row r="2101" spans="1:61">
      <c r="B2101" s="103" t="s">
        <v>775</v>
      </c>
      <c r="C2101" s="1" t="s">
        <v>288</v>
      </c>
      <c r="D2101" s="2"/>
      <c r="E2101" s="2"/>
      <c r="F2101" s="8"/>
      <c r="G2101" s="8"/>
      <c r="H2101" s="8"/>
      <c r="I2101" s="8"/>
      <c r="Q2101" s="3"/>
      <c r="R2101" s="3">
        <v>6</v>
      </c>
      <c r="T2101" s="3"/>
      <c r="AE2101" s="1" t="s">
        <v>285</v>
      </c>
      <c r="AJ2101" s="3">
        <v>10</v>
      </c>
      <c r="AL2101" s="3"/>
      <c r="AN2101" s="1" t="s">
        <v>285</v>
      </c>
      <c r="AP2101" s="3">
        <v>7.2</v>
      </c>
      <c r="AS2101" s="3">
        <v>7.5</v>
      </c>
      <c r="AW2101" s="1" t="s">
        <v>285</v>
      </c>
      <c r="AZ2101" s="3">
        <v>7</v>
      </c>
      <c r="BD2101" s="3">
        <v>6.5</v>
      </c>
      <c r="BG2101" s="3">
        <v>6.5</v>
      </c>
      <c r="BH2101" s="3">
        <v>21</v>
      </c>
    </row>
    <row r="2102" spans="1:61">
      <c r="A2102" s="6">
        <v>11</v>
      </c>
      <c r="B2102" s="103" t="s">
        <v>775</v>
      </c>
      <c r="C2102" s="1" t="s">
        <v>57</v>
      </c>
      <c r="D2102" s="2"/>
      <c r="E2102" s="2"/>
      <c r="F2102" s="8">
        <v>7</v>
      </c>
      <c r="G2102" s="8"/>
      <c r="H2102" s="8">
        <v>7</v>
      </c>
      <c r="I2102" s="8"/>
      <c r="M2102" s="3">
        <v>14.17</v>
      </c>
      <c r="O2102" s="3">
        <v>14.17</v>
      </c>
      <c r="Q2102" s="3">
        <f>O2102-H2102</f>
        <v>7.17</v>
      </c>
      <c r="R2102" s="3">
        <v>10</v>
      </c>
      <c r="T2102" s="3">
        <f>R2102-O2102</f>
        <v>-4.17</v>
      </c>
      <c r="X2102" s="3">
        <v>20.010000000000002</v>
      </c>
      <c r="AA2102" s="3">
        <v>21.4</v>
      </c>
      <c r="AC2102" s="3">
        <f>AA2102-X2102</f>
        <v>1.389999999999997</v>
      </c>
      <c r="AE2102" s="1" t="s">
        <v>285</v>
      </c>
      <c r="AN2102" s="1" t="s">
        <v>285</v>
      </c>
      <c r="AW2102" s="1" t="s">
        <v>285</v>
      </c>
    </row>
    <row r="2103" spans="1:61">
      <c r="B2103" s="103" t="s">
        <v>775</v>
      </c>
      <c r="C2103" s="1" t="s">
        <v>287</v>
      </c>
      <c r="D2103" s="2"/>
      <c r="E2103" s="2"/>
      <c r="F2103" s="8"/>
      <c r="G2103" s="8"/>
      <c r="H2103" s="8"/>
      <c r="I2103" s="8"/>
      <c r="Q2103" s="3"/>
      <c r="R2103" s="3">
        <v>6</v>
      </c>
      <c r="T2103" s="3"/>
      <c r="AE2103" s="1" t="s">
        <v>285</v>
      </c>
      <c r="AN2103" s="1" t="s">
        <v>285</v>
      </c>
      <c r="AP2103" s="3">
        <v>7.2</v>
      </c>
      <c r="AS2103" s="3">
        <v>7.5</v>
      </c>
      <c r="AW2103" s="1" t="s">
        <v>285</v>
      </c>
      <c r="AZ2103" s="3">
        <v>7</v>
      </c>
      <c r="BD2103" s="3">
        <v>6.5</v>
      </c>
      <c r="BG2103" s="3">
        <v>6.5</v>
      </c>
      <c r="BH2103" s="3">
        <v>21</v>
      </c>
    </row>
    <row r="2104" spans="1:61">
      <c r="B2104" s="103" t="s">
        <v>775</v>
      </c>
      <c r="C2104" s="1" t="s">
        <v>872</v>
      </c>
      <c r="D2104" s="2"/>
      <c r="E2104" s="2"/>
      <c r="F2104" s="8"/>
      <c r="G2104" s="8"/>
      <c r="H2104" s="8"/>
      <c r="I2104" s="8"/>
      <c r="Q2104" s="3"/>
      <c r="T2104" s="3"/>
      <c r="AZ2104" s="3">
        <v>7</v>
      </c>
      <c r="BD2104" s="3">
        <v>6.5</v>
      </c>
      <c r="BG2104" s="3">
        <v>6.5</v>
      </c>
      <c r="BH2104" s="3">
        <v>21</v>
      </c>
    </row>
    <row r="2105" spans="1:61">
      <c r="A2105" s="6">
        <v>1</v>
      </c>
      <c r="B2105" s="103" t="s">
        <v>557</v>
      </c>
      <c r="C2105" s="1" t="s">
        <v>52</v>
      </c>
      <c r="D2105" s="2">
        <v>7.7</v>
      </c>
      <c r="E2105" s="2"/>
      <c r="F2105" s="8">
        <v>0</v>
      </c>
      <c r="G2105" s="8"/>
      <c r="H2105" s="8">
        <v>0</v>
      </c>
      <c r="I2105" s="8"/>
      <c r="M2105" s="3">
        <v>20.59</v>
      </c>
      <c r="O2105" s="3">
        <v>20.59</v>
      </c>
      <c r="R2105" s="1"/>
    </row>
    <row r="2106" spans="1:61">
      <c r="A2106" s="6">
        <v>3</v>
      </c>
      <c r="B2106" s="103" t="s">
        <v>557</v>
      </c>
      <c r="C2106" s="1" t="s">
        <v>54</v>
      </c>
      <c r="D2106" s="2"/>
      <c r="E2106" s="2"/>
      <c r="F2106" s="8">
        <v>0</v>
      </c>
      <c r="G2106" s="8"/>
      <c r="H2106" s="8">
        <v>0</v>
      </c>
      <c r="I2106" s="8"/>
      <c r="R2106" s="1"/>
    </row>
    <row r="2107" spans="1:61">
      <c r="A2107" s="6">
        <v>4</v>
      </c>
      <c r="B2107" s="103" t="s">
        <v>557</v>
      </c>
      <c r="C2107" s="1" t="s">
        <v>55</v>
      </c>
      <c r="D2107" s="2"/>
      <c r="E2107" s="2"/>
      <c r="F2107" s="8">
        <v>0</v>
      </c>
      <c r="G2107" s="8"/>
      <c r="H2107" s="8">
        <v>0</v>
      </c>
      <c r="I2107" s="8"/>
      <c r="R2107" s="1"/>
    </row>
    <row r="2108" spans="1:61">
      <c r="A2108" s="6">
        <v>5</v>
      </c>
      <c r="B2108" s="103" t="s">
        <v>557</v>
      </c>
      <c r="C2108" s="1" t="s">
        <v>56</v>
      </c>
      <c r="D2108" s="2"/>
      <c r="E2108" s="2"/>
      <c r="F2108" s="8">
        <v>0</v>
      </c>
      <c r="G2108" s="8"/>
      <c r="H2108" s="8">
        <v>0</v>
      </c>
      <c r="I2108" s="8"/>
      <c r="R2108" s="1"/>
    </row>
    <row r="2109" spans="1:61" ht="9.6" customHeight="1">
      <c r="A2109" s="6">
        <v>2</v>
      </c>
      <c r="B2109" s="103" t="s">
        <v>557</v>
      </c>
      <c r="C2109" s="1" t="s">
        <v>53</v>
      </c>
      <c r="D2109" s="2">
        <v>7.8</v>
      </c>
      <c r="E2109" s="2"/>
      <c r="F2109" s="8">
        <v>20.59</v>
      </c>
      <c r="G2109" s="8"/>
      <c r="H2109" s="8">
        <v>20.59</v>
      </c>
      <c r="I2109" s="10">
        <f>H2109-D2109</f>
        <v>12.79</v>
      </c>
      <c r="L2109" s="1" t="s">
        <v>783</v>
      </c>
      <c r="R2109" s="1"/>
    </row>
    <row r="2110" spans="1:61">
      <c r="A2110" s="6">
        <v>12</v>
      </c>
      <c r="B2110" s="103" t="s">
        <v>557</v>
      </c>
      <c r="C2110" s="1" t="s">
        <v>594</v>
      </c>
      <c r="D2110" s="2">
        <v>5.85</v>
      </c>
      <c r="E2110" s="2"/>
      <c r="F2110" s="8">
        <v>8.1199999999999992</v>
      </c>
      <c r="G2110" s="8"/>
      <c r="H2110" s="8">
        <v>8.1199999999999992</v>
      </c>
      <c r="I2110" s="8">
        <f>H2110-D2110</f>
        <v>2.2699999999999996</v>
      </c>
      <c r="M2110" s="3">
        <v>8.1199999999999992</v>
      </c>
      <c r="O2110" s="3">
        <v>8.1199999999999992</v>
      </c>
      <c r="R2110" s="1">
        <v>8.1199999999999992</v>
      </c>
      <c r="T2110" s="3">
        <f>R2110-O2110</f>
        <v>0</v>
      </c>
      <c r="U2110" s="3">
        <v>8.1199999999999992</v>
      </c>
      <c r="W2110" s="3">
        <f>U2110-R2110</f>
        <v>0</v>
      </c>
      <c r="X2110" s="3">
        <v>9</v>
      </c>
      <c r="Z2110" s="3">
        <f>X2110-U2110</f>
        <v>0.88000000000000078</v>
      </c>
      <c r="AA2110" s="3">
        <v>19.760000000000002</v>
      </c>
      <c r="AC2110" s="3">
        <f>AA2110-X2110</f>
        <v>10.760000000000002</v>
      </c>
      <c r="AD2110" s="24">
        <v>15.75</v>
      </c>
      <c r="AG2110" s="3">
        <v>15</v>
      </c>
      <c r="AI2110" s="3">
        <f>AG2110-AD2110</f>
        <v>-0.75</v>
      </c>
      <c r="AJ2110" s="3">
        <v>15</v>
      </c>
      <c r="AL2110" s="3">
        <f>AJ2110-AG2110</f>
        <v>0</v>
      </c>
      <c r="AM2110" s="3">
        <v>15</v>
      </c>
      <c r="AO2110" s="3">
        <f>AM2110-AJ2110</f>
        <v>0</v>
      </c>
      <c r="AP2110" s="3">
        <v>18</v>
      </c>
      <c r="AS2110" s="3">
        <v>18</v>
      </c>
      <c r="AV2110" s="3">
        <v>18</v>
      </c>
      <c r="AZ2110" s="3">
        <v>20</v>
      </c>
      <c r="BA2110" s="1" t="s">
        <v>852</v>
      </c>
      <c r="BD2110" s="3">
        <v>20</v>
      </c>
      <c r="BE2110" s="1" t="s">
        <v>852</v>
      </c>
      <c r="BG2110" s="3">
        <v>20</v>
      </c>
      <c r="BH2110" s="3">
        <v>25</v>
      </c>
      <c r="BI2110" s="1" t="s">
        <v>852</v>
      </c>
    </row>
    <row r="2111" spans="1:61">
      <c r="A2111" s="6">
        <v>14</v>
      </c>
      <c r="B2111" s="103" t="s">
        <v>557</v>
      </c>
      <c r="C2111" s="1" t="s">
        <v>58</v>
      </c>
      <c r="D2111" s="2">
        <v>18.66</v>
      </c>
      <c r="E2111" s="2"/>
      <c r="F2111" s="8">
        <v>18.66</v>
      </c>
      <c r="G2111" s="8"/>
      <c r="H2111" s="8">
        <v>18.66</v>
      </c>
      <c r="I2111" s="8">
        <f>H2111-D2111</f>
        <v>0</v>
      </c>
      <c r="L2111" s="1" t="s">
        <v>351</v>
      </c>
      <c r="M2111" s="3">
        <v>18.66</v>
      </c>
      <c r="O2111" s="3">
        <v>18.66</v>
      </c>
      <c r="R2111" s="1"/>
      <c r="AA2111" s="3">
        <v>29.65</v>
      </c>
      <c r="AD2111" s="24">
        <v>12.5</v>
      </c>
      <c r="AG2111" s="3">
        <v>25</v>
      </c>
      <c r="AI2111" s="3">
        <f>AG2111-AD2111</f>
        <v>12.5</v>
      </c>
      <c r="AJ2111" s="3">
        <v>25</v>
      </c>
      <c r="AL2111" s="3">
        <f>AJ2111-AG2111</f>
        <v>0</v>
      </c>
      <c r="AM2111" s="3">
        <v>15</v>
      </c>
      <c r="AO2111" s="3">
        <f>AM2111-AJ2111</f>
        <v>-10</v>
      </c>
      <c r="AP2111" s="3">
        <v>15</v>
      </c>
      <c r="AS2111" s="3">
        <v>25</v>
      </c>
      <c r="AV2111" s="3">
        <v>28</v>
      </c>
      <c r="AZ2111" s="3">
        <v>25</v>
      </c>
      <c r="BA2111" s="1" t="s">
        <v>852</v>
      </c>
      <c r="BD2111" s="3">
        <v>15</v>
      </c>
      <c r="BE2111" s="1" t="s">
        <v>852</v>
      </c>
      <c r="BG2111" s="3">
        <v>15</v>
      </c>
      <c r="BH2111" s="3">
        <v>20</v>
      </c>
      <c r="BI2111" s="1" t="s">
        <v>852</v>
      </c>
    </row>
    <row r="2112" spans="1:61">
      <c r="B2112" s="103" t="s">
        <v>557</v>
      </c>
      <c r="C2112" s="1" t="s">
        <v>857</v>
      </c>
      <c r="D2112" s="2"/>
      <c r="E2112" s="2"/>
      <c r="F2112" s="8"/>
      <c r="G2112" s="8"/>
      <c r="H2112" s="8"/>
      <c r="I2112" s="8"/>
      <c r="R2112" s="1"/>
      <c r="AI2112" s="3"/>
      <c r="AL2112" s="3"/>
      <c r="AO2112" s="3"/>
      <c r="BH2112" s="3">
        <v>43</v>
      </c>
      <c r="BI2112" s="1" t="s">
        <v>852</v>
      </c>
    </row>
    <row r="2113" spans="1:61">
      <c r="B2113" s="103" t="s">
        <v>557</v>
      </c>
      <c r="C2113" s="1" t="s">
        <v>289</v>
      </c>
      <c r="D2113" s="2"/>
      <c r="E2113" s="2"/>
      <c r="F2113" s="8"/>
      <c r="G2113" s="8"/>
      <c r="H2113" s="8"/>
      <c r="I2113" s="8"/>
      <c r="R2113" s="1"/>
      <c r="AS2113" s="3">
        <v>25</v>
      </c>
      <c r="AV2113" s="3">
        <v>28</v>
      </c>
      <c r="AZ2113" s="3">
        <v>25</v>
      </c>
      <c r="BA2113" s="1" t="s">
        <v>852</v>
      </c>
      <c r="BD2113" s="3">
        <v>13</v>
      </c>
      <c r="BE2113" s="1" t="s">
        <v>852</v>
      </c>
      <c r="BG2113" s="3">
        <v>13</v>
      </c>
      <c r="BH2113" s="3">
        <v>49</v>
      </c>
      <c r="BI2113" s="1" t="s">
        <v>852</v>
      </c>
    </row>
    <row r="2114" spans="1:61">
      <c r="B2114" s="103" t="s">
        <v>557</v>
      </c>
      <c r="C2114" s="1" t="s">
        <v>290</v>
      </c>
      <c r="D2114" s="2"/>
      <c r="E2114" s="2"/>
      <c r="F2114" s="8"/>
      <c r="G2114" s="8"/>
      <c r="H2114" s="8"/>
      <c r="I2114" s="8"/>
      <c r="R2114" s="1"/>
      <c r="AS2114" s="3">
        <v>35</v>
      </c>
      <c r="AV2114" s="3">
        <v>35</v>
      </c>
    </row>
    <row r="2115" spans="1:61">
      <c r="B2115" s="103" t="s">
        <v>557</v>
      </c>
      <c r="C2115" s="1" t="s">
        <v>64</v>
      </c>
      <c r="D2115" s="2"/>
      <c r="E2115" s="2"/>
      <c r="F2115" s="8"/>
      <c r="G2115" s="8"/>
      <c r="H2115" s="8"/>
      <c r="I2115" s="8"/>
      <c r="R2115" s="1"/>
      <c r="AA2115" s="3">
        <v>65.760000000000005</v>
      </c>
      <c r="AG2115" s="3">
        <v>150</v>
      </c>
      <c r="AJ2115" s="3">
        <v>30</v>
      </c>
      <c r="AL2115" s="3">
        <f>AJ2115-AG2115</f>
        <v>-120</v>
      </c>
      <c r="AM2115" s="3">
        <v>30</v>
      </c>
      <c r="AO2115" s="3">
        <f>AM2115-AJ2115</f>
        <v>0</v>
      </c>
      <c r="AP2115" s="3">
        <v>30</v>
      </c>
      <c r="AS2115" s="3">
        <v>30</v>
      </c>
      <c r="AV2115" s="3">
        <v>30</v>
      </c>
      <c r="AZ2115" s="3">
        <v>30</v>
      </c>
      <c r="BA2115" s="1" t="s">
        <v>852</v>
      </c>
      <c r="BD2115" s="3">
        <v>15</v>
      </c>
      <c r="BE2115" s="1" t="s">
        <v>852</v>
      </c>
      <c r="BG2115" s="3">
        <v>15</v>
      </c>
      <c r="BH2115" s="3">
        <v>23</v>
      </c>
      <c r="BI2115" s="1" t="s">
        <v>852</v>
      </c>
    </row>
    <row r="2116" spans="1:61">
      <c r="B2116" s="103" t="s">
        <v>557</v>
      </c>
      <c r="C2116" s="1" t="s">
        <v>286</v>
      </c>
      <c r="D2116" s="2"/>
      <c r="E2116" s="2"/>
      <c r="F2116" s="8"/>
      <c r="G2116" s="8"/>
      <c r="H2116" s="8"/>
      <c r="I2116" s="8"/>
      <c r="R2116" s="1"/>
      <c r="AA2116" s="3">
        <v>86.05</v>
      </c>
      <c r="AG2116" s="3">
        <v>30</v>
      </c>
      <c r="AJ2116" s="3">
        <v>30</v>
      </c>
      <c r="AL2116" s="3">
        <f>AJ2116-AG2116</f>
        <v>0</v>
      </c>
      <c r="AM2116" s="3">
        <v>25</v>
      </c>
      <c r="AO2116" s="3">
        <f>AM2116-AJ2116</f>
        <v>-5</v>
      </c>
      <c r="AP2116" s="3">
        <v>30</v>
      </c>
      <c r="AS2116" s="3">
        <v>30</v>
      </c>
      <c r="AV2116" s="3">
        <v>30</v>
      </c>
      <c r="AZ2116" s="3">
        <v>30</v>
      </c>
      <c r="BA2116" s="1" t="s">
        <v>852</v>
      </c>
      <c r="BD2116" s="3">
        <v>18</v>
      </c>
      <c r="BE2116" s="1" t="s">
        <v>852</v>
      </c>
      <c r="BG2116" s="3">
        <v>18</v>
      </c>
      <c r="BH2116" s="3">
        <v>16.5</v>
      </c>
      <c r="BI2116" s="1" t="s">
        <v>852</v>
      </c>
    </row>
    <row r="2117" spans="1:61">
      <c r="B2117" s="103" t="s">
        <v>557</v>
      </c>
      <c r="C2117" s="1" t="s">
        <v>288</v>
      </c>
      <c r="D2117" s="2"/>
      <c r="E2117" s="2"/>
      <c r="F2117" s="8"/>
      <c r="G2117" s="8"/>
      <c r="H2117" s="8"/>
      <c r="I2117" s="8"/>
      <c r="R2117" s="1"/>
      <c r="AA2117" s="3">
        <v>69.38</v>
      </c>
      <c r="AD2117" s="24">
        <v>12.5</v>
      </c>
      <c r="AG2117" s="3">
        <v>25</v>
      </c>
      <c r="AI2117" s="3">
        <f>AG2117-AD2117</f>
        <v>12.5</v>
      </c>
      <c r="AJ2117" s="3">
        <v>32</v>
      </c>
      <c r="AL2117" s="3">
        <f>AJ2117-AG2117</f>
        <v>7</v>
      </c>
      <c r="AM2117" s="3">
        <v>28</v>
      </c>
      <c r="AO2117" s="3">
        <f>AM2117-AJ2117</f>
        <v>-4</v>
      </c>
      <c r="AP2117" s="3">
        <v>32</v>
      </c>
      <c r="AS2117" s="3">
        <v>32</v>
      </c>
      <c r="AV2117" s="3">
        <v>32</v>
      </c>
      <c r="AZ2117" s="3">
        <v>32</v>
      </c>
      <c r="BA2117" s="1" t="s">
        <v>852</v>
      </c>
      <c r="BD2117" s="3">
        <v>15</v>
      </c>
      <c r="BE2117" s="1" t="s">
        <v>852</v>
      </c>
      <c r="BG2117" s="3">
        <v>15</v>
      </c>
      <c r="BH2117" s="3">
        <v>20</v>
      </c>
      <c r="BI2117" s="1" t="s">
        <v>852</v>
      </c>
    </row>
    <row r="2118" spans="1:61" ht="9.6" customHeight="1">
      <c r="A2118" s="6">
        <v>11</v>
      </c>
      <c r="B2118" s="103" t="s">
        <v>557</v>
      </c>
      <c r="C2118" s="1" t="s">
        <v>57</v>
      </c>
      <c r="D2118" s="2">
        <v>31.55</v>
      </c>
      <c r="E2118" s="2"/>
      <c r="F2118" s="8">
        <v>29.88</v>
      </c>
      <c r="G2118" s="8"/>
      <c r="H2118" s="8">
        <v>29.88</v>
      </c>
      <c r="I2118" s="8">
        <f>H2118-D2118</f>
        <v>-1.6700000000000017</v>
      </c>
      <c r="L2118" s="1" t="s">
        <v>59</v>
      </c>
      <c r="M2118" s="3">
        <v>29.88</v>
      </c>
      <c r="O2118" s="3">
        <v>29.88</v>
      </c>
      <c r="R2118" s="1"/>
    </row>
    <row r="2119" spans="1:61">
      <c r="B2119" s="103" t="s">
        <v>557</v>
      </c>
      <c r="C2119" s="1" t="s">
        <v>287</v>
      </c>
      <c r="D2119" s="2"/>
      <c r="E2119" s="2"/>
      <c r="F2119" s="8"/>
      <c r="G2119" s="8"/>
      <c r="H2119" s="8"/>
      <c r="I2119" s="8"/>
      <c r="R2119" s="1"/>
      <c r="U2119" s="3">
        <v>8.1199999999999992</v>
      </c>
      <c r="AA2119" s="3">
        <v>72.95</v>
      </c>
      <c r="AM2119" s="3">
        <v>25</v>
      </c>
      <c r="AZ2119" s="3">
        <v>35</v>
      </c>
      <c r="BA2119" s="1" t="s">
        <v>852</v>
      </c>
      <c r="BD2119" s="3">
        <v>15</v>
      </c>
      <c r="BE2119" s="1" t="s">
        <v>852</v>
      </c>
      <c r="BG2119" s="3">
        <v>15</v>
      </c>
      <c r="BH2119" s="3">
        <v>19</v>
      </c>
      <c r="BI2119" s="1" t="s">
        <v>852</v>
      </c>
    </row>
    <row r="2120" spans="1:61">
      <c r="A2120" s="6">
        <v>1</v>
      </c>
      <c r="B2120" s="103" t="s">
        <v>776</v>
      </c>
      <c r="C2120" s="1" t="s">
        <v>52</v>
      </c>
      <c r="D2120" s="2"/>
      <c r="E2120" s="2"/>
      <c r="F2120" s="8"/>
      <c r="G2120" s="8"/>
      <c r="H2120" s="8"/>
      <c r="I2120" s="8"/>
      <c r="R2120" s="1"/>
    </row>
    <row r="2121" spans="1:61">
      <c r="A2121" s="6">
        <v>3</v>
      </c>
      <c r="B2121" s="103" t="s">
        <v>776</v>
      </c>
      <c r="C2121" s="1" t="s">
        <v>54</v>
      </c>
      <c r="D2121" s="2"/>
      <c r="E2121" s="2"/>
      <c r="F2121" s="8"/>
      <c r="G2121" s="8"/>
      <c r="H2121" s="8"/>
      <c r="I2121" s="8"/>
      <c r="R2121" s="1"/>
    </row>
    <row r="2122" spans="1:61">
      <c r="A2122" s="6">
        <v>4</v>
      </c>
      <c r="B2122" s="103" t="s">
        <v>776</v>
      </c>
      <c r="C2122" s="1" t="s">
        <v>55</v>
      </c>
      <c r="D2122" s="2"/>
      <c r="E2122" s="2"/>
      <c r="F2122" s="8"/>
      <c r="G2122" s="8"/>
      <c r="H2122" s="8"/>
      <c r="I2122" s="8"/>
      <c r="R2122" s="1"/>
    </row>
    <row r="2123" spans="1:61">
      <c r="A2123" s="6">
        <v>5</v>
      </c>
      <c r="B2123" s="103" t="s">
        <v>776</v>
      </c>
      <c r="C2123" s="1" t="s">
        <v>56</v>
      </c>
      <c r="D2123" s="2"/>
      <c r="E2123" s="2"/>
      <c r="F2123" s="8"/>
      <c r="G2123" s="8"/>
      <c r="H2123" s="8"/>
      <c r="I2123" s="8"/>
      <c r="R2123" s="1"/>
    </row>
    <row r="2124" spans="1:61">
      <c r="A2124" s="6">
        <v>2</v>
      </c>
      <c r="B2124" s="103" t="s">
        <v>776</v>
      </c>
      <c r="C2124" s="1" t="s">
        <v>53</v>
      </c>
      <c r="D2124" s="2"/>
      <c r="E2124" s="2"/>
      <c r="F2124" s="8"/>
      <c r="G2124" s="8"/>
      <c r="H2124" s="8"/>
      <c r="I2124" s="8"/>
      <c r="R2124" s="1"/>
      <c r="U2124" s="3">
        <v>4.8</v>
      </c>
    </row>
    <row r="2125" spans="1:61">
      <c r="B2125" s="103" t="s">
        <v>776</v>
      </c>
      <c r="C2125" s="1" t="s">
        <v>595</v>
      </c>
      <c r="D2125" s="2"/>
      <c r="E2125" s="2"/>
      <c r="F2125" s="8"/>
      <c r="G2125" s="8"/>
      <c r="H2125" s="8"/>
      <c r="I2125" s="8"/>
      <c r="R2125" s="1"/>
      <c r="U2125" s="3">
        <v>9</v>
      </c>
      <c r="AA2125" s="3">
        <v>9.1999999999999993</v>
      </c>
      <c r="AD2125" s="24">
        <v>9.5</v>
      </c>
      <c r="AG2125" s="3">
        <v>9.8000000000000007</v>
      </c>
      <c r="AI2125" s="3">
        <f>AG2125-AD2125</f>
        <v>0.30000000000000071</v>
      </c>
      <c r="BD2125" s="3">
        <v>7</v>
      </c>
    </row>
    <row r="2126" spans="1:61">
      <c r="B2126" s="103" t="s">
        <v>776</v>
      </c>
      <c r="C2126" s="1" t="s">
        <v>700</v>
      </c>
      <c r="D2126" s="2"/>
      <c r="E2126" s="2"/>
      <c r="F2126" s="8"/>
      <c r="G2126" s="8"/>
      <c r="H2126" s="8"/>
      <c r="I2126" s="8"/>
      <c r="R2126" s="1"/>
      <c r="X2126" s="3">
        <v>9</v>
      </c>
    </row>
    <row r="2127" spans="1:61">
      <c r="A2127" s="6">
        <v>12</v>
      </c>
      <c r="B2127" s="103" t="s">
        <v>776</v>
      </c>
      <c r="C2127" s="1" t="s">
        <v>594</v>
      </c>
      <c r="D2127" s="2"/>
      <c r="E2127" s="2"/>
      <c r="F2127" s="8"/>
      <c r="G2127" s="8"/>
      <c r="H2127" s="8"/>
      <c r="I2127" s="8"/>
      <c r="R2127" s="1"/>
      <c r="U2127" s="3">
        <v>3.6</v>
      </c>
      <c r="X2127" s="3">
        <v>6.5</v>
      </c>
      <c r="Z2127" s="3">
        <f>X2127-U2127</f>
        <v>2.9</v>
      </c>
      <c r="AA2127" s="3">
        <v>7.4</v>
      </c>
      <c r="AC2127" s="3">
        <f>AA2127-X2127</f>
        <v>0.90000000000000036</v>
      </c>
      <c r="AD2127" s="24">
        <v>6.7</v>
      </c>
      <c r="AG2127" s="3">
        <v>7.2</v>
      </c>
      <c r="AI2127" s="3">
        <f>AG2127-AD2127</f>
        <v>0.5</v>
      </c>
      <c r="AJ2127" s="3">
        <v>7.72</v>
      </c>
      <c r="AM2127" s="3">
        <v>8.4</v>
      </c>
      <c r="AO2127" s="3">
        <f>AM2127-AJ2127</f>
        <v>0.6800000000000006</v>
      </c>
      <c r="AP2127" s="3">
        <v>5.5</v>
      </c>
      <c r="AS2127" s="3">
        <v>10</v>
      </c>
      <c r="AV2127" s="3">
        <v>9</v>
      </c>
      <c r="AY2127" s="3">
        <v>8</v>
      </c>
      <c r="BD2127" s="3">
        <v>19</v>
      </c>
    </row>
    <row r="2128" spans="1:61">
      <c r="A2128" s="6">
        <v>14</v>
      </c>
      <c r="B2128" s="103" t="s">
        <v>776</v>
      </c>
      <c r="C2128" s="1" t="s">
        <v>58</v>
      </c>
      <c r="D2128" s="2"/>
      <c r="E2128" s="2"/>
      <c r="F2128" s="8"/>
      <c r="G2128" s="8"/>
      <c r="H2128" s="8"/>
      <c r="I2128" s="8"/>
      <c r="R2128" s="1"/>
      <c r="X2128" s="3">
        <v>7.1</v>
      </c>
      <c r="AA2128" s="3">
        <v>9.6</v>
      </c>
      <c r="AC2128" s="3">
        <f>AA2128-X2128</f>
        <v>2.5</v>
      </c>
      <c r="AD2128" s="24">
        <v>12</v>
      </c>
      <c r="AG2128" s="3">
        <v>12.4</v>
      </c>
      <c r="AI2128" s="3">
        <f>AG2128-AD2128</f>
        <v>0.40000000000000036</v>
      </c>
      <c r="AJ2128" s="3">
        <v>12.8</v>
      </c>
      <c r="AM2128" s="3">
        <v>13.6</v>
      </c>
      <c r="AO2128" s="3">
        <f>AM2128-AJ2128</f>
        <v>0.79999999999999893</v>
      </c>
      <c r="AP2128" s="3">
        <v>6.5</v>
      </c>
      <c r="AS2128" s="3">
        <v>10</v>
      </c>
      <c r="AV2128" s="3">
        <v>9.6</v>
      </c>
      <c r="AY2128" s="3">
        <v>8</v>
      </c>
    </row>
    <row r="2129" spans="1:61">
      <c r="B2129" s="103" t="s">
        <v>776</v>
      </c>
      <c r="C2129" s="1" t="s">
        <v>289</v>
      </c>
      <c r="D2129" s="2"/>
      <c r="E2129" s="2"/>
      <c r="F2129" s="8"/>
      <c r="G2129" s="8"/>
      <c r="H2129" s="8"/>
      <c r="I2129" s="8"/>
      <c r="R2129" s="1"/>
      <c r="AS2129" s="3">
        <v>13</v>
      </c>
      <c r="AY2129" s="3">
        <v>15</v>
      </c>
      <c r="BD2129" s="3">
        <v>23</v>
      </c>
      <c r="BH2129" s="3">
        <v>24</v>
      </c>
    </row>
    <row r="2130" spans="1:61">
      <c r="B2130" s="103" t="s">
        <v>776</v>
      </c>
      <c r="C2130" s="1" t="s">
        <v>290</v>
      </c>
      <c r="D2130" s="2"/>
      <c r="E2130" s="2"/>
      <c r="F2130" s="8"/>
      <c r="G2130" s="8"/>
      <c r="H2130" s="8"/>
      <c r="I2130" s="8"/>
      <c r="R2130" s="1"/>
      <c r="AY2130" s="3">
        <v>30</v>
      </c>
      <c r="BD2130" s="3">
        <v>35</v>
      </c>
      <c r="BH2130" s="3">
        <v>34</v>
      </c>
    </row>
    <row r="2131" spans="1:61">
      <c r="B2131" s="103" t="s">
        <v>776</v>
      </c>
      <c r="C2131" s="1" t="s">
        <v>64</v>
      </c>
      <c r="D2131" s="2"/>
      <c r="E2131" s="2"/>
      <c r="F2131" s="8"/>
      <c r="G2131" s="8"/>
      <c r="H2131" s="8"/>
      <c r="I2131" s="8"/>
      <c r="R2131" s="1"/>
      <c r="AS2131" s="3">
        <v>22</v>
      </c>
      <c r="AV2131" s="3">
        <v>26.7</v>
      </c>
      <c r="AY2131" s="3">
        <v>15</v>
      </c>
      <c r="BD2131" s="3">
        <v>30</v>
      </c>
      <c r="BH2131" s="3">
        <v>32</v>
      </c>
    </row>
    <row r="2132" spans="1:61">
      <c r="B2132" s="103" t="s">
        <v>776</v>
      </c>
      <c r="C2132" s="1" t="s">
        <v>855</v>
      </c>
      <c r="D2132" s="2"/>
      <c r="E2132" s="2"/>
      <c r="F2132" s="8"/>
      <c r="G2132" s="8"/>
      <c r="H2132" s="8"/>
      <c r="I2132" s="8"/>
      <c r="R2132" s="1"/>
      <c r="BD2132" s="3">
        <v>21</v>
      </c>
      <c r="BH2132" s="3">
        <v>22</v>
      </c>
    </row>
    <row r="2133" spans="1:61">
      <c r="B2133" s="103" t="s">
        <v>776</v>
      </c>
      <c r="C2133" s="1" t="s">
        <v>286</v>
      </c>
      <c r="D2133" s="2"/>
      <c r="E2133" s="2"/>
      <c r="F2133" s="8"/>
      <c r="G2133" s="8"/>
      <c r="H2133" s="8"/>
      <c r="I2133" s="8"/>
      <c r="R2133" s="1"/>
      <c r="AY2133" s="3">
        <v>25</v>
      </c>
      <c r="BD2133" s="3">
        <v>23</v>
      </c>
      <c r="BH2133" s="3">
        <v>24</v>
      </c>
    </row>
    <row r="2134" spans="1:61">
      <c r="B2134" s="103" t="s">
        <v>776</v>
      </c>
      <c r="C2134" s="1" t="s">
        <v>288</v>
      </c>
      <c r="D2134" s="2"/>
      <c r="E2134" s="2"/>
      <c r="F2134" s="8"/>
      <c r="G2134" s="8"/>
      <c r="H2134" s="8"/>
      <c r="I2134" s="8"/>
      <c r="R2134" s="1"/>
      <c r="AS2134" s="3">
        <v>16</v>
      </c>
      <c r="AV2134" s="3">
        <v>26.7</v>
      </c>
      <c r="AY2134" s="3">
        <v>18</v>
      </c>
      <c r="BD2134" s="3">
        <v>20</v>
      </c>
      <c r="BH2134" s="3">
        <v>21</v>
      </c>
    </row>
    <row r="2135" spans="1:61">
      <c r="A2135" s="6">
        <v>11</v>
      </c>
      <c r="B2135" s="103" t="s">
        <v>776</v>
      </c>
      <c r="C2135" s="1" t="s">
        <v>57</v>
      </c>
      <c r="D2135" s="2"/>
      <c r="E2135" s="2"/>
      <c r="F2135" s="8"/>
      <c r="G2135" s="8"/>
      <c r="H2135" s="8"/>
      <c r="I2135" s="8"/>
      <c r="R2135" s="1"/>
    </row>
    <row r="2136" spans="1:61">
      <c r="B2136" s="103" t="s">
        <v>776</v>
      </c>
      <c r="C2136" s="1" t="s">
        <v>287</v>
      </c>
      <c r="D2136" s="2"/>
      <c r="E2136" s="2"/>
      <c r="F2136" s="8"/>
      <c r="G2136" s="8"/>
      <c r="H2136" s="8"/>
      <c r="I2136" s="8"/>
      <c r="R2136" s="1"/>
    </row>
    <row r="2137" spans="1:61">
      <c r="B2137" s="103" t="s">
        <v>737</v>
      </c>
      <c r="C2137" s="1" t="s">
        <v>52</v>
      </c>
      <c r="D2137" s="2"/>
      <c r="E2137" s="2"/>
      <c r="F2137" s="8"/>
      <c r="G2137" s="8"/>
      <c r="H2137" s="8"/>
      <c r="I2137" s="8"/>
      <c r="R2137" s="1"/>
      <c r="AE2137" s="1" t="s">
        <v>285</v>
      </c>
      <c r="AH2137" s="1" t="s">
        <v>285</v>
      </c>
      <c r="AK2137" s="1" t="s">
        <v>285</v>
      </c>
      <c r="AN2137" s="1" t="s">
        <v>285</v>
      </c>
      <c r="AQ2137" s="1" t="s">
        <v>285</v>
      </c>
      <c r="AT2137" s="1" t="s">
        <v>285</v>
      </c>
      <c r="AW2137" s="1" t="s">
        <v>285</v>
      </c>
      <c r="BA2137" s="1" t="s">
        <v>285</v>
      </c>
      <c r="BE2137" s="1" t="s">
        <v>285</v>
      </c>
      <c r="BI2137" s="1" t="s">
        <v>285</v>
      </c>
    </row>
    <row r="2138" spans="1:61">
      <c r="B2138" s="103" t="s">
        <v>737</v>
      </c>
      <c r="C2138" s="1" t="s">
        <v>54</v>
      </c>
      <c r="D2138" s="2"/>
      <c r="E2138" s="2"/>
      <c r="F2138" s="8"/>
      <c r="G2138" s="8"/>
      <c r="H2138" s="8"/>
      <c r="I2138" s="8"/>
      <c r="R2138" s="1"/>
      <c r="AE2138" s="1" t="s">
        <v>285</v>
      </c>
      <c r="AH2138" s="1" t="s">
        <v>285</v>
      </c>
      <c r="AK2138" s="1" t="s">
        <v>285</v>
      </c>
      <c r="AN2138" s="1" t="s">
        <v>285</v>
      </c>
      <c r="AQ2138" s="1" t="s">
        <v>285</v>
      </c>
      <c r="AT2138" s="1" t="s">
        <v>285</v>
      </c>
      <c r="AW2138" s="1" t="s">
        <v>285</v>
      </c>
      <c r="BA2138" s="1" t="s">
        <v>285</v>
      </c>
      <c r="BE2138" s="1" t="s">
        <v>285</v>
      </c>
      <c r="BI2138" s="1" t="s">
        <v>285</v>
      </c>
    </row>
    <row r="2139" spans="1:61">
      <c r="B2139" s="103" t="s">
        <v>737</v>
      </c>
      <c r="C2139" s="1" t="s">
        <v>55</v>
      </c>
      <c r="D2139" s="2"/>
      <c r="E2139" s="2"/>
      <c r="F2139" s="8"/>
      <c r="G2139" s="8"/>
      <c r="H2139" s="8"/>
      <c r="I2139" s="8"/>
      <c r="R2139" s="1"/>
      <c r="AE2139" s="1" t="s">
        <v>285</v>
      </c>
      <c r="AH2139" s="1" t="s">
        <v>285</v>
      </c>
      <c r="AK2139" s="1" t="s">
        <v>285</v>
      </c>
      <c r="AN2139" s="1" t="s">
        <v>285</v>
      </c>
      <c r="AQ2139" s="1" t="s">
        <v>285</v>
      </c>
      <c r="AT2139" s="1" t="s">
        <v>285</v>
      </c>
      <c r="AW2139" s="1" t="s">
        <v>285</v>
      </c>
      <c r="BA2139" s="1" t="s">
        <v>285</v>
      </c>
      <c r="BE2139" s="1" t="s">
        <v>285</v>
      </c>
      <c r="BI2139" s="1" t="s">
        <v>285</v>
      </c>
    </row>
    <row r="2140" spans="1:61">
      <c r="B2140" s="103" t="s">
        <v>737</v>
      </c>
      <c r="C2140" s="1" t="s">
        <v>56</v>
      </c>
      <c r="D2140" s="2"/>
      <c r="E2140" s="2"/>
      <c r="F2140" s="8"/>
      <c r="G2140" s="8"/>
      <c r="H2140" s="8"/>
      <c r="I2140" s="8"/>
      <c r="R2140" s="1"/>
      <c r="AE2140" s="1" t="s">
        <v>285</v>
      </c>
      <c r="AH2140" s="1" t="s">
        <v>285</v>
      </c>
      <c r="AK2140" s="1" t="s">
        <v>285</v>
      </c>
      <c r="AN2140" s="1" t="s">
        <v>285</v>
      </c>
      <c r="AQ2140" s="1" t="s">
        <v>285</v>
      </c>
      <c r="AT2140" s="1" t="s">
        <v>285</v>
      </c>
      <c r="AW2140" s="1" t="s">
        <v>285</v>
      </c>
      <c r="BA2140" s="1" t="s">
        <v>285</v>
      </c>
      <c r="BE2140" s="1" t="s">
        <v>285</v>
      </c>
      <c r="BI2140" s="1" t="s">
        <v>285</v>
      </c>
    </row>
    <row r="2141" spans="1:61">
      <c r="B2141" s="103" t="s">
        <v>737</v>
      </c>
      <c r="C2141" s="1" t="s">
        <v>53</v>
      </c>
      <c r="D2141" s="2"/>
      <c r="E2141" s="2"/>
      <c r="F2141" s="8"/>
      <c r="G2141" s="8"/>
      <c r="H2141" s="8"/>
      <c r="I2141" s="8"/>
      <c r="R2141" s="1"/>
      <c r="AE2141" s="1" t="s">
        <v>285</v>
      </c>
      <c r="AH2141" s="1" t="s">
        <v>285</v>
      </c>
      <c r="AK2141" s="1" t="s">
        <v>285</v>
      </c>
      <c r="AN2141" s="1" t="s">
        <v>285</v>
      </c>
      <c r="AQ2141" s="1" t="s">
        <v>285</v>
      </c>
      <c r="AT2141" s="1" t="s">
        <v>285</v>
      </c>
      <c r="AW2141" s="1" t="s">
        <v>285</v>
      </c>
      <c r="BA2141" s="1" t="s">
        <v>285</v>
      </c>
      <c r="BE2141" s="1" t="s">
        <v>285</v>
      </c>
      <c r="BI2141" s="1" t="s">
        <v>285</v>
      </c>
    </row>
    <row r="2142" spans="1:61">
      <c r="B2142" s="103" t="s">
        <v>737</v>
      </c>
      <c r="C2142" s="1" t="s">
        <v>595</v>
      </c>
      <c r="D2142" s="2"/>
      <c r="E2142" s="2"/>
      <c r="F2142" s="8"/>
      <c r="G2142" s="8"/>
      <c r="H2142" s="8"/>
      <c r="I2142" s="8"/>
      <c r="R2142" s="1"/>
      <c r="AE2142" s="1" t="s">
        <v>285</v>
      </c>
      <c r="AH2142" s="1" t="s">
        <v>285</v>
      </c>
      <c r="AK2142" s="1" t="s">
        <v>285</v>
      </c>
      <c r="AN2142" s="1" t="s">
        <v>285</v>
      </c>
      <c r="AQ2142" s="1" t="s">
        <v>285</v>
      </c>
      <c r="AT2142" s="1" t="s">
        <v>285</v>
      </c>
      <c r="AW2142" s="1" t="s">
        <v>285</v>
      </c>
      <c r="BA2142" s="1" t="s">
        <v>285</v>
      </c>
      <c r="BE2142" s="1" t="s">
        <v>285</v>
      </c>
      <c r="BI2142" s="1" t="s">
        <v>285</v>
      </c>
    </row>
    <row r="2143" spans="1:61">
      <c r="B2143" s="103" t="s">
        <v>737</v>
      </c>
      <c r="C2143" s="1" t="s">
        <v>700</v>
      </c>
      <c r="D2143" s="2"/>
      <c r="E2143" s="2"/>
      <c r="F2143" s="8"/>
      <c r="G2143" s="8"/>
      <c r="H2143" s="8"/>
      <c r="I2143" s="8"/>
      <c r="R2143" s="1"/>
      <c r="AE2143" s="1" t="s">
        <v>285</v>
      </c>
      <c r="AH2143" s="1" t="s">
        <v>285</v>
      </c>
      <c r="AK2143" s="1" t="s">
        <v>285</v>
      </c>
      <c r="AN2143" s="1" t="s">
        <v>285</v>
      </c>
      <c r="AQ2143" s="1" t="s">
        <v>285</v>
      </c>
      <c r="AT2143" s="1" t="s">
        <v>285</v>
      </c>
      <c r="AW2143" s="1" t="s">
        <v>285</v>
      </c>
      <c r="BA2143" s="1" t="s">
        <v>285</v>
      </c>
      <c r="BE2143" s="1" t="s">
        <v>285</v>
      </c>
      <c r="BI2143" s="1" t="s">
        <v>285</v>
      </c>
    </row>
    <row r="2144" spans="1:61">
      <c r="B2144" s="103" t="s">
        <v>737</v>
      </c>
      <c r="C2144" s="1" t="s">
        <v>594</v>
      </c>
      <c r="D2144" s="2"/>
      <c r="E2144" s="2"/>
      <c r="F2144" s="8"/>
      <c r="G2144" s="8"/>
      <c r="H2144" s="8"/>
      <c r="I2144" s="8"/>
      <c r="R2144" s="1"/>
      <c r="AE2144" s="1" t="s">
        <v>285</v>
      </c>
      <c r="AH2144" s="1" t="s">
        <v>285</v>
      </c>
      <c r="AK2144" s="1" t="s">
        <v>285</v>
      </c>
      <c r="AN2144" s="1" t="s">
        <v>285</v>
      </c>
      <c r="AQ2144" s="1" t="s">
        <v>285</v>
      </c>
      <c r="AT2144" s="1" t="s">
        <v>285</v>
      </c>
      <c r="AW2144" s="1" t="s">
        <v>285</v>
      </c>
      <c r="BA2144" s="1" t="s">
        <v>285</v>
      </c>
      <c r="BE2144" s="1" t="s">
        <v>285</v>
      </c>
      <c r="BI2144" s="1" t="s">
        <v>285</v>
      </c>
    </row>
    <row r="2145" spans="2:61">
      <c r="B2145" s="103" t="s">
        <v>737</v>
      </c>
      <c r="C2145" s="1" t="s">
        <v>58</v>
      </c>
      <c r="D2145" s="2"/>
      <c r="E2145" s="2"/>
      <c r="F2145" s="8"/>
      <c r="G2145" s="8"/>
      <c r="H2145" s="8"/>
      <c r="I2145" s="8"/>
      <c r="R2145" s="1"/>
      <c r="AE2145" s="1" t="s">
        <v>285</v>
      </c>
      <c r="AH2145" s="1" t="s">
        <v>285</v>
      </c>
      <c r="AK2145" s="1" t="s">
        <v>285</v>
      </c>
      <c r="AN2145" s="1" t="s">
        <v>285</v>
      </c>
      <c r="AQ2145" s="1" t="s">
        <v>285</v>
      </c>
      <c r="AT2145" s="1" t="s">
        <v>285</v>
      </c>
      <c r="AW2145" s="1" t="s">
        <v>285</v>
      </c>
      <c r="BA2145" s="1" t="s">
        <v>285</v>
      </c>
      <c r="BE2145" s="1" t="s">
        <v>285</v>
      </c>
      <c r="BI2145" s="1" t="s">
        <v>285</v>
      </c>
    </row>
    <row r="2146" spans="2:61">
      <c r="B2146" s="103" t="s">
        <v>737</v>
      </c>
      <c r="C2146" s="1" t="s">
        <v>64</v>
      </c>
      <c r="D2146" s="2"/>
      <c r="E2146" s="2"/>
      <c r="F2146" s="8"/>
      <c r="G2146" s="8"/>
      <c r="H2146" s="8"/>
      <c r="I2146" s="8"/>
      <c r="R2146" s="1"/>
      <c r="AE2146" s="1" t="s">
        <v>285</v>
      </c>
      <c r="AH2146" s="1" t="s">
        <v>285</v>
      </c>
      <c r="AK2146" s="1" t="s">
        <v>285</v>
      </c>
      <c r="AN2146" s="1" t="s">
        <v>285</v>
      </c>
      <c r="AQ2146" s="1" t="s">
        <v>285</v>
      </c>
      <c r="AT2146" s="1" t="s">
        <v>285</v>
      </c>
      <c r="AW2146" s="1" t="s">
        <v>285</v>
      </c>
      <c r="BA2146" s="1" t="s">
        <v>285</v>
      </c>
      <c r="BE2146" s="1" t="s">
        <v>285</v>
      </c>
      <c r="BI2146" s="1" t="s">
        <v>285</v>
      </c>
    </row>
    <row r="2147" spans="2:61">
      <c r="B2147" s="103" t="s">
        <v>737</v>
      </c>
      <c r="C2147" s="1" t="s">
        <v>286</v>
      </c>
      <c r="D2147" s="2"/>
      <c r="E2147" s="2"/>
      <c r="F2147" s="8"/>
      <c r="G2147" s="8"/>
      <c r="H2147" s="8"/>
      <c r="I2147" s="8"/>
      <c r="R2147" s="1"/>
      <c r="AE2147" s="1" t="s">
        <v>285</v>
      </c>
      <c r="AH2147" s="1" t="s">
        <v>285</v>
      </c>
      <c r="AK2147" s="1" t="s">
        <v>285</v>
      </c>
      <c r="AN2147" s="1" t="s">
        <v>285</v>
      </c>
      <c r="AQ2147" s="1" t="s">
        <v>285</v>
      </c>
      <c r="AT2147" s="1" t="s">
        <v>285</v>
      </c>
      <c r="AW2147" s="1" t="s">
        <v>285</v>
      </c>
      <c r="BA2147" s="1" t="s">
        <v>285</v>
      </c>
      <c r="BE2147" s="1" t="s">
        <v>285</v>
      </c>
      <c r="BI2147" s="1" t="s">
        <v>285</v>
      </c>
    </row>
    <row r="2148" spans="2:61">
      <c r="B2148" s="103" t="s">
        <v>737</v>
      </c>
      <c r="C2148" s="1" t="s">
        <v>57</v>
      </c>
      <c r="D2148" s="2"/>
      <c r="E2148" s="2"/>
      <c r="F2148" s="8"/>
      <c r="G2148" s="8"/>
      <c r="H2148" s="8"/>
      <c r="I2148" s="8"/>
      <c r="R2148" s="1"/>
      <c r="AE2148" s="1" t="s">
        <v>285</v>
      </c>
      <c r="AH2148" s="1" t="s">
        <v>285</v>
      </c>
      <c r="AK2148" s="1" t="s">
        <v>285</v>
      </c>
      <c r="AN2148" s="1" t="s">
        <v>285</v>
      </c>
      <c r="AQ2148" s="1" t="s">
        <v>285</v>
      </c>
      <c r="AT2148" s="1" t="s">
        <v>285</v>
      </c>
      <c r="AW2148" s="1" t="s">
        <v>285</v>
      </c>
      <c r="BA2148" s="1" t="s">
        <v>285</v>
      </c>
      <c r="BE2148" s="1" t="s">
        <v>285</v>
      </c>
      <c r="BI2148" s="1" t="s">
        <v>285</v>
      </c>
    </row>
    <row r="2149" spans="2:61">
      <c r="B2149" s="103" t="s">
        <v>737</v>
      </c>
      <c r="C2149" s="1" t="s">
        <v>287</v>
      </c>
      <c r="D2149" s="2"/>
      <c r="E2149" s="2"/>
      <c r="F2149" s="8"/>
      <c r="G2149" s="8"/>
      <c r="H2149" s="8"/>
      <c r="I2149" s="8"/>
      <c r="R2149" s="1"/>
      <c r="AE2149" s="1" t="s">
        <v>285</v>
      </c>
      <c r="AH2149" s="1" t="s">
        <v>285</v>
      </c>
      <c r="AK2149" s="1" t="s">
        <v>285</v>
      </c>
      <c r="AN2149" s="1" t="s">
        <v>285</v>
      </c>
      <c r="AQ2149" s="1" t="s">
        <v>285</v>
      </c>
      <c r="AT2149" s="1" t="s">
        <v>285</v>
      </c>
      <c r="AW2149" s="1" t="s">
        <v>285</v>
      </c>
      <c r="BA2149" s="1" t="s">
        <v>285</v>
      </c>
      <c r="BE2149" s="1" t="s">
        <v>285</v>
      </c>
      <c r="BI2149" s="1" t="s">
        <v>285</v>
      </c>
    </row>
    <row r="2150" spans="2:61">
      <c r="B2150" s="103" t="s">
        <v>796</v>
      </c>
      <c r="C2150" s="1" t="s">
        <v>52</v>
      </c>
      <c r="D2150" s="2"/>
      <c r="E2150" s="2"/>
      <c r="F2150" s="8"/>
      <c r="G2150" s="8"/>
      <c r="H2150" s="8"/>
      <c r="I2150" s="8"/>
      <c r="R2150" s="1"/>
      <c r="AQ2150" s="1" t="s">
        <v>285</v>
      </c>
      <c r="AT2150" s="1" t="s">
        <v>285</v>
      </c>
      <c r="AW2150" s="1" t="s">
        <v>285</v>
      </c>
      <c r="BA2150" s="1" t="s">
        <v>285</v>
      </c>
      <c r="BE2150" s="1" t="s">
        <v>285</v>
      </c>
      <c r="BI2150" s="1" t="s">
        <v>285</v>
      </c>
    </row>
    <row r="2151" spans="2:61">
      <c r="B2151" s="103" t="s">
        <v>796</v>
      </c>
      <c r="C2151" s="1" t="s">
        <v>54</v>
      </c>
      <c r="D2151" s="2"/>
      <c r="E2151" s="2"/>
      <c r="F2151" s="8"/>
      <c r="G2151" s="8"/>
      <c r="H2151" s="8"/>
      <c r="I2151" s="8"/>
      <c r="R2151" s="1"/>
      <c r="AQ2151" s="1" t="s">
        <v>285</v>
      </c>
      <c r="AT2151" s="1" t="s">
        <v>285</v>
      </c>
      <c r="AW2151" s="1" t="s">
        <v>285</v>
      </c>
      <c r="BA2151" s="1" t="s">
        <v>285</v>
      </c>
      <c r="BE2151" s="1" t="s">
        <v>285</v>
      </c>
      <c r="BI2151" s="1" t="s">
        <v>285</v>
      </c>
    </row>
    <row r="2152" spans="2:61">
      <c r="B2152" s="103" t="s">
        <v>796</v>
      </c>
      <c r="C2152" s="1" t="s">
        <v>55</v>
      </c>
      <c r="D2152" s="2"/>
      <c r="E2152" s="2"/>
      <c r="F2152" s="8"/>
      <c r="G2152" s="8"/>
      <c r="H2152" s="8"/>
      <c r="I2152" s="8"/>
      <c r="R2152" s="1"/>
      <c r="AQ2152" s="1" t="s">
        <v>285</v>
      </c>
      <c r="AT2152" s="1" t="s">
        <v>285</v>
      </c>
      <c r="AW2152" s="1" t="s">
        <v>285</v>
      </c>
      <c r="BA2152" s="1" t="s">
        <v>285</v>
      </c>
      <c r="BE2152" s="1" t="s">
        <v>285</v>
      </c>
      <c r="BI2152" s="1" t="s">
        <v>285</v>
      </c>
    </row>
    <row r="2153" spans="2:61">
      <c r="B2153" s="103" t="s">
        <v>796</v>
      </c>
      <c r="C2153" s="1" t="s">
        <v>56</v>
      </c>
      <c r="D2153" s="2"/>
      <c r="E2153" s="2"/>
      <c r="F2153" s="8"/>
      <c r="G2153" s="8"/>
      <c r="H2153" s="8"/>
      <c r="I2153" s="8"/>
      <c r="R2153" s="1"/>
      <c r="AQ2153" s="1" t="s">
        <v>285</v>
      </c>
      <c r="AT2153" s="1" t="s">
        <v>285</v>
      </c>
      <c r="AW2153" s="1" t="s">
        <v>285</v>
      </c>
      <c r="BA2153" s="1" t="s">
        <v>285</v>
      </c>
      <c r="BE2153" s="1" t="s">
        <v>285</v>
      </c>
      <c r="BI2153" s="1" t="s">
        <v>285</v>
      </c>
    </row>
    <row r="2154" spans="2:61">
      <c r="B2154" s="103" t="s">
        <v>796</v>
      </c>
      <c r="C2154" s="1" t="s">
        <v>53</v>
      </c>
      <c r="D2154" s="2"/>
      <c r="E2154" s="2"/>
      <c r="F2154" s="8"/>
      <c r="G2154" s="8"/>
      <c r="H2154" s="8"/>
      <c r="I2154" s="8"/>
      <c r="R2154" s="1"/>
      <c r="AQ2154" s="1" t="s">
        <v>285</v>
      </c>
      <c r="AT2154" s="1" t="s">
        <v>285</v>
      </c>
      <c r="AW2154" s="1" t="s">
        <v>285</v>
      </c>
      <c r="BA2154" s="1" t="s">
        <v>285</v>
      </c>
      <c r="BE2154" s="1" t="s">
        <v>285</v>
      </c>
      <c r="BI2154" s="1" t="s">
        <v>285</v>
      </c>
    </row>
    <row r="2155" spans="2:61">
      <c r="B2155" s="103" t="s">
        <v>796</v>
      </c>
      <c r="C2155" s="1" t="s">
        <v>595</v>
      </c>
      <c r="D2155" s="2"/>
      <c r="E2155" s="2"/>
      <c r="F2155" s="8"/>
      <c r="G2155" s="8"/>
      <c r="H2155" s="8"/>
      <c r="I2155" s="8"/>
      <c r="R2155" s="1"/>
      <c r="AQ2155" s="1" t="s">
        <v>285</v>
      </c>
      <c r="AT2155" s="1" t="s">
        <v>285</v>
      </c>
      <c r="AW2155" s="1" t="s">
        <v>285</v>
      </c>
      <c r="BA2155" s="1" t="s">
        <v>285</v>
      </c>
      <c r="BE2155" s="1" t="s">
        <v>285</v>
      </c>
      <c r="BI2155" s="1" t="s">
        <v>285</v>
      </c>
    </row>
    <row r="2156" spans="2:61">
      <c r="B2156" s="103" t="s">
        <v>796</v>
      </c>
      <c r="C2156" s="1" t="s">
        <v>700</v>
      </c>
      <c r="D2156" s="2"/>
      <c r="E2156" s="2"/>
      <c r="F2156" s="8"/>
      <c r="G2156" s="8"/>
      <c r="H2156" s="8"/>
      <c r="I2156" s="8"/>
      <c r="R2156" s="1"/>
      <c r="AQ2156" s="1" t="s">
        <v>285</v>
      </c>
      <c r="AT2156" s="1" t="s">
        <v>285</v>
      </c>
      <c r="AW2156" s="1" t="s">
        <v>285</v>
      </c>
      <c r="BA2156" s="1" t="s">
        <v>285</v>
      </c>
      <c r="BE2156" s="1" t="s">
        <v>285</v>
      </c>
      <c r="BI2156" s="1" t="s">
        <v>285</v>
      </c>
    </row>
    <row r="2157" spans="2:61">
      <c r="B2157" s="103" t="s">
        <v>796</v>
      </c>
      <c r="C2157" s="1" t="s">
        <v>594</v>
      </c>
      <c r="D2157" s="2"/>
      <c r="E2157" s="2"/>
      <c r="F2157" s="8"/>
      <c r="G2157" s="8"/>
      <c r="H2157" s="8"/>
      <c r="I2157" s="8"/>
      <c r="R2157" s="1"/>
      <c r="AG2157" s="3">
        <v>12</v>
      </c>
      <c r="AJ2157" s="3">
        <v>18</v>
      </c>
      <c r="AM2157" s="3">
        <v>19</v>
      </c>
      <c r="AQ2157" s="1" t="s">
        <v>285</v>
      </c>
      <c r="AT2157" s="1" t="s">
        <v>285</v>
      </c>
      <c r="AW2157" s="1" t="s">
        <v>285</v>
      </c>
      <c r="BA2157" s="1" t="s">
        <v>285</v>
      </c>
      <c r="BE2157" s="1" t="s">
        <v>285</v>
      </c>
      <c r="BI2157" s="1" t="s">
        <v>285</v>
      </c>
    </row>
    <row r="2158" spans="2:61">
      <c r="B2158" s="103" t="s">
        <v>796</v>
      </c>
      <c r="C2158" s="1" t="s">
        <v>58</v>
      </c>
      <c r="D2158" s="2"/>
      <c r="E2158" s="2"/>
      <c r="F2158" s="8"/>
      <c r="G2158" s="8"/>
      <c r="H2158" s="8"/>
      <c r="I2158" s="8"/>
      <c r="R2158" s="1"/>
      <c r="AG2158" s="3">
        <v>7</v>
      </c>
      <c r="AQ2158" s="1" t="s">
        <v>285</v>
      </c>
      <c r="AT2158" s="1" t="s">
        <v>285</v>
      </c>
      <c r="AW2158" s="1" t="s">
        <v>285</v>
      </c>
      <c r="BA2158" s="1" t="s">
        <v>285</v>
      </c>
      <c r="BE2158" s="1" t="s">
        <v>285</v>
      </c>
      <c r="BI2158" s="1" t="s">
        <v>285</v>
      </c>
    </row>
    <row r="2159" spans="2:61">
      <c r="B2159" s="103" t="s">
        <v>796</v>
      </c>
      <c r="C2159" s="1" t="s">
        <v>64</v>
      </c>
      <c r="D2159" s="2"/>
      <c r="E2159" s="2"/>
      <c r="F2159" s="8"/>
      <c r="G2159" s="8"/>
      <c r="H2159" s="8"/>
      <c r="I2159" s="8"/>
      <c r="R2159" s="1"/>
      <c r="AG2159" s="3">
        <v>8</v>
      </c>
      <c r="AJ2159" s="3">
        <v>12</v>
      </c>
      <c r="AM2159" s="3">
        <v>11.7</v>
      </c>
      <c r="AQ2159" s="1" t="s">
        <v>285</v>
      </c>
      <c r="AT2159" s="1" t="s">
        <v>285</v>
      </c>
      <c r="AW2159" s="1" t="s">
        <v>285</v>
      </c>
      <c r="BA2159" s="1" t="s">
        <v>285</v>
      </c>
      <c r="BE2159" s="1" t="s">
        <v>285</v>
      </c>
      <c r="BI2159" s="1" t="s">
        <v>285</v>
      </c>
    </row>
    <row r="2160" spans="2:61">
      <c r="B2160" s="103" t="s">
        <v>796</v>
      </c>
      <c r="C2160" s="1" t="s">
        <v>286</v>
      </c>
      <c r="D2160" s="2"/>
      <c r="E2160" s="2"/>
      <c r="F2160" s="8"/>
      <c r="G2160" s="8"/>
      <c r="H2160" s="8"/>
      <c r="I2160" s="8"/>
      <c r="R2160" s="1"/>
      <c r="AJ2160" s="3">
        <v>14</v>
      </c>
      <c r="AQ2160" s="1" t="s">
        <v>285</v>
      </c>
      <c r="AT2160" s="1" t="s">
        <v>285</v>
      </c>
      <c r="AW2160" s="1" t="s">
        <v>285</v>
      </c>
      <c r="BA2160" s="1" t="s">
        <v>285</v>
      </c>
      <c r="BE2160" s="1" t="s">
        <v>285</v>
      </c>
      <c r="BI2160" s="1" t="s">
        <v>285</v>
      </c>
    </row>
    <row r="2161" spans="1:61">
      <c r="B2161" s="103" t="s">
        <v>796</v>
      </c>
      <c r="C2161" s="1" t="s">
        <v>288</v>
      </c>
      <c r="D2161" s="2"/>
      <c r="E2161" s="2"/>
      <c r="F2161" s="8"/>
      <c r="G2161" s="8"/>
      <c r="H2161" s="8"/>
      <c r="I2161" s="8"/>
      <c r="R2161" s="1"/>
      <c r="AG2161" s="3">
        <v>8</v>
      </c>
      <c r="AJ2161" s="3">
        <v>13</v>
      </c>
      <c r="AM2161" s="3">
        <v>14</v>
      </c>
      <c r="AQ2161" s="1" t="s">
        <v>285</v>
      </c>
      <c r="AT2161" s="1" t="s">
        <v>285</v>
      </c>
      <c r="AW2161" s="1" t="s">
        <v>285</v>
      </c>
      <c r="BA2161" s="1" t="s">
        <v>285</v>
      </c>
      <c r="BE2161" s="1" t="s">
        <v>285</v>
      </c>
      <c r="BI2161" s="1" t="s">
        <v>285</v>
      </c>
    </row>
    <row r="2162" spans="1:61">
      <c r="B2162" s="103" t="s">
        <v>796</v>
      </c>
      <c r="C2162" s="1" t="s">
        <v>57</v>
      </c>
      <c r="D2162" s="2"/>
      <c r="E2162" s="2"/>
      <c r="F2162" s="8"/>
      <c r="G2162" s="8"/>
      <c r="H2162" s="8"/>
      <c r="I2162" s="8"/>
      <c r="R2162" s="1"/>
      <c r="AQ2162" s="1" t="s">
        <v>285</v>
      </c>
      <c r="AT2162" s="1" t="s">
        <v>285</v>
      </c>
      <c r="AW2162" s="1" t="s">
        <v>285</v>
      </c>
      <c r="BA2162" s="1" t="s">
        <v>285</v>
      </c>
      <c r="BE2162" s="1" t="s">
        <v>285</v>
      </c>
      <c r="BI2162" s="1" t="s">
        <v>285</v>
      </c>
    </row>
    <row r="2163" spans="1:61">
      <c r="B2163" s="103" t="s">
        <v>796</v>
      </c>
      <c r="C2163" s="1" t="s">
        <v>287</v>
      </c>
      <c r="D2163" s="2"/>
      <c r="E2163" s="2"/>
      <c r="F2163" s="8"/>
      <c r="G2163" s="8"/>
      <c r="H2163" s="8"/>
      <c r="I2163" s="8"/>
      <c r="R2163" s="1"/>
      <c r="AG2163" s="3">
        <v>8</v>
      </c>
      <c r="AJ2163" s="3">
        <v>13.5</v>
      </c>
      <c r="AM2163" s="3">
        <v>13</v>
      </c>
      <c r="AQ2163" s="1" t="s">
        <v>285</v>
      </c>
      <c r="AT2163" s="1" t="s">
        <v>285</v>
      </c>
      <c r="AW2163" s="1" t="s">
        <v>285</v>
      </c>
      <c r="BA2163" s="1" t="s">
        <v>285</v>
      </c>
      <c r="BE2163" s="1" t="s">
        <v>285</v>
      </c>
      <c r="BI2163" s="1" t="s">
        <v>285</v>
      </c>
    </row>
    <row r="2164" spans="1:61">
      <c r="A2164" s="6">
        <v>1</v>
      </c>
      <c r="B2164" s="103" t="s">
        <v>558</v>
      </c>
      <c r="C2164" s="1" t="s">
        <v>52</v>
      </c>
      <c r="D2164" s="2">
        <v>8.08</v>
      </c>
      <c r="E2164" s="2"/>
      <c r="F2164" s="8">
        <v>8.1</v>
      </c>
      <c r="G2164" s="8"/>
      <c r="H2164" s="8">
        <v>8.1</v>
      </c>
      <c r="I2164" s="8">
        <f>H2164-D2164</f>
        <v>1.9999999999999574E-2</v>
      </c>
      <c r="K2164" s="3"/>
      <c r="M2164" s="3">
        <v>8.1999999999999993</v>
      </c>
      <c r="O2164" s="3">
        <v>8.1999999999999993</v>
      </c>
      <c r="Q2164" s="3">
        <f>O2164-H2164</f>
        <v>9.9999999999999645E-2</v>
      </c>
      <c r="R2164" s="3">
        <v>8.07</v>
      </c>
      <c r="T2164" s="2">
        <f>R2164-O2164</f>
        <v>-0.12999999999999901</v>
      </c>
      <c r="AE2164" s="1" t="s">
        <v>285</v>
      </c>
    </row>
    <row r="2165" spans="1:61">
      <c r="A2165" s="6">
        <v>3</v>
      </c>
      <c r="B2165" s="103" t="s">
        <v>558</v>
      </c>
      <c r="C2165" s="1" t="s">
        <v>54</v>
      </c>
      <c r="D2165" s="2" t="s">
        <v>647</v>
      </c>
      <c r="E2165" s="2"/>
      <c r="F2165" s="8">
        <v>0</v>
      </c>
      <c r="G2165" s="8"/>
      <c r="H2165" s="8">
        <v>0</v>
      </c>
      <c r="I2165" s="8"/>
      <c r="J2165" s="1" t="s">
        <v>647</v>
      </c>
      <c r="M2165" s="3">
        <v>0</v>
      </c>
      <c r="O2165" s="3">
        <v>0</v>
      </c>
      <c r="AE2165" s="1" t="s">
        <v>285</v>
      </c>
    </row>
    <row r="2166" spans="1:61">
      <c r="A2166" s="6">
        <v>4</v>
      </c>
      <c r="B2166" s="103" t="s">
        <v>558</v>
      </c>
      <c r="C2166" s="1" t="s">
        <v>55</v>
      </c>
      <c r="D2166" s="2" t="s">
        <v>647</v>
      </c>
      <c r="E2166" s="2"/>
      <c r="F2166" s="8">
        <v>0</v>
      </c>
      <c r="G2166" s="8"/>
      <c r="H2166" s="8">
        <v>0</v>
      </c>
      <c r="I2166" s="8"/>
      <c r="J2166" s="1" t="s">
        <v>647</v>
      </c>
      <c r="M2166" s="3">
        <v>0</v>
      </c>
      <c r="O2166" s="3">
        <v>0</v>
      </c>
      <c r="AE2166" s="1" t="s">
        <v>285</v>
      </c>
    </row>
    <row r="2167" spans="1:61">
      <c r="A2167" s="6">
        <v>5</v>
      </c>
      <c r="B2167" s="103" t="s">
        <v>558</v>
      </c>
      <c r="C2167" s="1" t="s">
        <v>56</v>
      </c>
      <c r="D2167" s="2" t="s">
        <v>647</v>
      </c>
      <c r="E2167" s="2"/>
      <c r="F2167" s="8">
        <v>0</v>
      </c>
      <c r="G2167" s="8"/>
      <c r="H2167" s="8">
        <v>0</v>
      </c>
      <c r="I2167" s="8"/>
      <c r="J2167" s="1" t="s">
        <v>647</v>
      </c>
      <c r="M2167" s="3">
        <v>0</v>
      </c>
      <c r="O2167" s="3">
        <v>0</v>
      </c>
      <c r="AE2167" s="1" t="s">
        <v>285</v>
      </c>
    </row>
    <row r="2168" spans="1:61">
      <c r="A2168" s="6">
        <v>2</v>
      </c>
      <c r="B2168" s="103" t="s">
        <v>558</v>
      </c>
      <c r="C2168" s="1" t="s">
        <v>53</v>
      </c>
      <c r="D2168" s="2">
        <v>6.61</v>
      </c>
      <c r="E2168" s="2"/>
      <c r="F2168" s="8">
        <v>8.35</v>
      </c>
      <c r="G2168" s="8"/>
      <c r="H2168" s="8">
        <v>8.35</v>
      </c>
      <c r="I2168" s="10">
        <f>H2168-D2168</f>
        <v>1.7399999999999993</v>
      </c>
      <c r="K2168" s="3"/>
      <c r="M2168" s="3">
        <v>8.68</v>
      </c>
      <c r="O2168" s="3">
        <v>8.68</v>
      </c>
      <c r="Q2168" s="3">
        <f>O2168-H2168</f>
        <v>0.33000000000000007</v>
      </c>
      <c r="R2168" s="3">
        <v>14.51</v>
      </c>
      <c r="T2168" s="3">
        <f>R2168-O2168</f>
        <v>5.83</v>
      </c>
      <c r="AE2168" s="1" t="s">
        <v>285</v>
      </c>
    </row>
    <row r="2169" spans="1:61">
      <c r="B2169" s="103" t="s">
        <v>558</v>
      </c>
      <c r="C2169" s="1" t="s">
        <v>158</v>
      </c>
      <c r="D2169" s="2"/>
      <c r="E2169" s="2"/>
      <c r="F2169" s="8"/>
      <c r="G2169" s="8"/>
      <c r="H2169" s="8"/>
      <c r="I2169" s="8"/>
      <c r="K2169" s="3"/>
      <c r="T2169" s="3"/>
      <c r="AZ2169" s="3">
        <v>8.5</v>
      </c>
      <c r="BC2169" s="3">
        <v>8.5</v>
      </c>
    </row>
    <row r="2170" spans="1:61">
      <c r="B2170" s="103" t="s">
        <v>558</v>
      </c>
      <c r="C2170" s="1" t="s">
        <v>597</v>
      </c>
      <c r="D2170" s="2"/>
      <c r="E2170" s="2"/>
      <c r="F2170" s="8"/>
      <c r="G2170" s="8"/>
      <c r="H2170" s="8"/>
      <c r="I2170" s="10"/>
      <c r="K2170" s="3"/>
      <c r="Q2170" s="3"/>
      <c r="T2170" s="3"/>
      <c r="AG2170" s="3">
        <v>9.5</v>
      </c>
      <c r="AJ2170" s="3">
        <v>10.6</v>
      </c>
      <c r="AS2170" s="3">
        <v>15</v>
      </c>
    </row>
    <row r="2171" spans="1:61">
      <c r="B2171" s="103" t="s">
        <v>558</v>
      </c>
      <c r="C2171" s="1" t="s">
        <v>595</v>
      </c>
      <c r="D2171" s="2"/>
      <c r="E2171" s="2"/>
      <c r="F2171" s="8"/>
      <c r="G2171" s="8"/>
      <c r="H2171" s="8"/>
      <c r="I2171" s="8"/>
      <c r="K2171" s="3"/>
      <c r="M2171" s="3">
        <v>6</v>
      </c>
      <c r="O2171" s="3">
        <v>6</v>
      </c>
      <c r="R2171" s="3">
        <v>5.5</v>
      </c>
      <c r="T2171" s="3">
        <f>R2171-O2171</f>
        <v>-0.5</v>
      </c>
      <c r="U2171" s="3">
        <v>3.75</v>
      </c>
      <c r="W2171" s="3">
        <f>U2171-R2171</f>
        <v>-1.75</v>
      </c>
      <c r="X2171" s="3">
        <v>6.3</v>
      </c>
      <c r="Z2171" s="3">
        <f>X2171-U2171</f>
        <v>2.5499999999999998</v>
      </c>
      <c r="AA2171" s="3">
        <v>6.6</v>
      </c>
      <c r="AC2171" s="3">
        <f>AA2171-X2171</f>
        <v>0.29999999999999982</v>
      </c>
      <c r="AE2171" s="1" t="s">
        <v>285</v>
      </c>
      <c r="AG2171" s="3">
        <v>7.2</v>
      </c>
      <c r="AJ2171" s="3">
        <v>8.5</v>
      </c>
      <c r="AL2171" s="3">
        <f>AJ2171-AG2171</f>
        <v>1.2999999999999998</v>
      </c>
    </row>
    <row r="2172" spans="1:61">
      <c r="A2172" s="6">
        <v>12</v>
      </c>
      <c r="B2172" s="103" t="s">
        <v>558</v>
      </c>
      <c r="C2172" s="1" t="s">
        <v>594</v>
      </c>
      <c r="D2172" s="2">
        <v>5</v>
      </c>
      <c r="E2172" s="2"/>
      <c r="F2172" s="8">
        <v>2.6</v>
      </c>
      <c r="G2172" s="8"/>
      <c r="H2172" s="8">
        <v>2.6</v>
      </c>
      <c r="I2172" s="8">
        <f>H2172-D2172</f>
        <v>-2.4</v>
      </c>
      <c r="K2172" s="3"/>
      <c r="M2172" s="3">
        <v>4</v>
      </c>
      <c r="O2172" s="3">
        <v>4</v>
      </c>
      <c r="Q2172" s="3">
        <f>O2172-H2172</f>
        <v>1.4</v>
      </c>
      <c r="R2172" s="3">
        <v>3.25</v>
      </c>
      <c r="T2172" s="3">
        <f>R2172-O2172</f>
        <v>-0.75</v>
      </c>
      <c r="U2172" s="3">
        <v>4.5</v>
      </c>
      <c r="W2172" s="3">
        <f>U2172-R2172</f>
        <v>1.25</v>
      </c>
      <c r="X2172" s="3">
        <v>8.1999999999999993</v>
      </c>
      <c r="Z2172" s="3">
        <f>X2172-U2172</f>
        <v>3.6999999999999993</v>
      </c>
      <c r="AA2172" s="3">
        <v>5.2</v>
      </c>
      <c r="AC2172" s="3">
        <f>AA2172-X2172</f>
        <v>-2.9999999999999991</v>
      </c>
      <c r="AE2172" s="1" t="s">
        <v>285</v>
      </c>
      <c r="AG2172" s="3">
        <v>5.5</v>
      </c>
      <c r="AJ2172" s="3">
        <v>6.7</v>
      </c>
      <c r="AL2172" s="3">
        <f>AJ2172-AG2172</f>
        <v>1.2000000000000002</v>
      </c>
      <c r="AM2172" s="3">
        <v>7</v>
      </c>
      <c r="AO2172" s="3">
        <f>AM2172-AJ2172</f>
        <v>0.29999999999999982</v>
      </c>
      <c r="AP2172" s="3">
        <v>8</v>
      </c>
      <c r="AS2172" s="3">
        <v>10</v>
      </c>
      <c r="AV2172" s="3">
        <v>8.6</v>
      </c>
      <c r="AY2172" s="3">
        <v>8.6</v>
      </c>
      <c r="AZ2172" s="3">
        <v>8.9</v>
      </c>
      <c r="BC2172" s="3">
        <v>8.9</v>
      </c>
      <c r="BD2172" s="3">
        <v>9</v>
      </c>
      <c r="BG2172" s="3">
        <v>9</v>
      </c>
      <c r="BH2172" s="3">
        <v>9.2899999999999991</v>
      </c>
    </row>
    <row r="2173" spans="1:61" ht="9.6" customHeight="1">
      <c r="A2173" s="6">
        <v>14</v>
      </c>
      <c r="B2173" s="103" t="s">
        <v>558</v>
      </c>
      <c r="C2173" s="1" t="s">
        <v>58</v>
      </c>
      <c r="D2173" s="2">
        <v>16.170000000000002</v>
      </c>
      <c r="E2173" s="2"/>
      <c r="F2173" s="8">
        <v>8.35</v>
      </c>
      <c r="G2173" s="8"/>
      <c r="H2173" s="8">
        <v>8.35</v>
      </c>
      <c r="I2173" s="8">
        <f>H2173-D2173</f>
        <v>-7.8200000000000021</v>
      </c>
      <c r="K2173" s="3"/>
      <c r="M2173" s="3">
        <v>8.1999999999999993</v>
      </c>
      <c r="O2173" s="3">
        <v>8.1999999999999993</v>
      </c>
      <c r="Q2173" s="3">
        <f>O2173-H2173</f>
        <v>-0.15000000000000036</v>
      </c>
      <c r="R2173" s="3">
        <v>7.75</v>
      </c>
      <c r="T2173" s="3">
        <f>R2173-O2173</f>
        <v>-0.44999999999999929</v>
      </c>
      <c r="U2173" s="3">
        <v>12.25</v>
      </c>
      <c r="W2173" s="3">
        <f>U2173-R2173</f>
        <v>4.5</v>
      </c>
      <c r="X2173" s="3">
        <v>17.399999999999999</v>
      </c>
      <c r="Z2173" s="3">
        <f>X2173-U2173</f>
        <v>5.1499999999999986</v>
      </c>
      <c r="AA2173" s="3">
        <v>13.5</v>
      </c>
      <c r="AC2173" s="3">
        <f>AA2173-X2173</f>
        <v>-3.8999999999999986</v>
      </c>
      <c r="AE2173" s="1" t="s">
        <v>285</v>
      </c>
      <c r="AG2173" s="3">
        <v>12</v>
      </c>
      <c r="AJ2173" s="3">
        <v>12</v>
      </c>
      <c r="AL2173" s="3">
        <f>AJ2173-AG2173</f>
        <v>0</v>
      </c>
      <c r="AM2173" s="3">
        <v>10</v>
      </c>
      <c r="AO2173" s="3">
        <f>AM2173-AJ2173</f>
        <v>-2</v>
      </c>
      <c r="AP2173" s="3">
        <v>6</v>
      </c>
      <c r="AS2173" s="3">
        <v>8</v>
      </c>
      <c r="AV2173" s="3">
        <v>9.3000000000000007</v>
      </c>
      <c r="AY2173" s="3">
        <v>9.3000000000000007</v>
      </c>
      <c r="AZ2173" s="3">
        <v>10.199999999999999</v>
      </c>
      <c r="BC2173" s="3">
        <v>10.199999999999999</v>
      </c>
      <c r="BD2173" s="3">
        <v>10.5</v>
      </c>
      <c r="BG2173" s="3">
        <v>10.5</v>
      </c>
      <c r="BH2173" s="3">
        <v>8.83</v>
      </c>
    </row>
    <row r="2174" spans="1:61">
      <c r="B2174" s="103" t="s">
        <v>558</v>
      </c>
      <c r="C2174" s="1" t="s">
        <v>868</v>
      </c>
      <c r="D2174" s="2"/>
      <c r="E2174" s="2"/>
      <c r="F2174" s="8"/>
      <c r="G2174" s="8"/>
      <c r="H2174" s="8"/>
      <c r="I2174" s="8"/>
      <c r="K2174" s="3"/>
      <c r="Q2174" s="3"/>
      <c r="T2174" s="3"/>
      <c r="W2174" s="3"/>
      <c r="AC2174" s="3"/>
      <c r="AL2174" s="3"/>
      <c r="AO2174" s="3"/>
      <c r="AZ2174" s="3">
        <v>2.8</v>
      </c>
      <c r="BC2174" s="3">
        <v>2.8</v>
      </c>
      <c r="BD2174" s="3">
        <v>3</v>
      </c>
      <c r="BG2174" s="3">
        <v>3</v>
      </c>
      <c r="BH2174" s="3">
        <v>4.88</v>
      </c>
    </row>
    <row r="2175" spans="1:61">
      <c r="B2175" s="103" t="s">
        <v>558</v>
      </c>
      <c r="C2175" s="1" t="s">
        <v>289</v>
      </c>
      <c r="D2175" s="2"/>
      <c r="E2175" s="2"/>
      <c r="F2175" s="8"/>
      <c r="G2175" s="8"/>
      <c r="H2175" s="8"/>
      <c r="I2175" s="8"/>
      <c r="K2175" s="3"/>
      <c r="T2175" s="3"/>
      <c r="AJ2175" s="3">
        <v>10</v>
      </c>
      <c r="AP2175" s="3">
        <v>6.5</v>
      </c>
      <c r="AS2175" s="3">
        <v>20</v>
      </c>
      <c r="AV2175" s="3">
        <v>6.8</v>
      </c>
      <c r="AY2175" s="3">
        <v>6.8</v>
      </c>
      <c r="AZ2175" s="3">
        <v>8.1999999999999993</v>
      </c>
      <c r="BC2175" s="3">
        <v>8.1999999999999993</v>
      </c>
      <c r="BD2175" s="3">
        <v>8.25</v>
      </c>
      <c r="BG2175" s="3">
        <v>8.25</v>
      </c>
    </row>
    <row r="2176" spans="1:61">
      <c r="B2176" s="103" t="s">
        <v>558</v>
      </c>
      <c r="C2176" s="1" t="s">
        <v>238</v>
      </c>
      <c r="D2176" s="2"/>
      <c r="E2176" s="2"/>
      <c r="F2176" s="8"/>
      <c r="G2176" s="8"/>
      <c r="H2176" s="8"/>
      <c r="I2176" s="8"/>
      <c r="K2176" s="3"/>
      <c r="T2176" s="3"/>
      <c r="AZ2176" s="3">
        <v>8.5</v>
      </c>
      <c r="BC2176" s="3">
        <v>8.5</v>
      </c>
    </row>
    <row r="2177" spans="1:60">
      <c r="B2177" s="103" t="s">
        <v>558</v>
      </c>
      <c r="C2177" s="1" t="s">
        <v>74</v>
      </c>
      <c r="D2177" s="2"/>
      <c r="E2177" s="2"/>
      <c r="F2177" s="8"/>
      <c r="G2177" s="8"/>
      <c r="H2177" s="8"/>
      <c r="I2177" s="8"/>
      <c r="K2177" s="3"/>
      <c r="T2177" s="3"/>
      <c r="AZ2177" s="3">
        <v>8.5</v>
      </c>
      <c r="BC2177" s="3">
        <v>8.5</v>
      </c>
    </row>
    <row r="2178" spans="1:60" ht="9.6" customHeight="1">
      <c r="B2178" s="103" t="s">
        <v>558</v>
      </c>
      <c r="C2178" s="1" t="s">
        <v>290</v>
      </c>
      <c r="D2178" s="2"/>
      <c r="E2178" s="2"/>
      <c r="F2178" s="8"/>
      <c r="G2178" s="8"/>
      <c r="H2178" s="8"/>
      <c r="I2178" s="8"/>
      <c r="K2178" s="3"/>
      <c r="T2178" s="3"/>
      <c r="AJ2178" s="3">
        <v>11</v>
      </c>
      <c r="AP2178" s="3">
        <v>8.1199999999999992</v>
      </c>
      <c r="BD2178" s="3">
        <v>8</v>
      </c>
      <c r="BG2178" s="3">
        <v>8</v>
      </c>
    </row>
    <row r="2179" spans="1:60">
      <c r="B2179" s="103" t="s">
        <v>558</v>
      </c>
      <c r="C2179" s="1" t="s">
        <v>64</v>
      </c>
      <c r="D2179" s="2"/>
      <c r="E2179" s="2"/>
      <c r="F2179" s="8"/>
      <c r="G2179" s="8"/>
      <c r="H2179" s="8"/>
      <c r="I2179" s="8"/>
      <c r="K2179" s="3"/>
      <c r="R2179" s="3">
        <v>9.09</v>
      </c>
      <c r="T2179" s="3"/>
      <c r="U2179" s="3">
        <v>9.09</v>
      </c>
      <c r="W2179" s="3">
        <f>U2179-R2179</f>
        <v>0</v>
      </c>
      <c r="X2179" s="3">
        <v>14.5</v>
      </c>
      <c r="Z2179" s="3">
        <f>X2179-U2179</f>
        <v>5.41</v>
      </c>
      <c r="AA2179" s="3">
        <v>14.5</v>
      </c>
      <c r="AC2179" s="3">
        <f>AA2179-X2179</f>
        <v>0</v>
      </c>
      <c r="AE2179" s="1" t="s">
        <v>285</v>
      </c>
      <c r="AG2179" s="3">
        <v>15</v>
      </c>
      <c r="AJ2179" s="3">
        <v>15</v>
      </c>
      <c r="AL2179" s="3">
        <f>AJ2179-AG2179</f>
        <v>0</v>
      </c>
      <c r="AM2179" s="3">
        <v>8.5</v>
      </c>
      <c r="AO2179" s="3">
        <f>AM2179-AJ2179</f>
        <v>-6.5</v>
      </c>
      <c r="AP2179" s="3">
        <v>8.33</v>
      </c>
      <c r="AS2179" s="3">
        <v>13</v>
      </c>
      <c r="AV2179" s="3">
        <v>8.5</v>
      </c>
      <c r="AY2179" s="3">
        <v>8.5</v>
      </c>
      <c r="AZ2179" s="3">
        <v>9.35</v>
      </c>
      <c r="BC2179" s="3">
        <v>9.35</v>
      </c>
      <c r="BD2179" s="3">
        <v>9.7799999999999994</v>
      </c>
      <c r="BG2179" s="3">
        <v>9.7799999999999994</v>
      </c>
      <c r="BH2179" s="3">
        <v>8.84</v>
      </c>
    </row>
    <row r="2180" spans="1:60">
      <c r="B2180" s="103" t="s">
        <v>558</v>
      </c>
      <c r="C2180" s="1" t="s">
        <v>855</v>
      </c>
      <c r="D2180" s="2"/>
      <c r="E2180" s="2"/>
      <c r="F2180" s="8"/>
      <c r="G2180" s="8"/>
      <c r="H2180" s="8"/>
      <c r="I2180" s="8"/>
      <c r="K2180" s="3"/>
      <c r="T2180" s="3"/>
      <c r="W2180" s="3"/>
      <c r="AC2180" s="3"/>
      <c r="AL2180" s="3"/>
      <c r="AO2180" s="3"/>
      <c r="AY2180" s="3">
        <v>8.5</v>
      </c>
      <c r="AZ2180" s="3">
        <v>9.35</v>
      </c>
      <c r="BC2180" s="3">
        <v>9.35</v>
      </c>
      <c r="BD2180" s="3">
        <v>9.7799999999999994</v>
      </c>
      <c r="BG2180" s="3">
        <v>9.7799999999999994</v>
      </c>
      <c r="BH2180" s="3">
        <v>11.1</v>
      </c>
    </row>
    <row r="2181" spans="1:60">
      <c r="B2181" s="103" t="s">
        <v>558</v>
      </c>
      <c r="C2181" s="1" t="s">
        <v>286</v>
      </c>
      <c r="D2181" s="2"/>
      <c r="E2181" s="2"/>
      <c r="F2181" s="8"/>
      <c r="G2181" s="8"/>
      <c r="H2181" s="8"/>
      <c r="I2181" s="8"/>
      <c r="K2181" s="3"/>
      <c r="R2181" s="3">
        <v>120.27</v>
      </c>
      <c r="T2181" s="3"/>
      <c r="U2181" s="3">
        <v>13.5</v>
      </c>
      <c r="W2181" s="3">
        <f>U2181-R2181</f>
        <v>-106.77</v>
      </c>
      <c r="AE2181" s="1" t="s">
        <v>285</v>
      </c>
      <c r="AJ2181" s="3">
        <v>16</v>
      </c>
      <c r="AM2181" s="3">
        <v>10.6</v>
      </c>
      <c r="AO2181" s="3">
        <f>AM2181-AJ2181</f>
        <v>-5.4</v>
      </c>
      <c r="AP2181" s="3">
        <v>8.33</v>
      </c>
      <c r="AS2181" s="3">
        <v>15</v>
      </c>
      <c r="AV2181" s="3">
        <v>8.5</v>
      </c>
      <c r="AY2181" s="3">
        <v>8.5</v>
      </c>
      <c r="AZ2181" s="3">
        <v>9.35</v>
      </c>
      <c r="BC2181" s="3">
        <v>9.35</v>
      </c>
      <c r="BD2181" s="3">
        <v>9.7799999999999994</v>
      </c>
      <c r="BG2181" s="3">
        <v>9.7799999999999994</v>
      </c>
      <c r="BH2181" s="3">
        <v>8.7899999999999991</v>
      </c>
    </row>
    <row r="2182" spans="1:60" ht="9.6" customHeight="1">
      <c r="B2182" s="103" t="s">
        <v>558</v>
      </c>
      <c r="C2182" s="1" t="s">
        <v>288</v>
      </c>
      <c r="D2182" s="2"/>
      <c r="E2182" s="2"/>
      <c r="F2182" s="8"/>
      <c r="G2182" s="8"/>
      <c r="H2182" s="8"/>
      <c r="I2182" s="8"/>
      <c r="K2182" s="3"/>
      <c r="T2182" s="3"/>
      <c r="AJ2182" s="3">
        <v>18</v>
      </c>
      <c r="AL2182" s="3"/>
      <c r="AM2182" s="3">
        <v>10.199999999999999</v>
      </c>
      <c r="AO2182" s="3">
        <f>AM2182-AJ2182</f>
        <v>-7.8000000000000007</v>
      </c>
      <c r="AP2182" s="3">
        <v>8.33</v>
      </c>
      <c r="AS2182" s="3">
        <v>14</v>
      </c>
      <c r="AV2182" s="3">
        <v>8.5</v>
      </c>
      <c r="AY2182" s="3">
        <v>8.5</v>
      </c>
      <c r="AZ2182" s="3">
        <v>9.35</v>
      </c>
      <c r="BC2182" s="3">
        <v>9.35</v>
      </c>
      <c r="BD2182" s="3">
        <v>9.7799999999999994</v>
      </c>
      <c r="BG2182" s="3">
        <v>9.7799999999999994</v>
      </c>
      <c r="BH2182" s="3">
        <v>9.25</v>
      </c>
    </row>
    <row r="2183" spans="1:60">
      <c r="A2183" s="6">
        <v>11</v>
      </c>
      <c r="B2183" s="103" t="s">
        <v>558</v>
      </c>
      <c r="C2183" s="1" t="s">
        <v>57</v>
      </c>
      <c r="D2183" s="2">
        <v>13.23</v>
      </c>
      <c r="E2183" s="2"/>
      <c r="F2183" s="8">
        <v>13.36</v>
      </c>
      <c r="G2183" s="8"/>
      <c r="H2183" s="8">
        <v>13.36</v>
      </c>
      <c r="I2183" s="8">
        <f>H2183-D2183</f>
        <v>0.12999999999999901</v>
      </c>
      <c r="K2183" s="3"/>
      <c r="M2183" s="3">
        <v>12.03</v>
      </c>
      <c r="O2183" s="3">
        <v>12.03</v>
      </c>
      <c r="Q2183" s="3">
        <f>O2183-H2183</f>
        <v>-1.33</v>
      </c>
      <c r="R2183" s="3">
        <v>11.64</v>
      </c>
      <c r="T2183" s="3">
        <f>R2183-O2183</f>
        <v>-0.38999999999999879</v>
      </c>
      <c r="AE2183" s="1" t="s">
        <v>285</v>
      </c>
    </row>
    <row r="2184" spans="1:60">
      <c r="B2184" s="103" t="s">
        <v>558</v>
      </c>
      <c r="C2184" s="1" t="s">
        <v>287</v>
      </c>
      <c r="D2184" s="2"/>
      <c r="E2184" s="2"/>
      <c r="F2184" s="8"/>
      <c r="G2184" s="8"/>
      <c r="H2184" s="8"/>
      <c r="I2184" s="8"/>
      <c r="K2184" s="3"/>
      <c r="R2184" s="3">
        <v>180.44</v>
      </c>
      <c r="T2184" s="3"/>
      <c r="AE2184" s="1" t="s">
        <v>285</v>
      </c>
      <c r="AJ2184" s="3">
        <v>13</v>
      </c>
      <c r="AM2184" s="3">
        <v>9.3000000000000007</v>
      </c>
      <c r="AO2184" s="3">
        <f>AM2184-AJ2184</f>
        <v>-3.6999999999999993</v>
      </c>
      <c r="AS2184" s="3">
        <v>14</v>
      </c>
      <c r="AV2184" s="3">
        <v>8.5</v>
      </c>
      <c r="AY2184" s="3">
        <v>8.5</v>
      </c>
      <c r="AZ2184" s="3">
        <v>9.35</v>
      </c>
      <c r="BC2184" s="3">
        <v>9.35</v>
      </c>
      <c r="BD2184" s="3">
        <v>9.7799999999999994</v>
      </c>
      <c r="BG2184" s="3">
        <v>9.7799999999999994</v>
      </c>
      <c r="BH2184" s="3">
        <v>10.53</v>
      </c>
    </row>
    <row r="2185" spans="1:60">
      <c r="B2185" s="103" t="s">
        <v>558</v>
      </c>
      <c r="C2185" s="1" t="s">
        <v>872</v>
      </c>
      <c r="D2185" s="2"/>
      <c r="E2185" s="2"/>
      <c r="F2185" s="8"/>
      <c r="G2185" s="8"/>
      <c r="H2185" s="8"/>
      <c r="I2185" s="8"/>
      <c r="K2185" s="3"/>
      <c r="T2185" s="3"/>
      <c r="AO2185" s="3"/>
      <c r="AY2185" s="3">
        <v>8.5</v>
      </c>
      <c r="AZ2185" s="3">
        <v>9.35</v>
      </c>
      <c r="BC2185" s="3">
        <v>9.35</v>
      </c>
      <c r="BD2185" s="3">
        <v>0</v>
      </c>
      <c r="BG2185" s="3">
        <v>0</v>
      </c>
      <c r="BH2185" s="3">
        <v>180.3</v>
      </c>
    </row>
    <row r="2186" spans="1:60">
      <c r="B2186" s="103" t="s">
        <v>558</v>
      </c>
      <c r="C2186" s="1" t="s">
        <v>1090</v>
      </c>
      <c r="D2186" s="2"/>
      <c r="E2186" s="2"/>
      <c r="F2186" s="8"/>
      <c r="G2186" s="8"/>
      <c r="H2186" s="8"/>
      <c r="I2186" s="8"/>
      <c r="K2186" s="3"/>
      <c r="T2186" s="3"/>
      <c r="AO2186" s="3"/>
      <c r="BH2186" s="3">
        <v>14.16</v>
      </c>
    </row>
    <row r="2187" spans="1:60">
      <c r="A2187" s="6">
        <v>1</v>
      </c>
      <c r="B2187" s="103" t="s">
        <v>562</v>
      </c>
      <c r="C2187" s="1" t="s">
        <v>52</v>
      </c>
      <c r="D2187" s="2">
        <v>5</v>
      </c>
      <c r="E2187" s="2"/>
      <c r="F2187" s="8">
        <v>0</v>
      </c>
      <c r="G2187" s="8"/>
      <c r="H2187" s="8">
        <v>0</v>
      </c>
      <c r="I2187" s="8"/>
      <c r="K2187" s="3"/>
      <c r="BG2187" s="1"/>
      <c r="BH2187" s="1"/>
    </row>
    <row r="2188" spans="1:60">
      <c r="A2188" s="6">
        <v>3</v>
      </c>
      <c r="B2188" s="103" t="s">
        <v>562</v>
      </c>
      <c r="C2188" s="1" t="s">
        <v>54</v>
      </c>
      <c r="D2188" s="2"/>
      <c r="E2188" s="2"/>
      <c r="F2188" s="8">
        <v>0</v>
      </c>
      <c r="G2188" s="8"/>
      <c r="H2188" s="8">
        <v>0</v>
      </c>
      <c r="I2188" s="8"/>
    </row>
    <row r="2189" spans="1:60">
      <c r="A2189" s="6">
        <v>4</v>
      </c>
      <c r="B2189" s="103" t="s">
        <v>562</v>
      </c>
      <c r="C2189" s="1" t="s">
        <v>55</v>
      </c>
      <c r="D2189" s="2"/>
      <c r="E2189" s="2"/>
      <c r="F2189" s="8">
        <v>0</v>
      </c>
      <c r="G2189" s="8"/>
      <c r="H2189" s="8">
        <v>0</v>
      </c>
      <c r="I2189" s="8"/>
    </row>
    <row r="2190" spans="1:60">
      <c r="A2190" s="6">
        <v>5</v>
      </c>
      <c r="B2190" s="103" t="s">
        <v>562</v>
      </c>
      <c r="C2190" s="1" t="s">
        <v>56</v>
      </c>
      <c r="D2190" s="2"/>
      <c r="E2190" s="2"/>
      <c r="F2190" s="8">
        <v>0</v>
      </c>
      <c r="G2190" s="8"/>
      <c r="H2190" s="8">
        <v>0</v>
      </c>
      <c r="I2190" s="8"/>
    </row>
    <row r="2191" spans="1:60">
      <c r="A2191" s="6">
        <v>2</v>
      </c>
      <c r="B2191" s="103" t="s">
        <v>562</v>
      </c>
      <c r="C2191" s="1" t="s">
        <v>53</v>
      </c>
      <c r="D2191" s="2">
        <v>8</v>
      </c>
      <c r="E2191" s="2"/>
      <c r="F2191" s="8">
        <v>10</v>
      </c>
      <c r="G2191" s="8"/>
      <c r="H2191" s="8">
        <v>10</v>
      </c>
      <c r="I2191" s="10">
        <f>H2191-D2191</f>
        <v>2</v>
      </c>
      <c r="K2191" s="3"/>
      <c r="M2191" s="3">
        <v>8</v>
      </c>
      <c r="O2191" s="3">
        <v>8</v>
      </c>
      <c r="Q2191" s="3">
        <f>O2191-H2191</f>
        <v>-2</v>
      </c>
      <c r="R2191" s="3">
        <v>8</v>
      </c>
      <c r="T2191" s="3">
        <f>R2191-O2191</f>
        <v>0</v>
      </c>
      <c r="U2191" s="3">
        <v>8</v>
      </c>
      <c r="W2191" s="3">
        <f>U2191-R2191</f>
        <v>0</v>
      </c>
    </row>
    <row r="2192" spans="1:60">
      <c r="B2192" s="103" t="s">
        <v>562</v>
      </c>
      <c r="C2192" s="1" t="s">
        <v>595</v>
      </c>
      <c r="D2192" s="2"/>
      <c r="E2192" s="2"/>
      <c r="F2192" s="8"/>
      <c r="G2192" s="8"/>
      <c r="H2192" s="8"/>
      <c r="K2192" s="3"/>
      <c r="Q2192" s="3"/>
      <c r="T2192" s="3"/>
      <c r="W2192" s="3"/>
      <c r="AA2192" s="3">
        <v>6.2</v>
      </c>
      <c r="AD2192" s="24">
        <v>2.1</v>
      </c>
      <c r="AG2192" s="3">
        <v>2.7</v>
      </c>
      <c r="AI2192" s="3">
        <f>AG2192-AD2192</f>
        <v>0.60000000000000009</v>
      </c>
      <c r="AJ2192" s="3">
        <v>5.99</v>
      </c>
      <c r="AL2192" s="3">
        <f>AJ2192-AG2192</f>
        <v>3.29</v>
      </c>
      <c r="AM2192" s="3">
        <v>9.8000000000000007</v>
      </c>
      <c r="AP2192" s="3">
        <v>12.3</v>
      </c>
      <c r="AS2192" s="3">
        <v>14</v>
      </c>
      <c r="AV2192" s="3">
        <v>16.25</v>
      </c>
    </row>
    <row r="2193" spans="1:61">
      <c r="A2193" s="6">
        <v>12</v>
      </c>
      <c r="B2193" s="103" t="s">
        <v>562</v>
      </c>
      <c r="C2193" s="1" t="s">
        <v>594</v>
      </c>
      <c r="D2193" s="2">
        <v>6</v>
      </c>
      <c r="E2193" s="2"/>
      <c r="F2193" s="8">
        <v>8</v>
      </c>
      <c r="G2193" s="8"/>
      <c r="H2193" s="8">
        <v>8</v>
      </c>
      <c r="I2193" s="8">
        <f>H2193-D2193</f>
        <v>2</v>
      </c>
      <c r="K2193" s="3"/>
      <c r="M2193" s="3">
        <v>10</v>
      </c>
      <c r="O2193" s="3">
        <v>10</v>
      </c>
      <c r="Q2193" s="3">
        <f>O2193-H2193</f>
        <v>2</v>
      </c>
      <c r="R2193" s="3">
        <v>4</v>
      </c>
      <c r="T2193" s="3">
        <f>R2193-O2193</f>
        <v>-6</v>
      </c>
      <c r="U2193" s="3">
        <v>4</v>
      </c>
      <c r="W2193" s="3">
        <f>U2193-R2193</f>
        <v>0</v>
      </c>
      <c r="X2193" s="3">
        <v>5</v>
      </c>
      <c r="Z2193" s="3">
        <f>X2193-U2193</f>
        <v>1</v>
      </c>
      <c r="AA2193" s="3">
        <v>6.2</v>
      </c>
      <c r="AC2193" s="3">
        <f>AA2193-X2193</f>
        <v>1.2000000000000002</v>
      </c>
      <c r="AD2193" s="24">
        <v>3.3</v>
      </c>
      <c r="AG2193" s="3">
        <v>2.9</v>
      </c>
      <c r="AI2193" s="3">
        <f>AG2193-AD2193</f>
        <v>-0.39999999999999991</v>
      </c>
      <c r="AJ2193" s="3">
        <v>5</v>
      </c>
      <c r="AL2193" s="3">
        <f>AJ2193-AG2193</f>
        <v>2.1</v>
      </c>
      <c r="AM2193" s="3">
        <v>5.7</v>
      </c>
      <c r="AP2193" s="3">
        <v>6.1</v>
      </c>
      <c r="AS2193" s="3">
        <v>6.3</v>
      </c>
      <c r="AV2193" s="3">
        <v>7.7</v>
      </c>
      <c r="AZ2193" s="3">
        <v>7.7</v>
      </c>
      <c r="BD2193" s="3">
        <v>4.16</v>
      </c>
      <c r="BG2193" s="3">
        <v>4.16</v>
      </c>
      <c r="BH2193" s="3">
        <v>6.15</v>
      </c>
      <c r="BI2193" s="1" t="s">
        <v>1040</v>
      </c>
    </row>
    <row r="2194" spans="1:61">
      <c r="A2194" s="6">
        <v>14</v>
      </c>
      <c r="B2194" s="103" t="s">
        <v>562</v>
      </c>
      <c r="C2194" s="1" t="s">
        <v>58</v>
      </c>
      <c r="D2194" s="2">
        <v>10</v>
      </c>
      <c r="E2194" s="2"/>
      <c r="F2194" s="8">
        <v>12</v>
      </c>
      <c r="G2194" s="8"/>
      <c r="H2194" s="8">
        <v>12</v>
      </c>
      <c r="I2194" s="9">
        <f>H2194-D2194</f>
        <v>2</v>
      </c>
      <c r="K2194" s="3"/>
      <c r="L2194" s="1" t="s">
        <v>368</v>
      </c>
      <c r="M2194" s="3">
        <v>9</v>
      </c>
      <c r="O2194" s="3">
        <v>9</v>
      </c>
      <c r="Q2194" s="3">
        <f>O2194-H2194</f>
        <v>-3</v>
      </c>
      <c r="R2194" s="3">
        <v>9</v>
      </c>
      <c r="T2194" s="3">
        <f>R2194-O2194</f>
        <v>0</v>
      </c>
      <c r="U2194" s="3">
        <v>9</v>
      </c>
      <c r="W2194" s="3">
        <f>U2194-R2194</f>
        <v>0</v>
      </c>
      <c r="X2194" s="3">
        <v>8</v>
      </c>
      <c r="Z2194" s="3">
        <f>X2194-U2194</f>
        <v>-1</v>
      </c>
      <c r="AA2194" s="3">
        <v>9.5</v>
      </c>
      <c r="AC2194" s="3">
        <f>AA2194-X2194</f>
        <v>1.5</v>
      </c>
      <c r="AD2194" s="24">
        <v>5</v>
      </c>
      <c r="AG2194" s="3">
        <v>5.5</v>
      </c>
      <c r="AI2194" s="3">
        <f>AG2194-AD2194</f>
        <v>0.5</v>
      </c>
      <c r="AJ2194" s="3">
        <v>7.2</v>
      </c>
      <c r="AL2194" s="3">
        <f>AJ2194-AG2194</f>
        <v>1.7000000000000002</v>
      </c>
      <c r="AM2194" s="3">
        <v>7.2</v>
      </c>
      <c r="AP2194" s="3">
        <v>6.6</v>
      </c>
      <c r="AS2194" s="3">
        <v>7</v>
      </c>
      <c r="AV2194" s="3">
        <v>13.2</v>
      </c>
      <c r="AZ2194" s="3">
        <v>11.6</v>
      </c>
      <c r="BD2194" s="3">
        <v>4.99</v>
      </c>
      <c r="BG2194" s="3">
        <v>4.99</v>
      </c>
      <c r="BH2194" s="3">
        <v>7.28</v>
      </c>
      <c r="BI2194" s="1" t="s">
        <v>1041</v>
      </c>
    </row>
    <row r="2195" spans="1:61">
      <c r="B2195" s="103" t="s">
        <v>562</v>
      </c>
      <c r="C2195" s="1" t="s">
        <v>857</v>
      </c>
      <c r="D2195" s="2"/>
      <c r="E2195" s="2"/>
      <c r="F2195" s="8"/>
      <c r="G2195" s="8"/>
      <c r="H2195" s="8"/>
      <c r="K2195" s="3"/>
      <c r="Q2195" s="3"/>
      <c r="T2195" s="3"/>
      <c r="W2195" s="3"/>
      <c r="AC2195" s="3"/>
      <c r="AI2195" s="3"/>
      <c r="AL2195" s="3"/>
      <c r="BH2195" s="3">
        <v>40.380000000000003</v>
      </c>
    </row>
    <row r="2196" spans="1:61">
      <c r="B2196" s="103" t="s">
        <v>562</v>
      </c>
      <c r="C2196" s="1" t="s">
        <v>289</v>
      </c>
      <c r="D2196" s="2"/>
      <c r="E2196" s="2"/>
      <c r="F2196" s="8"/>
      <c r="G2196" s="8"/>
      <c r="H2196" s="8"/>
      <c r="I2196" s="8"/>
      <c r="Q2196" s="3"/>
      <c r="T2196" s="3"/>
      <c r="W2196" s="3"/>
      <c r="AM2196" s="3">
        <v>6</v>
      </c>
      <c r="AP2196" s="3">
        <v>13.3</v>
      </c>
      <c r="AS2196" s="3">
        <v>9.5</v>
      </c>
      <c r="BD2196" s="3">
        <v>6.9660000000000002</v>
      </c>
      <c r="BG2196" s="3">
        <v>6.9660000000000002</v>
      </c>
      <c r="BH2196" s="3">
        <v>10.17</v>
      </c>
      <c r="BI2196" s="1" t="s">
        <v>1043</v>
      </c>
    </row>
    <row r="2197" spans="1:61">
      <c r="B2197" s="103" t="s">
        <v>562</v>
      </c>
      <c r="C2197" s="1" t="s">
        <v>290</v>
      </c>
      <c r="D2197" s="2"/>
      <c r="E2197" s="2"/>
      <c r="F2197" s="8"/>
      <c r="G2197" s="8"/>
      <c r="H2197" s="8"/>
      <c r="I2197" s="8"/>
      <c r="Q2197" s="3"/>
      <c r="T2197" s="3"/>
      <c r="W2197" s="3"/>
      <c r="BD2197" s="3">
        <v>6.9660000000000002</v>
      </c>
      <c r="BG2197" s="3">
        <v>6.9660000000000002</v>
      </c>
      <c r="BH2197" s="3">
        <v>23</v>
      </c>
    </row>
    <row r="2198" spans="1:61">
      <c r="B2198" s="103" t="s">
        <v>562</v>
      </c>
      <c r="C2198" s="1" t="s">
        <v>64</v>
      </c>
      <c r="D2198" s="2"/>
      <c r="E2198" s="2"/>
      <c r="F2198" s="8"/>
      <c r="G2198" s="8"/>
      <c r="H2198" s="8"/>
      <c r="K2198" s="3"/>
      <c r="Q2198" s="3"/>
      <c r="T2198" s="3"/>
      <c r="W2198" s="3"/>
      <c r="AC2198" s="3"/>
      <c r="AI2198" s="3"/>
      <c r="AL2198" s="3"/>
      <c r="AP2198" s="3">
        <v>8.99</v>
      </c>
      <c r="AS2198" s="3">
        <v>9.1</v>
      </c>
      <c r="AV2198" s="3">
        <v>16.850000000000001</v>
      </c>
      <c r="AZ2198" s="3">
        <v>12.55</v>
      </c>
      <c r="BD2198" s="3">
        <v>5.8849999999999998</v>
      </c>
      <c r="BG2198" s="3">
        <v>5.8849999999999998</v>
      </c>
      <c r="BH2198" s="3">
        <v>8.49</v>
      </c>
    </row>
    <row r="2199" spans="1:61">
      <c r="B2199" s="103" t="s">
        <v>562</v>
      </c>
      <c r="C2199" s="1" t="s">
        <v>855</v>
      </c>
      <c r="D2199" s="2"/>
      <c r="E2199" s="2"/>
      <c r="F2199" s="8"/>
      <c r="G2199" s="8"/>
      <c r="H2199" s="8"/>
      <c r="K2199" s="3"/>
      <c r="Q2199" s="3"/>
      <c r="T2199" s="3"/>
      <c r="W2199" s="3"/>
      <c r="AC2199" s="3"/>
      <c r="AI2199" s="3"/>
      <c r="AL2199" s="3"/>
      <c r="AZ2199" s="3">
        <v>16.600000000000001</v>
      </c>
      <c r="BD2199" s="3">
        <v>5.6769999999999996</v>
      </c>
      <c r="BG2199" s="3">
        <v>5.6769999999999996</v>
      </c>
      <c r="BH2199" s="3">
        <v>8.19</v>
      </c>
    </row>
    <row r="2200" spans="1:61">
      <c r="B2200" s="103" t="s">
        <v>562</v>
      </c>
      <c r="C2200" s="1" t="s">
        <v>286</v>
      </c>
      <c r="D2200" s="2"/>
      <c r="E2200" s="2"/>
      <c r="F2200" s="8"/>
      <c r="G2200" s="8"/>
      <c r="H2200" s="8"/>
      <c r="K2200" s="3"/>
      <c r="Q2200" s="3"/>
      <c r="T2200" s="3"/>
      <c r="W2200" s="3"/>
      <c r="AC2200" s="3"/>
      <c r="AI2200" s="3"/>
      <c r="AL2200" s="3"/>
      <c r="AP2200" s="3">
        <v>4.5999999999999996</v>
      </c>
    </row>
    <row r="2201" spans="1:61">
      <c r="B2201" s="103" t="s">
        <v>562</v>
      </c>
      <c r="C2201" s="1" t="s">
        <v>288</v>
      </c>
      <c r="D2201" s="2"/>
      <c r="E2201" s="2"/>
      <c r="F2201" s="8"/>
      <c r="G2201" s="8"/>
      <c r="H2201" s="8"/>
      <c r="K2201" s="3"/>
      <c r="Q2201" s="3"/>
      <c r="T2201" s="3"/>
      <c r="W2201" s="3"/>
      <c r="AC2201" s="3"/>
      <c r="AI2201" s="3"/>
      <c r="AL2201" s="3"/>
      <c r="AP2201" s="3">
        <v>9.3000000000000007</v>
      </c>
      <c r="AS2201" s="3">
        <v>9.1</v>
      </c>
      <c r="AV2201" s="3">
        <v>16.07</v>
      </c>
      <c r="BD2201" s="3">
        <v>5.6769999999999996</v>
      </c>
      <c r="BG2201" s="3">
        <v>5.6769999999999996</v>
      </c>
      <c r="BH2201" s="3">
        <v>8.19</v>
      </c>
      <c r="BI2201" s="1" t="s">
        <v>1042</v>
      </c>
    </row>
    <row r="2202" spans="1:61">
      <c r="A2202" s="6">
        <v>11</v>
      </c>
      <c r="B2202" s="103" t="s">
        <v>562</v>
      </c>
      <c r="C2202" s="1" t="s">
        <v>57</v>
      </c>
      <c r="D2202" s="2"/>
      <c r="E2202" s="2"/>
      <c r="F2202" s="8">
        <v>0</v>
      </c>
      <c r="G2202" s="8"/>
      <c r="H2202" s="8">
        <v>0</v>
      </c>
      <c r="I2202" s="8"/>
      <c r="M2202" s="3">
        <v>13</v>
      </c>
      <c r="O2202" s="3">
        <v>13</v>
      </c>
      <c r="Q2202" s="3"/>
      <c r="R2202" s="3">
        <v>13</v>
      </c>
      <c r="T2202" s="3">
        <f>R2202-O2202</f>
        <v>0</v>
      </c>
      <c r="U2202" s="3">
        <v>13</v>
      </c>
      <c r="W2202" s="3">
        <f>U2202-R2202</f>
        <v>0</v>
      </c>
      <c r="X2202" s="3">
        <v>15</v>
      </c>
      <c r="Z2202" s="3">
        <f>X2202-U2202</f>
        <v>2</v>
      </c>
    </row>
    <row r="2203" spans="1:61">
      <c r="A2203" s="6">
        <v>1</v>
      </c>
      <c r="B2203" s="103" t="s">
        <v>563</v>
      </c>
      <c r="C2203" s="1" t="s">
        <v>52</v>
      </c>
      <c r="D2203" s="2"/>
      <c r="E2203" s="2"/>
      <c r="F2203" s="9">
        <v>0</v>
      </c>
      <c r="H2203" s="9">
        <v>0</v>
      </c>
    </row>
    <row r="2204" spans="1:61">
      <c r="A2204" s="6">
        <v>3</v>
      </c>
      <c r="B2204" s="103" t="s">
        <v>563</v>
      </c>
      <c r="C2204" s="1" t="s">
        <v>54</v>
      </c>
      <c r="D2204" s="2"/>
      <c r="E2204" s="2"/>
      <c r="F2204" s="9">
        <v>0</v>
      </c>
      <c r="H2204" s="9">
        <v>0</v>
      </c>
    </row>
    <row r="2205" spans="1:61">
      <c r="A2205" s="6">
        <v>4</v>
      </c>
      <c r="B2205" s="103" t="s">
        <v>563</v>
      </c>
      <c r="C2205" s="1" t="s">
        <v>55</v>
      </c>
      <c r="D2205" s="2"/>
      <c r="E2205" s="2"/>
      <c r="F2205" s="9">
        <v>0</v>
      </c>
      <c r="H2205" s="9">
        <v>0</v>
      </c>
    </row>
    <row r="2206" spans="1:61">
      <c r="A2206" s="6">
        <v>5</v>
      </c>
      <c r="B2206" s="103" t="s">
        <v>563</v>
      </c>
      <c r="C2206" s="1" t="s">
        <v>56</v>
      </c>
      <c r="D2206" s="2"/>
      <c r="E2206" s="2"/>
      <c r="F2206" s="9">
        <v>0</v>
      </c>
      <c r="H2206" s="9">
        <v>0</v>
      </c>
    </row>
    <row r="2207" spans="1:61">
      <c r="A2207" s="6">
        <v>2</v>
      </c>
      <c r="B2207" s="103" t="s">
        <v>563</v>
      </c>
      <c r="C2207" s="1" t="s">
        <v>53</v>
      </c>
      <c r="D2207" s="2"/>
      <c r="E2207" s="2"/>
      <c r="F2207" s="9">
        <v>22</v>
      </c>
      <c r="H2207" s="9">
        <v>22</v>
      </c>
      <c r="L2207" s="1" t="s">
        <v>423</v>
      </c>
      <c r="M2207" s="3">
        <v>22</v>
      </c>
      <c r="O2207" s="3">
        <v>22</v>
      </c>
      <c r="Q2207" s="3">
        <f>O2207-H2207</f>
        <v>0</v>
      </c>
      <c r="R2207" s="3">
        <v>22</v>
      </c>
      <c r="T2207" s="3">
        <f>R2207-O2207</f>
        <v>0</v>
      </c>
    </row>
    <row r="2208" spans="1:61">
      <c r="B2208" s="103" t="s">
        <v>563</v>
      </c>
      <c r="C2208" s="1" t="s">
        <v>595</v>
      </c>
      <c r="D2208" s="2"/>
      <c r="E2208" s="2"/>
      <c r="Q2208" s="3"/>
      <c r="T2208" s="3"/>
      <c r="U2208" s="3">
        <v>3</v>
      </c>
      <c r="X2208" s="3">
        <v>3</v>
      </c>
      <c r="Z2208" s="3">
        <f>X2208-U2208</f>
        <v>0</v>
      </c>
      <c r="AA2208" s="3">
        <v>3</v>
      </c>
      <c r="AC2208" s="3">
        <f>AA2208-X2208</f>
        <v>0</v>
      </c>
      <c r="AD2208" s="24">
        <v>3</v>
      </c>
      <c r="AG2208" s="3">
        <v>3</v>
      </c>
    </row>
    <row r="2209" spans="1:60">
      <c r="A2209" s="6">
        <v>12</v>
      </c>
      <c r="B2209" s="103" t="s">
        <v>563</v>
      </c>
      <c r="C2209" s="1" t="s">
        <v>594</v>
      </c>
      <c r="D2209" s="2"/>
      <c r="E2209" s="2"/>
      <c r="F2209" s="9">
        <v>5</v>
      </c>
      <c r="H2209" s="9">
        <v>5</v>
      </c>
      <c r="M2209" s="3">
        <v>5</v>
      </c>
      <c r="O2209" s="3">
        <v>5</v>
      </c>
      <c r="Q2209" s="3">
        <f>O2209-H2209</f>
        <v>0</v>
      </c>
      <c r="R2209" s="3">
        <v>5</v>
      </c>
      <c r="T2209" s="3">
        <f>R2209-O2209</f>
        <v>0</v>
      </c>
      <c r="U2209" s="3">
        <v>5</v>
      </c>
      <c r="W2209" s="3">
        <f>U2209-R2209</f>
        <v>0</v>
      </c>
      <c r="X2209" s="3">
        <v>5</v>
      </c>
      <c r="Z2209" s="3">
        <f>X2209-U2209</f>
        <v>0</v>
      </c>
      <c r="AA2209" s="3">
        <v>5</v>
      </c>
      <c r="AC2209" s="3">
        <f>AA2209-X2209</f>
        <v>0</v>
      </c>
      <c r="AD2209" s="24">
        <v>16</v>
      </c>
      <c r="AG2209" s="3">
        <v>16</v>
      </c>
      <c r="AJ2209" s="3">
        <v>4.5</v>
      </c>
      <c r="AM2209" s="3">
        <v>4.5</v>
      </c>
      <c r="AO2209" s="3">
        <f>AM2209-AJ2209</f>
        <v>0</v>
      </c>
      <c r="AP2209" s="3">
        <v>4.5</v>
      </c>
      <c r="AS2209" s="3">
        <v>9</v>
      </c>
      <c r="AV2209" s="3">
        <v>9</v>
      </c>
      <c r="AZ2209" s="3">
        <v>9</v>
      </c>
      <c r="BD2209" s="3">
        <v>9</v>
      </c>
      <c r="BG2209" s="3">
        <v>9</v>
      </c>
      <c r="BH2209" s="3">
        <v>12</v>
      </c>
    </row>
    <row r="2210" spans="1:60">
      <c r="A2210" s="6">
        <v>14</v>
      </c>
      <c r="B2210" s="103" t="s">
        <v>563</v>
      </c>
      <c r="C2210" s="1" t="s">
        <v>58</v>
      </c>
      <c r="D2210" s="2"/>
      <c r="E2210" s="2"/>
      <c r="F2210" s="9">
        <v>14</v>
      </c>
      <c r="H2210" s="9">
        <v>14</v>
      </c>
      <c r="L2210" s="1" t="s">
        <v>590</v>
      </c>
      <c r="M2210" s="3">
        <v>14</v>
      </c>
      <c r="O2210" s="3">
        <v>14</v>
      </c>
      <c r="Q2210" s="3">
        <f>O2210-H2210</f>
        <v>0</v>
      </c>
      <c r="R2210" s="3">
        <v>14</v>
      </c>
      <c r="T2210" s="3">
        <f>R2210-O2210</f>
        <v>0</v>
      </c>
      <c r="U2210" s="3">
        <v>14</v>
      </c>
      <c r="W2210" s="3">
        <f>U2210-R2210</f>
        <v>0</v>
      </c>
      <c r="X2210" s="3">
        <v>14</v>
      </c>
      <c r="Z2210" s="3">
        <f>X2210-U2210</f>
        <v>0</v>
      </c>
      <c r="AA2210" s="3">
        <v>14</v>
      </c>
      <c r="AC2210" s="3">
        <f>AA2210-X2210</f>
        <v>0</v>
      </c>
      <c r="AD2210" s="24">
        <v>13</v>
      </c>
      <c r="AG2210" s="3">
        <v>13</v>
      </c>
      <c r="AJ2210" s="3">
        <v>6.75</v>
      </c>
      <c r="AM2210" s="3">
        <v>6.75</v>
      </c>
      <c r="AO2210" s="3">
        <f>AM2210-AJ2210</f>
        <v>0</v>
      </c>
      <c r="AP2210" s="3">
        <v>6.75</v>
      </c>
      <c r="AS2210" s="3">
        <v>7.75</v>
      </c>
      <c r="AV2210" s="3">
        <v>8</v>
      </c>
      <c r="BD2210" s="3">
        <v>7.75</v>
      </c>
      <c r="BG2210" s="3">
        <v>7.75</v>
      </c>
      <c r="BH2210" s="3">
        <v>8.8000000000000007</v>
      </c>
    </row>
    <row r="2211" spans="1:60">
      <c r="B2211" s="103" t="s">
        <v>563</v>
      </c>
      <c r="C2211" s="1" t="s">
        <v>857</v>
      </c>
      <c r="D2211" s="2"/>
      <c r="E2211" s="2"/>
      <c r="Q2211" s="3"/>
      <c r="T2211" s="3"/>
      <c r="W2211" s="3"/>
      <c r="AC2211" s="3"/>
      <c r="AO2211" s="3"/>
    </row>
    <row r="2212" spans="1:60">
      <c r="B2212" s="103" t="s">
        <v>563</v>
      </c>
      <c r="C2212" s="1" t="s">
        <v>289</v>
      </c>
      <c r="D2212" s="2"/>
      <c r="E2212" s="2"/>
      <c r="Q2212" s="3"/>
      <c r="T2212" s="3"/>
      <c r="AS2212" s="3">
        <v>12.5</v>
      </c>
      <c r="AV2212" s="3">
        <v>12.5</v>
      </c>
      <c r="BD2212" s="3">
        <v>12.5</v>
      </c>
      <c r="BG2212" s="3">
        <v>12.5</v>
      </c>
      <c r="BH2212" s="3">
        <v>6</v>
      </c>
    </row>
    <row r="2213" spans="1:60" ht="9.6" customHeight="1">
      <c r="B2213" s="103" t="s">
        <v>563</v>
      </c>
      <c r="C2213" s="1" t="s">
        <v>290</v>
      </c>
      <c r="D2213" s="2"/>
      <c r="E2213" s="2"/>
      <c r="Q2213" s="3"/>
      <c r="T2213" s="3"/>
      <c r="AS2213" s="3">
        <v>15</v>
      </c>
      <c r="AV2213" s="3">
        <v>15</v>
      </c>
      <c r="BD2213" s="3">
        <v>15</v>
      </c>
      <c r="BG2213" s="3">
        <v>15</v>
      </c>
      <c r="BH2213" s="3">
        <v>7</v>
      </c>
    </row>
    <row r="2214" spans="1:60">
      <c r="B2214" s="103" t="s">
        <v>563</v>
      </c>
      <c r="C2214" s="1" t="s">
        <v>64</v>
      </c>
      <c r="D2214" s="2"/>
      <c r="E2214" s="2"/>
      <c r="Q2214" s="3"/>
      <c r="R2214" s="3">
        <v>22</v>
      </c>
      <c r="T2214" s="3"/>
      <c r="U2214" s="3">
        <v>6</v>
      </c>
      <c r="W2214" s="3">
        <f>U2214-R2214</f>
        <v>-16</v>
      </c>
      <c r="X2214" s="3">
        <v>6</v>
      </c>
      <c r="Z2214" s="3">
        <f>X2214-U2214</f>
        <v>0</v>
      </c>
      <c r="AA2214" s="3">
        <v>6</v>
      </c>
      <c r="AC2214" s="3">
        <f>AA2214-X2214</f>
        <v>0</v>
      </c>
      <c r="AD2214" s="24">
        <v>6</v>
      </c>
      <c r="AG2214" s="3">
        <v>6</v>
      </c>
      <c r="AJ2214" s="3">
        <v>10.5</v>
      </c>
      <c r="AM2214" s="3">
        <v>10.5</v>
      </c>
      <c r="AO2214" s="3">
        <f>AM2214-AJ2214</f>
        <v>0</v>
      </c>
      <c r="AP2214" s="3">
        <v>10.5</v>
      </c>
      <c r="AS2214" s="3">
        <v>12</v>
      </c>
      <c r="AV2214" s="3">
        <v>12</v>
      </c>
      <c r="AZ2214" s="3">
        <v>12</v>
      </c>
      <c r="BD2214" s="3">
        <v>12</v>
      </c>
      <c r="BG2214" s="3">
        <v>12</v>
      </c>
      <c r="BH2214" s="3">
        <v>8.3000000000000007</v>
      </c>
    </row>
    <row r="2215" spans="1:60">
      <c r="B2215" s="103" t="s">
        <v>563</v>
      </c>
      <c r="C2215" s="1" t="s">
        <v>180</v>
      </c>
      <c r="D2215" s="2"/>
      <c r="E2215" s="2"/>
      <c r="Q2215" s="3"/>
      <c r="R2215" s="3">
        <v>7.5</v>
      </c>
      <c r="W2215" s="3"/>
    </row>
    <row r="2216" spans="1:60">
      <c r="B2216" s="103" t="s">
        <v>563</v>
      </c>
      <c r="C2216" s="1" t="s">
        <v>286</v>
      </c>
      <c r="D2216" s="2"/>
      <c r="E2216" s="2"/>
      <c r="Q2216" s="3"/>
      <c r="T2216" s="3"/>
      <c r="U2216" s="3">
        <v>13</v>
      </c>
      <c r="X2216" s="3">
        <v>13</v>
      </c>
      <c r="Z2216" s="3">
        <f>X2216-U2216</f>
        <v>0</v>
      </c>
      <c r="AA2216" s="3">
        <v>13</v>
      </c>
      <c r="AC2216" s="3">
        <f>AA2216-X2216</f>
        <v>0</v>
      </c>
      <c r="AD2216" s="24">
        <v>13</v>
      </c>
      <c r="AG2216" s="3">
        <v>13</v>
      </c>
      <c r="AJ2216" s="3">
        <v>13</v>
      </c>
      <c r="AM2216" s="3">
        <v>13</v>
      </c>
      <c r="AO2216" s="3">
        <f>AM2216-AJ2216</f>
        <v>0</v>
      </c>
      <c r="AP2216" s="3">
        <v>13</v>
      </c>
      <c r="AS2216" s="3">
        <v>11</v>
      </c>
      <c r="AV2216" s="3">
        <v>11</v>
      </c>
      <c r="BD2216" s="3">
        <v>11</v>
      </c>
    </row>
    <row r="2217" spans="1:60">
      <c r="B2217" s="103" t="s">
        <v>563</v>
      </c>
      <c r="C2217" s="1" t="s">
        <v>288</v>
      </c>
      <c r="D2217" s="2"/>
      <c r="E2217" s="2"/>
      <c r="Q2217" s="3"/>
      <c r="R2217" s="3">
        <v>17.5</v>
      </c>
      <c r="T2217" s="3"/>
      <c r="U2217" s="3">
        <v>16</v>
      </c>
      <c r="W2217" s="3">
        <f>U2217-R2217</f>
        <v>-1.5</v>
      </c>
      <c r="X2217" s="3">
        <v>16</v>
      </c>
      <c r="Z2217" s="3">
        <f>X2217-U2217</f>
        <v>0</v>
      </c>
      <c r="AA2217" s="3">
        <v>16</v>
      </c>
      <c r="AC2217" s="3">
        <f>AA2217-X2217</f>
        <v>0</v>
      </c>
      <c r="AD2217" s="24">
        <v>16</v>
      </c>
      <c r="AG2217" s="3">
        <v>16</v>
      </c>
      <c r="AJ2217" s="3">
        <v>8.8000000000000007</v>
      </c>
      <c r="AM2217" s="3">
        <v>8.8000000000000007</v>
      </c>
      <c r="AO2217" s="3">
        <f>AM2217-AJ2217</f>
        <v>0</v>
      </c>
      <c r="AP2217" s="3">
        <v>8.8000000000000007</v>
      </c>
      <c r="AS2217" s="3">
        <v>11</v>
      </c>
      <c r="AV2217" s="3">
        <v>11</v>
      </c>
      <c r="AZ2217" s="3">
        <v>11</v>
      </c>
      <c r="BD2217" s="3">
        <v>11</v>
      </c>
      <c r="BG2217" s="3">
        <v>11</v>
      </c>
      <c r="BH2217" s="3">
        <v>8.5</v>
      </c>
    </row>
    <row r="2218" spans="1:60">
      <c r="A2218" s="6">
        <v>11</v>
      </c>
      <c r="B2218" s="103" t="s">
        <v>563</v>
      </c>
      <c r="C2218" s="1" t="s">
        <v>57</v>
      </c>
      <c r="D2218" s="2"/>
      <c r="E2218" s="2"/>
      <c r="F2218" s="9">
        <v>24</v>
      </c>
      <c r="H2218" s="9">
        <v>24</v>
      </c>
      <c r="L2218" s="1" t="s">
        <v>188</v>
      </c>
      <c r="M2218" s="3">
        <v>24</v>
      </c>
      <c r="O2218" s="3">
        <v>24</v>
      </c>
      <c r="Q2218" s="3">
        <f>O2218-H2218</f>
        <v>0</v>
      </c>
      <c r="R2218" s="3">
        <v>24</v>
      </c>
      <c r="T2218" s="3">
        <f>R2218-O2218</f>
        <v>0</v>
      </c>
    </row>
    <row r="2219" spans="1:60">
      <c r="A2219" s="6">
        <v>1</v>
      </c>
      <c r="B2219" s="103" t="s">
        <v>418</v>
      </c>
      <c r="C2219" s="1" t="s">
        <v>52</v>
      </c>
      <c r="D2219" s="2">
        <v>5.5</v>
      </c>
      <c r="E2219" s="2"/>
      <c r="F2219" s="8">
        <v>5.5</v>
      </c>
      <c r="G2219" s="8"/>
      <c r="H2219" s="8">
        <v>5.5</v>
      </c>
      <c r="I2219" s="8">
        <f>H2219-D2219</f>
        <v>0</v>
      </c>
      <c r="K2219" s="3"/>
      <c r="M2219" s="3">
        <v>4.25</v>
      </c>
      <c r="O2219" s="3">
        <v>4.25</v>
      </c>
      <c r="Q2219" s="3">
        <f>O2219-H2219</f>
        <v>-1.25</v>
      </c>
      <c r="R2219" s="3">
        <v>7.4</v>
      </c>
      <c r="T2219" s="2">
        <f>R2219-O2219</f>
        <v>3.1500000000000004</v>
      </c>
      <c r="U2219" s="3">
        <v>7.4</v>
      </c>
      <c r="W2219" s="3">
        <f>U2219-R2219</f>
        <v>0</v>
      </c>
      <c r="X2219" s="3">
        <v>7.4</v>
      </c>
      <c r="Z2219" s="3">
        <f>X2219-U2219</f>
        <v>0</v>
      </c>
    </row>
    <row r="2220" spans="1:60">
      <c r="A2220" s="6">
        <v>3</v>
      </c>
      <c r="B2220" s="103" t="s">
        <v>418</v>
      </c>
      <c r="C2220" s="1" t="s">
        <v>54</v>
      </c>
      <c r="D2220" s="2"/>
      <c r="E2220" s="2"/>
      <c r="F2220" s="8">
        <v>0</v>
      </c>
      <c r="G2220" s="8"/>
      <c r="H2220" s="8">
        <v>0</v>
      </c>
      <c r="I2220" s="8"/>
    </row>
    <row r="2221" spans="1:60">
      <c r="A2221" s="6">
        <v>4</v>
      </c>
      <c r="B2221" s="103" t="s">
        <v>418</v>
      </c>
      <c r="C2221" s="1" t="s">
        <v>55</v>
      </c>
      <c r="D2221" s="2"/>
      <c r="E2221" s="2"/>
      <c r="F2221" s="8">
        <v>0</v>
      </c>
      <c r="G2221" s="8"/>
      <c r="H2221" s="8">
        <v>0</v>
      </c>
      <c r="I2221" s="8"/>
    </row>
    <row r="2222" spans="1:60">
      <c r="A2222" s="6">
        <v>5</v>
      </c>
      <c r="B2222" s="103" t="s">
        <v>418</v>
      </c>
      <c r="C2222" s="1" t="s">
        <v>56</v>
      </c>
      <c r="D2222" s="2"/>
      <c r="E2222" s="2"/>
      <c r="F2222" s="8">
        <v>0</v>
      </c>
      <c r="G2222" s="8"/>
      <c r="H2222" s="8">
        <v>0</v>
      </c>
      <c r="I2222" s="8"/>
    </row>
    <row r="2223" spans="1:60">
      <c r="A2223" s="6">
        <v>2</v>
      </c>
      <c r="B2223" s="103" t="s">
        <v>418</v>
      </c>
      <c r="C2223" s="1" t="s">
        <v>53</v>
      </c>
      <c r="D2223" s="2">
        <v>5.0999999999999996</v>
      </c>
      <c r="E2223" s="2"/>
      <c r="F2223" s="8">
        <v>5.0999999999999996</v>
      </c>
      <c r="G2223" s="8"/>
      <c r="H2223" s="8">
        <v>5.0999999999999996</v>
      </c>
      <c r="I2223" s="8">
        <f>H2223-D2223</f>
        <v>0</v>
      </c>
      <c r="K2223" s="3"/>
      <c r="M2223" s="3">
        <v>5</v>
      </c>
      <c r="O2223" s="3">
        <v>5</v>
      </c>
      <c r="Q2223" s="3">
        <f>O2223-H2223</f>
        <v>-9.9999999999999645E-2</v>
      </c>
      <c r="R2223" s="3">
        <v>5</v>
      </c>
      <c r="T2223" s="3">
        <f>R2223-O2223</f>
        <v>0</v>
      </c>
      <c r="U2223" s="3">
        <v>5</v>
      </c>
      <c r="W2223" s="3">
        <f>U2223-R2223</f>
        <v>0</v>
      </c>
      <c r="X2223" s="3">
        <v>5</v>
      </c>
      <c r="Z2223" s="3">
        <f>X2223-U2223</f>
        <v>0</v>
      </c>
    </row>
    <row r="2224" spans="1:60">
      <c r="B2224" s="103" t="s">
        <v>418</v>
      </c>
      <c r="C2224" s="1" t="s">
        <v>597</v>
      </c>
      <c r="D2224" s="2"/>
      <c r="E2224" s="2"/>
      <c r="F2224" s="8"/>
      <c r="G2224" s="8"/>
      <c r="H2224" s="8"/>
      <c r="K2224" s="3"/>
      <c r="Q2224" s="3"/>
      <c r="T2224" s="3"/>
      <c r="W2224" s="3"/>
      <c r="AA2224" s="3">
        <v>6.2</v>
      </c>
      <c r="AG2224" s="3">
        <v>6.95</v>
      </c>
    </row>
    <row r="2225" spans="1:60">
      <c r="B2225" s="103" t="s">
        <v>418</v>
      </c>
      <c r="C2225" s="1" t="s">
        <v>595</v>
      </c>
      <c r="D2225" s="2"/>
      <c r="E2225" s="2"/>
      <c r="F2225" s="8"/>
      <c r="G2225" s="8"/>
      <c r="H2225" s="8"/>
      <c r="K2225" s="3"/>
      <c r="Q2225" s="3"/>
      <c r="T2225" s="3"/>
      <c r="W2225" s="3"/>
      <c r="AA2225" s="3">
        <v>2.5</v>
      </c>
      <c r="AD2225" s="24">
        <v>3</v>
      </c>
      <c r="AG2225" s="3">
        <v>2.5</v>
      </c>
      <c r="AI2225" s="3">
        <f>AG2225-AD2225</f>
        <v>-0.5</v>
      </c>
      <c r="AJ2225" s="3">
        <v>3.2</v>
      </c>
      <c r="AL2225" s="3">
        <f>AJ2225-AG2225</f>
        <v>0.70000000000000018</v>
      </c>
      <c r="AM2225" s="3">
        <v>3</v>
      </c>
      <c r="AO2225" s="3">
        <f>AM2225-AJ2225</f>
        <v>-0.20000000000000018</v>
      </c>
      <c r="AP2225" s="3">
        <v>4.37</v>
      </c>
      <c r="AS2225" s="3">
        <v>4.2</v>
      </c>
      <c r="AV2225" s="3">
        <v>3</v>
      </c>
      <c r="AZ2225" s="3">
        <v>5.5</v>
      </c>
      <c r="BD2225" s="3">
        <v>4.5</v>
      </c>
      <c r="BH2225" s="3">
        <v>6.5</v>
      </c>
    </row>
    <row r="2226" spans="1:60">
      <c r="B2226" s="103" t="s">
        <v>418</v>
      </c>
      <c r="C2226" s="1" t="s">
        <v>596</v>
      </c>
      <c r="D2226" s="2"/>
      <c r="E2226" s="2"/>
      <c r="F2226" s="8"/>
      <c r="G2226" s="8"/>
      <c r="H2226" s="8"/>
      <c r="K2226" s="3"/>
      <c r="Q2226" s="3"/>
      <c r="T2226" s="3"/>
      <c r="W2226" s="3"/>
      <c r="AA2226" s="3">
        <v>3.75</v>
      </c>
      <c r="AD2226" s="24">
        <v>5.2</v>
      </c>
      <c r="AJ2226" s="3">
        <v>3.5</v>
      </c>
      <c r="AP2226" s="3">
        <v>2.8</v>
      </c>
      <c r="AS2226" s="3">
        <v>3</v>
      </c>
      <c r="AV2226" s="3">
        <v>2.7</v>
      </c>
      <c r="AZ2226" s="3">
        <v>6</v>
      </c>
      <c r="BD2226" s="3">
        <v>4</v>
      </c>
      <c r="BH2226" s="3">
        <v>7</v>
      </c>
    </row>
    <row r="2227" spans="1:60">
      <c r="A2227" s="6">
        <v>12</v>
      </c>
      <c r="B2227" s="103" t="s">
        <v>418</v>
      </c>
      <c r="C2227" s="1" t="s">
        <v>594</v>
      </c>
      <c r="D2227" s="2">
        <v>4.3</v>
      </c>
      <c r="E2227" s="2"/>
      <c r="F2227" s="8">
        <v>4.3</v>
      </c>
      <c r="G2227" s="8"/>
      <c r="H2227" s="8">
        <v>4.3</v>
      </c>
      <c r="I2227" s="8">
        <f>H2227-D2227</f>
        <v>0</v>
      </c>
      <c r="K2227" s="3"/>
      <c r="M2227" s="3">
        <v>3</v>
      </c>
      <c r="O2227" s="3">
        <v>3</v>
      </c>
      <c r="Q2227" s="3">
        <f>O2227-H2227</f>
        <v>-1.2999999999999998</v>
      </c>
      <c r="R2227" s="3">
        <v>2.34</v>
      </c>
      <c r="T2227" s="3">
        <f>R2227-O2227</f>
        <v>-0.66000000000000014</v>
      </c>
      <c r="U2227" s="3">
        <v>2.34</v>
      </c>
      <c r="W2227" s="3">
        <f>U2227-R2227</f>
        <v>0</v>
      </c>
      <c r="X2227" s="3">
        <v>2.34</v>
      </c>
      <c r="Z2227" s="3">
        <f>X2227-U2227</f>
        <v>0</v>
      </c>
      <c r="AA2227" s="3">
        <v>3.2</v>
      </c>
      <c r="AC2227" s="3">
        <f>AA2227-X2227</f>
        <v>0.86000000000000032</v>
      </c>
      <c r="AD2227" s="24">
        <v>4.0999999999999996</v>
      </c>
      <c r="AG2227" s="3">
        <v>4</v>
      </c>
      <c r="AI2227" s="3">
        <f>AG2227-AD2227</f>
        <v>-9.9999999999999645E-2</v>
      </c>
      <c r="AJ2227" s="3">
        <v>3.5</v>
      </c>
      <c r="AL2227" s="3">
        <f>AJ2227-AG2227</f>
        <v>-0.5</v>
      </c>
      <c r="AM2227" s="3">
        <v>3.5</v>
      </c>
      <c r="AO2227" s="3">
        <f>AM2227-AJ2227</f>
        <v>0</v>
      </c>
      <c r="AP2227" s="3">
        <v>3.6</v>
      </c>
      <c r="AS2227" s="3">
        <v>3.8</v>
      </c>
      <c r="AV2227" s="3">
        <v>2.5</v>
      </c>
      <c r="AZ2227" s="3">
        <v>5</v>
      </c>
      <c r="BD2227" s="3">
        <v>4</v>
      </c>
      <c r="BH2227" s="3">
        <v>6</v>
      </c>
    </row>
    <row r="2228" spans="1:60">
      <c r="A2228" s="6">
        <v>14</v>
      </c>
      <c r="B2228" s="103" t="s">
        <v>418</v>
      </c>
      <c r="C2228" s="1" t="s">
        <v>58</v>
      </c>
      <c r="D2228" s="2">
        <v>8</v>
      </c>
      <c r="E2228" s="2"/>
      <c r="F2228" s="8">
        <v>8</v>
      </c>
      <c r="G2228" s="8"/>
      <c r="H2228" s="8">
        <v>8</v>
      </c>
      <c r="I2228" s="9">
        <f>H2228-D2228</f>
        <v>0</v>
      </c>
      <c r="K2228" s="3"/>
      <c r="M2228" s="3">
        <v>6</v>
      </c>
      <c r="O2228" s="3">
        <v>6</v>
      </c>
      <c r="Q2228" s="3">
        <f>O2228-H2228</f>
        <v>-2</v>
      </c>
      <c r="R2228" s="3">
        <v>4.8</v>
      </c>
      <c r="T2228" s="3">
        <f>R2228-O2228</f>
        <v>-1.2000000000000002</v>
      </c>
      <c r="U2228" s="3">
        <v>4.8</v>
      </c>
      <c r="W2228" s="3">
        <f>U2228-R2228</f>
        <v>0</v>
      </c>
      <c r="X2228" s="3">
        <v>4.8</v>
      </c>
      <c r="Z2228" s="3">
        <f>X2228-U2228</f>
        <v>0</v>
      </c>
      <c r="AA2228" s="3">
        <v>6.33</v>
      </c>
      <c r="AC2228" s="3">
        <f>AA2228-X2228</f>
        <v>1.5300000000000002</v>
      </c>
      <c r="AD2228" s="24">
        <v>7.2</v>
      </c>
      <c r="AG2228" s="3">
        <v>5.8</v>
      </c>
      <c r="AI2228" s="3">
        <f>AG2228-AD2228</f>
        <v>-1.4000000000000004</v>
      </c>
      <c r="AJ2228" s="3">
        <v>4.5</v>
      </c>
      <c r="AL2228" s="3">
        <f>AJ2228-AG2228</f>
        <v>-1.2999999999999998</v>
      </c>
      <c r="AM2228" s="3">
        <v>4.5</v>
      </c>
      <c r="AO2228" s="3">
        <f>AM2228-AJ2228</f>
        <v>0</v>
      </c>
      <c r="AP2228" s="3">
        <v>3</v>
      </c>
      <c r="AS2228" s="3">
        <v>4.5</v>
      </c>
      <c r="AV2228" s="3">
        <v>4.2</v>
      </c>
      <c r="BH2228" s="3">
        <v>5.5</v>
      </c>
    </row>
    <row r="2229" spans="1:60">
      <c r="B2229" s="103" t="s">
        <v>418</v>
      </c>
      <c r="C2229" s="1" t="s">
        <v>607</v>
      </c>
      <c r="D2229" s="2"/>
      <c r="E2229" s="2"/>
      <c r="F2229" s="8"/>
      <c r="G2229" s="8"/>
      <c r="H2229" s="8"/>
      <c r="K2229" s="3"/>
      <c r="Q2229" s="3"/>
      <c r="T2229" s="3"/>
      <c r="W2229" s="3"/>
      <c r="AC2229" s="3"/>
      <c r="AI2229" s="3"/>
      <c r="AL2229" s="3"/>
      <c r="AO2229" s="3"/>
      <c r="BH2229" s="3">
        <v>18</v>
      </c>
    </row>
    <row r="2230" spans="1:60">
      <c r="B2230" s="103" t="s">
        <v>418</v>
      </c>
      <c r="C2230" s="1" t="s">
        <v>857</v>
      </c>
      <c r="D2230" s="2"/>
      <c r="E2230" s="2"/>
      <c r="F2230" s="8"/>
      <c r="G2230" s="8"/>
      <c r="H2230" s="8"/>
      <c r="K2230" s="3"/>
      <c r="Q2230" s="3"/>
      <c r="T2230" s="3"/>
      <c r="W2230" s="3"/>
      <c r="AC2230" s="3"/>
      <c r="AI2230" s="3"/>
      <c r="AL2230" s="3"/>
      <c r="AO2230" s="3"/>
      <c r="BH2230" s="3">
        <v>15</v>
      </c>
    </row>
    <row r="2231" spans="1:60">
      <c r="B2231" s="103" t="s">
        <v>418</v>
      </c>
      <c r="C2231" s="1" t="s">
        <v>289</v>
      </c>
      <c r="D2231" s="2"/>
      <c r="E2231" s="2"/>
      <c r="F2231" s="8"/>
      <c r="G2231" s="8"/>
      <c r="H2231" s="8"/>
      <c r="I2231" s="8"/>
      <c r="T2231" s="3"/>
      <c r="W2231" s="3"/>
      <c r="AM2231" s="3">
        <v>4.5</v>
      </c>
    </row>
    <row r="2232" spans="1:60">
      <c r="B2232" s="103" t="s">
        <v>418</v>
      </c>
      <c r="C2232" s="1" t="s">
        <v>64</v>
      </c>
      <c r="D2232" s="2"/>
      <c r="E2232" s="2"/>
      <c r="F2232" s="8"/>
      <c r="G2232" s="8"/>
      <c r="H2232" s="8"/>
      <c r="K2232" s="3"/>
      <c r="Q2232" s="3"/>
      <c r="R2232" s="3">
        <v>5.32</v>
      </c>
      <c r="T2232" s="3"/>
      <c r="U2232" s="3">
        <v>5.32</v>
      </c>
      <c r="W2232" s="3">
        <f>U2232-R2232</f>
        <v>0</v>
      </c>
      <c r="X2232" s="3">
        <v>5.32</v>
      </c>
      <c r="Z2232" s="3">
        <f>X2232-U2232</f>
        <v>0</v>
      </c>
      <c r="AA2232" s="3">
        <v>5.17</v>
      </c>
      <c r="AC2232" s="3">
        <f>AA2232-X2232</f>
        <v>-0.15000000000000036</v>
      </c>
      <c r="AD2232" s="24">
        <v>5.5</v>
      </c>
      <c r="AG2232" s="3">
        <v>5.5</v>
      </c>
      <c r="AI2232" s="3">
        <f>AG2232-AD2232</f>
        <v>0</v>
      </c>
      <c r="AJ2232" s="3">
        <v>4</v>
      </c>
      <c r="AL2232" s="3">
        <f>AJ2232-AG2232</f>
        <v>-1.5</v>
      </c>
      <c r="AM2232" s="3">
        <v>4.3600000000000003</v>
      </c>
      <c r="AO2232" s="3">
        <f>AM2232-AJ2232</f>
        <v>0.36000000000000032</v>
      </c>
      <c r="AP2232" s="3">
        <v>3.5</v>
      </c>
      <c r="AS2232" s="3">
        <v>4</v>
      </c>
      <c r="AV2232" s="3">
        <v>2</v>
      </c>
      <c r="BH2232" s="3">
        <v>7.5</v>
      </c>
    </row>
    <row r="2233" spans="1:60">
      <c r="B2233" s="103" t="s">
        <v>418</v>
      </c>
      <c r="C2233" s="1" t="s">
        <v>286</v>
      </c>
      <c r="D2233" s="2"/>
      <c r="E2233" s="2"/>
      <c r="F2233" s="8"/>
      <c r="G2233" s="8"/>
      <c r="H2233" s="8"/>
      <c r="K2233" s="3"/>
      <c r="Q2233" s="3"/>
      <c r="T2233" s="3"/>
      <c r="W2233" s="3"/>
      <c r="AA2233" s="3">
        <v>7</v>
      </c>
      <c r="AD2233" s="24">
        <v>7</v>
      </c>
      <c r="AG2233" s="3">
        <v>7</v>
      </c>
      <c r="AI2233" s="3">
        <f>AG2233-AD2233</f>
        <v>0</v>
      </c>
      <c r="AJ2233" s="3">
        <v>4</v>
      </c>
      <c r="AL2233" s="3">
        <f>AJ2233-AG2233</f>
        <v>-3</v>
      </c>
      <c r="AM2233" s="3">
        <v>2</v>
      </c>
      <c r="AO2233" s="3">
        <f>AM2233-AJ2233</f>
        <v>-2</v>
      </c>
      <c r="AP2233" s="3">
        <v>3.2</v>
      </c>
      <c r="AS2233" s="3">
        <v>4</v>
      </c>
      <c r="AV2233" s="3">
        <v>2.2999999999999998</v>
      </c>
    </row>
    <row r="2234" spans="1:60">
      <c r="B2234" s="103" t="s">
        <v>418</v>
      </c>
      <c r="C2234" s="1" t="s">
        <v>288</v>
      </c>
      <c r="D2234" s="2"/>
      <c r="E2234" s="2"/>
      <c r="F2234" s="8"/>
      <c r="G2234" s="8"/>
      <c r="H2234" s="8"/>
      <c r="K2234" s="3"/>
      <c r="Q2234" s="3"/>
      <c r="T2234" s="3"/>
      <c r="W2234" s="3"/>
      <c r="AA2234" s="3">
        <v>7.5</v>
      </c>
      <c r="AD2234" s="24">
        <v>7.5</v>
      </c>
      <c r="AG2234" s="3">
        <v>7.5</v>
      </c>
      <c r="AI2234" s="3">
        <f>AG2234-AD2234</f>
        <v>0</v>
      </c>
      <c r="AJ2234" s="3">
        <v>2.5</v>
      </c>
      <c r="AL2234" s="3">
        <f>AJ2234-AG2234</f>
        <v>-5</v>
      </c>
      <c r="AP2234" s="3">
        <v>3.6</v>
      </c>
      <c r="AS2234" s="3">
        <v>3.5</v>
      </c>
      <c r="BH2234" s="3">
        <v>7.5</v>
      </c>
    </row>
    <row r="2235" spans="1:60">
      <c r="A2235" s="6">
        <v>11</v>
      </c>
      <c r="B2235" s="103" t="s">
        <v>418</v>
      </c>
      <c r="C2235" s="1" t="s">
        <v>57</v>
      </c>
      <c r="D2235" s="2"/>
      <c r="E2235" s="2"/>
      <c r="F2235" s="8">
        <v>0</v>
      </c>
      <c r="G2235" s="8"/>
      <c r="H2235" s="8">
        <v>0</v>
      </c>
      <c r="I2235" s="8"/>
      <c r="R2235" s="3">
        <v>8</v>
      </c>
      <c r="T2235" s="3"/>
      <c r="U2235" s="3">
        <v>8</v>
      </c>
      <c r="W2235" s="3">
        <f>U2235-R2235</f>
        <v>0</v>
      </c>
      <c r="X2235" s="3">
        <v>8</v>
      </c>
      <c r="Z2235" s="3">
        <f>X2235-U2235</f>
        <v>0</v>
      </c>
    </row>
    <row r="2236" spans="1:60">
      <c r="A2236" s="6">
        <v>1</v>
      </c>
      <c r="B2236" s="103" t="s">
        <v>742</v>
      </c>
      <c r="C2236" s="1" t="s">
        <v>52</v>
      </c>
      <c r="D2236" s="2">
        <v>3.9</v>
      </c>
      <c r="E2236" s="2"/>
      <c r="F2236" s="8">
        <v>9.39</v>
      </c>
      <c r="G2236" s="8"/>
      <c r="H2236" s="8">
        <v>9.39</v>
      </c>
      <c r="I2236" s="8">
        <f>H2236-D2236</f>
        <v>5.49</v>
      </c>
      <c r="J2236" s="1" t="s">
        <v>199</v>
      </c>
      <c r="K2236" s="3"/>
      <c r="L2236" s="1" t="s">
        <v>166</v>
      </c>
      <c r="M2236" s="3">
        <v>6.45</v>
      </c>
      <c r="O2236" s="3">
        <v>6.45</v>
      </c>
      <c r="Q2236" s="3">
        <f>O2236-H2236</f>
        <v>-2.9400000000000004</v>
      </c>
      <c r="R2236" s="3">
        <v>9.43</v>
      </c>
      <c r="T2236" s="2">
        <f>R2236-O2236</f>
        <v>2.9799999999999995</v>
      </c>
      <c r="U2236" s="3">
        <v>15.51</v>
      </c>
      <c r="W2236" s="3">
        <f>U2236-R2236</f>
        <v>6.08</v>
      </c>
      <c r="X2236" s="3">
        <v>16</v>
      </c>
      <c r="Z2236" s="3">
        <f>X2236-U2236</f>
        <v>0.49000000000000021</v>
      </c>
      <c r="AA2236" s="3">
        <v>16</v>
      </c>
      <c r="AC2236" s="3">
        <f>AA2236-X2236</f>
        <v>0</v>
      </c>
      <c r="AN2236" s="1" t="s">
        <v>285</v>
      </c>
    </row>
    <row r="2237" spans="1:60">
      <c r="A2237" s="6">
        <v>3</v>
      </c>
      <c r="B2237" s="103" t="s">
        <v>742</v>
      </c>
      <c r="C2237" s="1" t="s">
        <v>54</v>
      </c>
      <c r="D2237" s="2" t="s">
        <v>685</v>
      </c>
      <c r="E2237" s="2"/>
      <c r="F2237" s="8">
        <v>0</v>
      </c>
      <c r="G2237" s="8"/>
      <c r="H2237" s="8">
        <v>0</v>
      </c>
      <c r="I2237" s="8"/>
      <c r="AN2237" s="1" t="s">
        <v>285</v>
      </c>
    </row>
    <row r="2238" spans="1:60">
      <c r="A2238" s="6">
        <v>4</v>
      </c>
      <c r="B2238" s="103" t="s">
        <v>742</v>
      </c>
      <c r="C2238" s="1" t="s">
        <v>55</v>
      </c>
      <c r="D2238" s="2" t="s">
        <v>685</v>
      </c>
      <c r="E2238" s="2"/>
      <c r="F2238" s="8">
        <v>0</v>
      </c>
      <c r="G2238" s="8"/>
      <c r="H2238" s="8">
        <v>0</v>
      </c>
      <c r="I2238" s="8"/>
      <c r="AN2238" s="1" t="s">
        <v>285</v>
      </c>
    </row>
    <row r="2239" spans="1:60">
      <c r="A2239" s="6">
        <v>5</v>
      </c>
      <c r="B2239" s="103" t="s">
        <v>742</v>
      </c>
      <c r="C2239" s="1" t="s">
        <v>56</v>
      </c>
      <c r="D2239" s="2" t="s">
        <v>685</v>
      </c>
      <c r="E2239" s="2"/>
      <c r="F2239" s="8">
        <v>0</v>
      </c>
      <c r="G2239" s="8"/>
      <c r="H2239" s="8">
        <v>0</v>
      </c>
      <c r="I2239" s="8"/>
      <c r="AN2239" s="1" t="s">
        <v>285</v>
      </c>
    </row>
    <row r="2240" spans="1:60">
      <c r="A2240" s="6">
        <v>2</v>
      </c>
      <c r="B2240" s="103" t="s">
        <v>742</v>
      </c>
      <c r="C2240" s="1" t="s">
        <v>53</v>
      </c>
      <c r="D2240" s="2">
        <v>7.12</v>
      </c>
      <c r="E2240" s="2"/>
      <c r="F2240" s="8">
        <v>9.4499999999999993</v>
      </c>
      <c r="G2240" s="8"/>
      <c r="H2240" s="8">
        <v>9.4499999999999993</v>
      </c>
      <c r="I2240" s="10">
        <f>H2240-D2240</f>
        <v>2.3299999999999992</v>
      </c>
      <c r="J2240" s="1" t="s">
        <v>199</v>
      </c>
      <c r="K2240" s="3"/>
      <c r="M2240" s="3">
        <v>12.26</v>
      </c>
      <c r="O2240" s="3">
        <v>12.26</v>
      </c>
      <c r="Q2240" s="3">
        <f>O2240-H2240</f>
        <v>2.8100000000000005</v>
      </c>
      <c r="R2240" s="3">
        <v>9.43</v>
      </c>
      <c r="T2240" s="3">
        <f>R2240-O2240</f>
        <v>-2.83</v>
      </c>
      <c r="U2240" s="3">
        <v>10.9</v>
      </c>
      <c r="W2240" s="3">
        <f>U2240-R2240</f>
        <v>1.4700000000000006</v>
      </c>
      <c r="X2240" s="3">
        <v>10.66</v>
      </c>
      <c r="Z2240" s="3">
        <f>X2240-U2240</f>
        <v>-0.24000000000000021</v>
      </c>
      <c r="AA2240" s="3">
        <v>11</v>
      </c>
      <c r="AC2240" s="3">
        <f>AA2240-X2240</f>
        <v>0.33999999999999986</v>
      </c>
      <c r="AN2240" s="1" t="s">
        <v>285</v>
      </c>
    </row>
    <row r="2241" spans="1:61">
      <c r="B2241" s="103" t="s">
        <v>742</v>
      </c>
      <c r="C2241" s="1" t="s">
        <v>158</v>
      </c>
      <c r="D2241" s="2"/>
      <c r="E2241" s="2"/>
      <c r="F2241" s="8"/>
      <c r="G2241" s="8"/>
      <c r="H2241" s="8"/>
      <c r="K2241" s="3"/>
      <c r="W2241" s="3"/>
      <c r="X2241" s="3">
        <v>4.5</v>
      </c>
      <c r="AN2241" s="1" t="s">
        <v>285</v>
      </c>
      <c r="AZ2241" s="3">
        <v>2.2599999999999998</v>
      </c>
      <c r="BA2241" s="1" t="s">
        <v>852</v>
      </c>
      <c r="BD2241" s="3">
        <v>3.4</v>
      </c>
      <c r="BE2241" s="1" t="s">
        <v>852</v>
      </c>
      <c r="BG2241" s="3">
        <v>3.4</v>
      </c>
      <c r="BH2241" s="3">
        <v>3</v>
      </c>
      <c r="BI2241" s="1" t="s">
        <v>852</v>
      </c>
    </row>
    <row r="2242" spans="1:61">
      <c r="B2242" s="103" t="s">
        <v>742</v>
      </c>
      <c r="C2242" s="1" t="s">
        <v>597</v>
      </c>
      <c r="D2242" s="2"/>
      <c r="E2242" s="2"/>
      <c r="F2242" s="8"/>
      <c r="G2242" s="8"/>
      <c r="H2242" s="8"/>
      <c r="K2242" s="3"/>
      <c r="T2242" s="3"/>
      <c r="W2242" s="3"/>
      <c r="AC2242" s="3"/>
      <c r="AP2242" s="3">
        <v>5.46</v>
      </c>
      <c r="AS2242" s="3">
        <v>5.46</v>
      </c>
      <c r="AV2242" s="3">
        <v>12.03</v>
      </c>
      <c r="AZ2242" s="3">
        <v>11.6</v>
      </c>
      <c r="BA2242" s="1" t="s">
        <v>852</v>
      </c>
      <c r="BD2242" s="3">
        <v>11.6</v>
      </c>
      <c r="BE2242" s="1" t="s">
        <v>852</v>
      </c>
      <c r="BG2242" s="3">
        <v>11.6</v>
      </c>
      <c r="BH2242" s="3">
        <v>11.21</v>
      </c>
      <c r="BI2242" s="1" t="s">
        <v>852</v>
      </c>
    </row>
    <row r="2243" spans="1:61">
      <c r="B2243" s="103" t="s">
        <v>742</v>
      </c>
      <c r="C2243" s="1" t="s">
        <v>595</v>
      </c>
      <c r="D2243" s="2"/>
      <c r="E2243" s="2"/>
      <c r="F2243" s="8"/>
      <c r="G2243" s="8"/>
      <c r="H2243" s="8"/>
      <c r="K2243" s="3"/>
      <c r="U2243" s="3">
        <v>4.04</v>
      </c>
      <c r="X2243" s="3">
        <v>4.4000000000000004</v>
      </c>
      <c r="Z2243" s="3">
        <f>X2243-U2243</f>
        <v>0.36000000000000032</v>
      </c>
      <c r="AD2243" s="24">
        <v>2.2000000000000002</v>
      </c>
      <c r="AG2243" s="3">
        <v>4.0599999999999996</v>
      </c>
      <c r="AI2243" s="3">
        <f>AG2243-AD2243</f>
        <v>1.8599999999999994</v>
      </c>
      <c r="AJ2243" s="3">
        <v>4.0599999999999996</v>
      </c>
      <c r="AL2243" s="3">
        <f>AJ2243-AG2243</f>
        <v>0</v>
      </c>
      <c r="AN2243" s="1" t="s">
        <v>285</v>
      </c>
      <c r="AP2243" s="3">
        <v>4.1500000000000004</v>
      </c>
      <c r="AS2243" s="3">
        <v>4.1500000000000004</v>
      </c>
      <c r="AV2243" s="3">
        <v>4.1500000000000004</v>
      </c>
      <c r="AZ2243" s="3">
        <v>5</v>
      </c>
      <c r="BA2243" s="1" t="s">
        <v>852</v>
      </c>
      <c r="BD2243" s="3">
        <v>2.6</v>
      </c>
      <c r="BE2243" s="1" t="s">
        <v>852</v>
      </c>
      <c r="BG2243" s="3">
        <v>2.6</v>
      </c>
      <c r="BH2243" s="3">
        <v>4.5</v>
      </c>
      <c r="BI2243" s="1" t="s">
        <v>852</v>
      </c>
    </row>
    <row r="2244" spans="1:61">
      <c r="B2244" s="103" t="s">
        <v>742</v>
      </c>
      <c r="C2244" s="1" t="s">
        <v>1030</v>
      </c>
      <c r="D2244" s="2"/>
      <c r="E2244" s="2"/>
      <c r="F2244" s="8"/>
      <c r="G2244" s="8"/>
      <c r="H2244" s="8"/>
      <c r="K2244" s="3"/>
      <c r="AI2244" s="3"/>
      <c r="AL2244" s="3"/>
      <c r="BH2244" s="3">
        <v>3.4848484848484849</v>
      </c>
      <c r="BI2244" s="1" t="s">
        <v>852</v>
      </c>
    </row>
    <row r="2245" spans="1:61">
      <c r="A2245" s="6">
        <v>12</v>
      </c>
      <c r="B2245" s="103" t="s">
        <v>742</v>
      </c>
      <c r="C2245" s="1" t="s">
        <v>594</v>
      </c>
      <c r="D2245" s="2">
        <v>2.2599999999999998</v>
      </c>
      <c r="E2245" s="2"/>
      <c r="F2245" s="8">
        <v>2.81</v>
      </c>
      <c r="G2245" s="8"/>
      <c r="H2245" s="8">
        <v>2.81</v>
      </c>
      <c r="I2245" s="9">
        <f>H2245-D2245</f>
        <v>0.55000000000000027</v>
      </c>
      <c r="J2245" s="1" t="s">
        <v>199</v>
      </c>
      <c r="K2245" s="3"/>
      <c r="M2245" s="3">
        <v>2.58</v>
      </c>
      <c r="O2245" s="3">
        <v>2.58</v>
      </c>
      <c r="Q2245" s="3">
        <f>O2245-H2245</f>
        <v>-0.22999999999999998</v>
      </c>
      <c r="R2245" s="3">
        <v>2</v>
      </c>
      <c r="T2245" s="3">
        <f>R2245-O2245</f>
        <v>-0.58000000000000007</v>
      </c>
      <c r="U2245" s="3">
        <v>3.89</v>
      </c>
      <c r="W2245" s="3">
        <f>U2245-R2245</f>
        <v>1.8900000000000001</v>
      </c>
      <c r="X2245" s="3">
        <v>5.66</v>
      </c>
      <c r="Z2245" s="3">
        <f>X2245-U2245</f>
        <v>1.77</v>
      </c>
      <c r="AA2245" s="3">
        <v>5.0999999999999996</v>
      </c>
      <c r="AC2245" s="3">
        <f>AA2245-X2245</f>
        <v>-0.5600000000000005</v>
      </c>
      <c r="AD2245" s="24">
        <v>5.0999999999999996</v>
      </c>
      <c r="AG2245" s="3">
        <v>3.43</v>
      </c>
      <c r="AI2245" s="3">
        <f>AG2245-AD2245</f>
        <v>-1.6699999999999995</v>
      </c>
      <c r="AJ2245" s="3">
        <v>3.43</v>
      </c>
      <c r="AL2245" s="3">
        <f>AJ2245-AG2245</f>
        <v>0</v>
      </c>
      <c r="AN2245" s="1" t="s">
        <v>285</v>
      </c>
      <c r="AP2245" s="3">
        <v>1.45</v>
      </c>
      <c r="AS2245" s="3">
        <v>1.45</v>
      </c>
      <c r="AV2245" s="3">
        <v>3.75</v>
      </c>
      <c r="AZ2245" s="3">
        <v>2.9</v>
      </c>
      <c r="BA2245" s="1" t="s">
        <v>852</v>
      </c>
      <c r="BD2245" s="3">
        <v>2.8</v>
      </c>
      <c r="BE2245" s="1" t="s">
        <v>852</v>
      </c>
      <c r="BG2245" s="3">
        <v>2.8</v>
      </c>
      <c r="BH2245" s="3">
        <v>4.0999999999999996</v>
      </c>
      <c r="BI2245" s="1" t="s">
        <v>852</v>
      </c>
    </row>
    <row r="2246" spans="1:61">
      <c r="B2246" s="103" t="s">
        <v>742</v>
      </c>
      <c r="C2246" s="1" t="s">
        <v>643</v>
      </c>
      <c r="D2246" s="2"/>
      <c r="E2246" s="2"/>
      <c r="F2246" s="8"/>
      <c r="G2246" s="8"/>
      <c r="H2246" s="8"/>
      <c r="K2246" s="3"/>
      <c r="T2246" s="3"/>
      <c r="W2246" s="3"/>
      <c r="AC2246" s="3"/>
      <c r="AP2246" s="3">
        <v>17.27</v>
      </c>
      <c r="AS2246" s="3">
        <v>17.27</v>
      </c>
      <c r="AV2246" s="3">
        <v>17.27</v>
      </c>
      <c r="AZ2246" s="3">
        <v>12.5</v>
      </c>
      <c r="BA2246" s="1" t="s">
        <v>852</v>
      </c>
      <c r="BD2246" s="3">
        <v>12.5</v>
      </c>
      <c r="BE2246" s="1" t="s">
        <v>852</v>
      </c>
    </row>
    <row r="2247" spans="1:61">
      <c r="B2247" s="103" t="s">
        <v>742</v>
      </c>
      <c r="C2247" s="1" t="s">
        <v>372</v>
      </c>
      <c r="D2247" s="2"/>
      <c r="E2247" s="2"/>
      <c r="F2247" s="8"/>
      <c r="G2247" s="8"/>
      <c r="H2247" s="8"/>
      <c r="K2247" s="3"/>
      <c r="T2247" s="3"/>
      <c r="W2247" s="3"/>
      <c r="AC2247" s="3"/>
      <c r="AZ2247" s="3">
        <v>4.2</v>
      </c>
      <c r="BA2247" s="1" t="s">
        <v>852</v>
      </c>
      <c r="BD2247" s="3">
        <v>4.2</v>
      </c>
      <c r="BE2247" s="1" t="s">
        <v>852</v>
      </c>
      <c r="BG2247" s="3">
        <v>4.2</v>
      </c>
      <c r="BH2247" s="3">
        <v>10.6</v>
      </c>
      <c r="BI2247" s="1" t="s">
        <v>852</v>
      </c>
    </row>
    <row r="2248" spans="1:61">
      <c r="A2248" s="6">
        <v>14</v>
      </c>
      <c r="B2248" s="103" t="s">
        <v>742</v>
      </c>
      <c r="C2248" s="1" t="s">
        <v>58</v>
      </c>
      <c r="D2248" s="2">
        <v>8.23</v>
      </c>
      <c r="E2248" s="2"/>
      <c r="F2248" s="8">
        <v>8.9600000000000009</v>
      </c>
      <c r="G2248" s="8"/>
      <c r="H2248" s="8">
        <v>8.9600000000000009</v>
      </c>
      <c r="I2248" s="9">
        <f>H2248-D2248</f>
        <v>0.73000000000000043</v>
      </c>
      <c r="J2248" s="1" t="s">
        <v>199</v>
      </c>
      <c r="K2248" s="3"/>
      <c r="M2248" s="3">
        <v>5.48</v>
      </c>
      <c r="O2248" s="3">
        <v>5.48</v>
      </c>
      <c r="Q2248" s="3">
        <f>O2248-H2248</f>
        <v>-3.4800000000000004</v>
      </c>
      <c r="R2248" s="3">
        <v>9.86</v>
      </c>
      <c r="T2248" s="3">
        <f>R2248-O2248</f>
        <v>4.379999999999999</v>
      </c>
      <c r="U2248" s="3">
        <v>9.34</v>
      </c>
      <c r="W2248" s="3">
        <f>U2248-R2248</f>
        <v>-0.51999999999999957</v>
      </c>
      <c r="X2248" s="3">
        <v>13</v>
      </c>
      <c r="Z2248" s="3">
        <f>X2248-U2248</f>
        <v>3.66</v>
      </c>
      <c r="AA2248" s="3">
        <v>13.5</v>
      </c>
      <c r="AC2248" s="3">
        <f>AA2248-X2248</f>
        <v>0.5</v>
      </c>
      <c r="AD2248" s="24">
        <v>13.5</v>
      </c>
      <c r="AG2248" s="3">
        <v>5</v>
      </c>
      <c r="AI2248" s="3">
        <f>AG2248-AD2248</f>
        <v>-8.5</v>
      </c>
      <c r="AJ2248" s="3">
        <v>5</v>
      </c>
      <c r="AL2248" s="3">
        <f>AJ2248-AG2248</f>
        <v>0</v>
      </c>
      <c r="AN2248" s="1" t="s">
        <v>285</v>
      </c>
      <c r="AP2248" s="3">
        <v>2.8</v>
      </c>
      <c r="AS2248" s="3">
        <v>2.8</v>
      </c>
      <c r="AV2248" s="3">
        <v>5.63</v>
      </c>
      <c r="AZ2248" s="3">
        <v>5.16</v>
      </c>
      <c r="BA2248" s="1" t="s">
        <v>852</v>
      </c>
      <c r="BD2248" s="3">
        <v>3.4</v>
      </c>
      <c r="BE2248" s="1" t="s">
        <v>852</v>
      </c>
      <c r="BG2248" s="3">
        <v>3.4</v>
      </c>
      <c r="BH2248" s="3">
        <v>5.15</v>
      </c>
      <c r="BI2248" s="1" t="s">
        <v>852</v>
      </c>
    </row>
    <row r="2249" spans="1:61">
      <c r="B2249" s="103" t="s">
        <v>742</v>
      </c>
      <c r="C2249" s="1" t="s">
        <v>856</v>
      </c>
      <c r="D2249" s="2"/>
      <c r="E2249" s="2"/>
      <c r="F2249" s="8"/>
      <c r="G2249" s="8"/>
      <c r="H2249" s="8"/>
      <c r="K2249" s="3"/>
      <c r="T2249" s="3"/>
      <c r="W2249" s="3"/>
      <c r="AC2249" s="3"/>
      <c r="AZ2249" s="3">
        <v>4.26</v>
      </c>
      <c r="BA2249" s="1" t="s">
        <v>852</v>
      </c>
      <c r="BD2249" s="3">
        <v>4.26</v>
      </c>
      <c r="BE2249" s="1" t="s">
        <v>852</v>
      </c>
    </row>
    <row r="2250" spans="1:61">
      <c r="B2250" s="103" t="s">
        <v>742</v>
      </c>
      <c r="C2250" s="1" t="s">
        <v>868</v>
      </c>
      <c r="D2250" s="2"/>
      <c r="E2250" s="2"/>
      <c r="F2250" s="8"/>
      <c r="G2250" s="8"/>
      <c r="H2250" s="8"/>
      <c r="K2250" s="3"/>
      <c r="T2250" s="3"/>
      <c r="W2250" s="3"/>
      <c r="AC2250" s="3"/>
      <c r="AZ2250" s="3">
        <v>4.3</v>
      </c>
      <c r="BA2250" s="1" t="s">
        <v>852</v>
      </c>
      <c r="BD2250" s="3">
        <v>4.3</v>
      </c>
      <c r="BE2250" s="1" t="s">
        <v>852</v>
      </c>
      <c r="BG2250" s="3">
        <v>4.3</v>
      </c>
      <c r="BH2250" s="3">
        <v>6.06</v>
      </c>
      <c r="BI2250" s="1" t="s">
        <v>852</v>
      </c>
    </row>
    <row r="2251" spans="1:61">
      <c r="B2251" s="103" t="s">
        <v>742</v>
      </c>
      <c r="C2251" s="1" t="s">
        <v>607</v>
      </c>
      <c r="D2251" s="2"/>
      <c r="E2251" s="2"/>
      <c r="F2251" s="8"/>
      <c r="G2251" s="8"/>
      <c r="H2251" s="8"/>
      <c r="K2251" s="3"/>
      <c r="T2251" s="3"/>
      <c r="W2251" s="3"/>
      <c r="AC2251" s="3"/>
      <c r="AZ2251" s="3">
        <v>11.66</v>
      </c>
      <c r="BA2251" s="1" t="s">
        <v>852</v>
      </c>
      <c r="BD2251" s="3">
        <v>11.66</v>
      </c>
      <c r="BE2251" s="1" t="s">
        <v>852</v>
      </c>
    </row>
    <row r="2252" spans="1:61">
      <c r="B2252" s="103" t="s">
        <v>742</v>
      </c>
      <c r="C2252" s="1" t="s">
        <v>854</v>
      </c>
      <c r="D2252" s="2"/>
      <c r="E2252" s="2"/>
      <c r="F2252" s="8"/>
      <c r="G2252" s="8"/>
      <c r="H2252" s="8"/>
      <c r="K2252" s="3"/>
      <c r="T2252" s="3"/>
      <c r="W2252" s="3"/>
      <c r="AC2252" s="3"/>
      <c r="AZ2252" s="3">
        <v>30</v>
      </c>
      <c r="BA2252" s="1" t="s">
        <v>852</v>
      </c>
      <c r="BD2252" s="3">
        <v>30</v>
      </c>
      <c r="BE2252" s="1" t="s">
        <v>852</v>
      </c>
      <c r="BG2252" s="3">
        <v>30</v>
      </c>
      <c r="BH2252" s="3">
        <v>30</v>
      </c>
      <c r="BI2252" s="1" t="s">
        <v>852</v>
      </c>
    </row>
    <row r="2253" spans="1:61">
      <c r="B2253" s="103" t="s">
        <v>742</v>
      </c>
      <c r="C2253" s="1" t="s">
        <v>291</v>
      </c>
      <c r="D2253" s="2"/>
      <c r="E2253" s="2"/>
      <c r="F2253" s="8"/>
      <c r="G2253" s="8"/>
      <c r="H2253" s="8"/>
      <c r="K2253" s="3"/>
      <c r="T2253" s="3"/>
      <c r="W2253" s="3"/>
      <c r="AC2253" s="3"/>
      <c r="AZ2253" s="3">
        <v>7.26</v>
      </c>
      <c r="BA2253" s="1" t="s">
        <v>852</v>
      </c>
      <c r="BD2253" s="3">
        <v>7.26</v>
      </c>
      <c r="BE2253" s="1" t="s">
        <v>852</v>
      </c>
    </row>
    <row r="2254" spans="1:61">
      <c r="B2254" s="103" t="s">
        <v>742</v>
      </c>
      <c r="C2254" s="1" t="s">
        <v>857</v>
      </c>
      <c r="D2254" s="2"/>
      <c r="E2254" s="2"/>
      <c r="F2254" s="8"/>
      <c r="G2254" s="8"/>
      <c r="H2254" s="8"/>
      <c r="K2254" s="3"/>
      <c r="T2254" s="3"/>
      <c r="W2254" s="3"/>
      <c r="AC2254" s="3"/>
      <c r="AZ2254" s="3">
        <v>5</v>
      </c>
      <c r="BA2254" s="1" t="s">
        <v>852</v>
      </c>
      <c r="BD2254" s="3">
        <v>2.2999999999999998</v>
      </c>
      <c r="BE2254" s="1" t="s">
        <v>852</v>
      </c>
      <c r="BG2254" s="3">
        <v>2.2999999999999998</v>
      </c>
      <c r="BH2254" s="3">
        <v>4.8499999999999996</v>
      </c>
      <c r="BI2254" s="1" t="s">
        <v>852</v>
      </c>
    </row>
    <row r="2255" spans="1:61">
      <c r="B2255" s="103" t="s">
        <v>742</v>
      </c>
      <c r="C2255" s="1" t="s">
        <v>386</v>
      </c>
      <c r="D2255" s="2"/>
      <c r="E2255" s="2"/>
      <c r="F2255" s="8"/>
      <c r="G2255" s="8"/>
      <c r="H2255" s="8"/>
      <c r="K2255" s="3"/>
      <c r="T2255" s="3"/>
      <c r="W2255" s="3"/>
      <c r="AC2255" s="3"/>
      <c r="AZ2255" s="3">
        <v>7</v>
      </c>
      <c r="BA2255" s="1" t="s">
        <v>852</v>
      </c>
      <c r="BD2255" s="3">
        <v>7</v>
      </c>
      <c r="BE2255" s="1" t="s">
        <v>852</v>
      </c>
    </row>
    <row r="2256" spans="1:61">
      <c r="B2256" s="103" t="s">
        <v>742</v>
      </c>
      <c r="C2256" s="1" t="s">
        <v>908</v>
      </c>
      <c r="D2256" s="2"/>
      <c r="E2256" s="2"/>
      <c r="F2256" s="8"/>
      <c r="G2256" s="8"/>
      <c r="H2256" s="8"/>
      <c r="K2256" s="3"/>
      <c r="T2256" s="3"/>
      <c r="W2256" s="3"/>
      <c r="AC2256" s="3"/>
      <c r="BD2256" s="3">
        <v>300</v>
      </c>
      <c r="BE2256" s="1" t="s">
        <v>852</v>
      </c>
    </row>
    <row r="2257" spans="1:61">
      <c r="B2257" s="103" t="s">
        <v>742</v>
      </c>
      <c r="C2257" s="1" t="s">
        <v>952</v>
      </c>
      <c r="D2257" s="2"/>
      <c r="E2257" s="2"/>
      <c r="F2257" s="8"/>
      <c r="G2257" s="8"/>
      <c r="H2257" s="8"/>
      <c r="K2257" s="3"/>
      <c r="T2257" s="3"/>
      <c r="W2257" s="3"/>
      <c r="AC2257" s="3"/>
      <c r="BD2257" s="3">
        <v>54</v>
      </c>
      <c r="BE2257" s="1" t="s">
        <v>852</v>
      </c>
    </row>
    <row r="2258" spans="1:61">
      <c r="B2258" s="103" t="s">
        <v>742</v>
      </c>
      <c r="C2258" s="1" t="s">
        <v>951</v>
      </c>
      <c r="D2258" s="2"/>
      <c r="E2258" s="2"/>
      <c r="F2258" s="8"/>
      <c r="G2258" s="8"/>
      <c r="H2258" s="8"/>
      <c r="K2258" s="3"/>
      <c r="T2258" s="3"/>
      <c r="W2258" s="3"/>
      <c r="AC2258" s="3"/>
      <c r="BD2258" s="3">
        <v>54</v>
      </c>
      <c r="BE2258" s="1" t="s">
        <v>852</v>
      </c>
    </row>
    <row r="2259" spans="1:61">
      <c r="B2259" s="103" t="s">
        <v>742</v>
      </c>
      <c r="C2259" s="1" t="s">
        <v>289</v>
      </c>
      <c r="D2259" s="2"/>
      <c r="E2259" s="2"/>
      <c r="F2259" s="8"/>
      <c r="G2259" s="8"/>
      <c r="H2259" s="8"/>
      <c r="K2259" s="3"/>
      <c r="R2259" s="3">
        <v>19</v>
      </c>
      <c r="T2259" s="3"/>
      <c r="X2259" s="3">
        <v>26</v>
      </c>
      <c r="AA2259" s="3">
        <v>26</v>
      </c>
      <c r="AC2259" s="3">
        <f>AA2259-X2259</f>
        <v>0</v>
      </c>
      <c r="AN2259" s="1" t="s">
        <v>285</v>
      </c>
      <c r="AZ2259" s="3">
        <v>8.3000000000000007</v>
      </c>
      <c r="BA2259" s="1" t="s">
        <v>852</v>
      </c>
      <c r="BD2259" s="3">
        <v>4</v>
      </c>
      <c r="BE2259" s="1" t="s">
        <v>852</v>
      </c>
      <c r="BG2259" s="3">
        <v>4</v>
      </c>
      <c r="BH2259" s="3">
        <v>10.606060606060606</v>
      </c>
      <c r="BI2259" s="1" t="s">
        <v>852</v>
      </c>
    </row>
    <row r="2260" spans="1:61">
      <c r="B2260" s="103" t="s">
        <v>742</v>
      </c>
      <c r="C2260" s="1" t="s">
        <v>74</v>
      </c>
      <c r="D2260" s="2"/>
      <c r="E2260" s="2"/>
      <c r="F2260" s="8"/>
      <c r="G2260" s="8"/>
      <c r="H2260" s="8"/>
      <c r="K2260" s="3"/>
      <c r="T2260" s="3"/>
      <c r="AC2260" s="3"/>
      <c r="BH2260" s="3">
        <v>16.670000000000002</v>
      </c>
      <c r="BI2260" s="1" t="s">
        <v>852</v>
      </c>
    </row>
    <row r="2261" spans="1:61">
      <c r="B2261" s="103" t="s">
        <v>742</v>
      </c>
      <c r="C2261" s="1" t="s">
        <v>290</v>
      </c>
      <c r="D2261" s="2"/>
      <c r="E2261" s="2"/>
      <c r="F2261" s="8"/>
      <c r="G2261" s="8"/>
      <c r="H2261" s="8"/>
      <c r="K2261" s="3"/>
      <c r="R2261" s="3">
        <v>25</v>
      </c>
      <c r="U2261" s="3">
        <v>3.11</v>
      </c>
      <c r="W2261" s="3">
        <f>U2261-R2261</f>
        <v>-21.89</v>
      </c>
      <c r="X2261" s="3">
        <v>26</v>
      </c>
      <c r="Z2261" s="3">
        <f>X2261-U2261</f>
        <v>22.89</v>
      </c>
      <c r="AA2261" s="3">
        <v>26</v>
      </c>
      <c r="AC2261" s="3">
        <f>AA2261-X2261</f>
        <v>0</v>
      </c>
      <c r="AN2261" s="1" t="s">
        <v>285</v>
      </c>
    </row>
    <row r="2262" spans="1:61">
      <c r="B2262" s="103" t="s">
        <v>742</v>
      </c>
      <c r="C2262" s="1" t="s">
        <v>64</v>
      </c>
      <c r="D2262" s="2"/>
      <c r="E2262" s="2"/>
      <c r="F2262" s="8"/>
      <c r="G2262" s="8"/>
      <c r="H2262" s="8"/>
      <c r="K2262" s="3"/>
      <c r="T2262" s="3"/>
      <c r="U2262" s="3">
        <v>24.02</v>
      </c>
      <c r="X2262" s="3">
        <v>15</v>
      </c>
      <c r="Z2262" s="3">
        <f>X2262-U2262</f>
        <v>-9.02</v>
      </c>
      <c r="AN2262" s="1" t="s">
        <v>285</v>
      </c>
      <c r="AP2262" s="3">
        <v>3.45</v>
      </c>
      <c r="AS2262" s="3">
        <v>3.45</v>
      </c>
      <c r="AV2262" s="3">
        <v>7.5</v>
      </c>
      <c r="AZ2262" s="3">
        <v>4.9000000000000004</v>
      </c>
      <c r="BA2262" s="1" t="s">
        <v>852</v>
      </c>
      <c r="BD2262" s="3">
        <v>5.7</v>
      </c>
      <c r="BE2262" s="1" t="s">
        <v>852</v>
      </c>
      <c r="BG2262" s="3">
        <v>5.7</v>
      </c>
      <c r="BH2262" s="3">
        <v>9.09</v>
      </c>
      <c r="BI2262" s="1" t="s">
        <v>852</v>
      </c>
    </row>
    <row r="2263" spans="1:61">
      <c r="B2263" s="103" t="s">
        <v>742</v>
      </c>
      <c r="C2263" s="1" t="s">
        <v>286</v>
      </c>
      <c r="D2263" s="2"/>
      <c r="E2263" s="2"/>
      <c r="F2263" s="8"/>
      <c r="G2263" s="8"/>
      <c r="H2263" s="8"/>
      <c r="K2263" s="3"/>
      <c r="U2263" s="3">
        <v>27.63</v>
      </c>
      <c r="AA2263" s="3">
        <v>19.5</v>
      </c>
      <c r="AD2263" s="24">
        <v>19.5</v>
      </c>
      <c r="AG2263" s="3">
        <v>7.75</v>
      </c>
      <c r="AI2263" s="3">
        <f>AG2263-AD2263</f>
        <v>-11.75</v>
      </c>
      <c r="AJ2263" s="3">
        <v>7.75</v>
      </c>
      <c r="AL2263" s="3">
        <f>AJ2263-AG2263</f>
        <v>0</v>
      </c>
      <c r="AN2263" s="1" t="s">
        <v>285</v>
      </c>
      <c r="AP2263" s="3">
        <v>3.2</v>
      </c>
      <c r="AS2263" s="3">
        <v>3.2</v>
      </c>
      <c r="AV2263" s="3">
        <v>6.25</v>
      </c>
      <c r="AZ2263" s="3">
        <v>4.7300000000000004</v>
      </c>
      <c r="BA2263" s="1" t="s">
        <v>852</v>
      </c>
      <c r="BD2263" s="3">
        <v>5</v>
      </c>
      <c r="BE2263" s="1" t="s">
        <v>852</v>
      </c>
      <c r="BG2263" s="3">
        <v>5</v>
      </c>
      <c r="BH2263" s="3">
        <v>9.09</v>
      </c>
      <c r="BI2263" s="1" t="s">
        <v>852</v>
      </c>
    </row>
    <row r="2264" spans="1:61">
      <c r="B2264" s="103" t="s">
        <v>742</v>
      </c>
      <c r="C2264" s="1" t="s">
        <v>288</v>
      </c>
      <c r="D2264" s="2"/>
      <c r="E2264" s="2"/>
      <c r="F2264" s="8"/>
      <c r="G2264" s="8"/>
      <c r="H2264" s="8"/>
      <c r="K2264" s="3"/>
      <c r="R2264" s="3">
        <v>12.9</v>
      </c>
      <c r="T2264" s="3"/>
      <c r="U2264" s="3">
        <v>24.91</v>
      </c>
      <c r="W2264" s="3">
        <f>U2264-R2264</f>
        <v>12.01</v>
      </c>
      <c r="X2264" s="3">
        <v>20</v>
      </c>
      <c r="Z2264" s="3">
        <f>X2264-U2264</f>
        <v>-4.91</v>
      </c>
      <c r="AA2264" s="3">
        <v>19.5</v>
      </c>
      <c r="AC2264" s="3">
        <f>AA2264-X2264</f>
        <v>-0.5</v>
      </c>
      <c r="AD2264" s="24">
        <v>19.5</v>
      </c>
      <c r="AG2264" s="3">
        <v>7.5</v>
      </c>
      <c r="AI2264" s="3">
        <f>AG2264-AD2264</f>
        <v>-12</v>
      </c>
      <c r="AJ2264" s="3">
        <v>7.5</v>
      </c>
      <c r="AL2264" s="3">
        <f>AJ2264-AG2264</f>
        <v>0</v>
      </c>
      <c r="AN2264" s="1" t="s">
        <v>285</v>
      </c>
      <c r="AP2264" s="3">
        <v>3</v>
      </c>
      <c r="AS2264" s="3">
        <v>3</v>
      </c>
      <c r="AV2264" s="3">
        <v>5.94</v>
      </c>
      <c r="AZ2264" s="3">
        <v>6.5</v>
      </c>
      <c r="BA2264" s="1" t="s">
        <v>852</v>
      </c>
      <c r="BD2264" s="3">
        <v>4.4000000000000004</v>
      </c>
      <c r="BE2264" s="1" t="s">
        <v>852</v>
      </c>
      <c r="BG2264" s="3">
        <v>4.4000000000000004</v>
      </c>
      <c r="BH2264" s="3">
        <v>8.48</v>
      </c>
      <c r="BI2264" s="1" t="s">
        <v>852</v>
      </c>
    </row>
    <row r="2265" spans="1:61">
      <c r="A2265" s="6">
        <v>11</v>
      </c>
      <c r="B2265" s="103" t="s">
        <v>742</v>
      </c>
      <c r="C2265" s="1" t="s">
        <v>57</v>
      </c>
      <c r="D2265" s="2" t="s">
        <v>685</v>
      </c>
      <c r="E2265" s="2"/>
      <c r="F2265" s="8">
        <v>0</v>
      </c>
      <c r="G2265" s="8"/>
      <c r="H2265" s="8">
        <v>0</v>
      </c>
      <c r="I2265" s="8"/>
      <c r="M2265" s="3">
        <v>16.13</v>
      </c>
      <c r="O2265" s="3">
        <v>16.13</v>
      </c>
      <c r="Q2265" s="3"/>
      <c r="AN2265" s="1" t="s">
        <v>285</v>
      </c>
    </row>
    <row r="2266" spans="1:61">
      <c r="B2266" s="103" t="s">
        <v>742</v>
      </c>
      <c r="C2266" s="1" t="s">
        <v>287</v>
      </c>
      <c r="D2266" s="2"/>
      <c r="E2266" s="2"/>
      <c r="F2266" s="8"/>
      <c r="G2266" s="8"/>
      <c r="H2266" s="8"/>
      <c r="K2266" s="3"/>
      <c r="T2266" s="3"/>
      <c r="W2266" s="3"/>
      <c r="X2266" s="3">
        <v>16.600000000000001</v>
      </c>
      <c r="AA2266" s="3">
        <v>16.600000000000001</v>
      </c>
      <c r="AC2266" s="3">
        <f>AA2266-X2266</f>
        <v>0</v>
      </c>
      <c r="AD2266" s="24">
        <v>16.600000000000001</v>
      </c>
      <c r="AN2266" s="1" t="s">
        <v>285</v>
      </c>
      <c r="AP2266" s="3">
        <v>3.7</v>
      </c>
      <c r="AS2266" s="3">
        <v>3.7</v>
      </c>
      <c r="AV2266" s="3">
        <v>6.88</v>
      </c>
      <c r="AZ2266" s="3">
        <v>5</v>
      </c>
      <c r="BA2266" s="1" t="s">
        <v>852</v>
      </c>
      <c r="BD2266" s="3">
        <v>5.7</v>
      </c>
      <c r="BE2266" s="1" t="s">
        <v>852</v>
      </c>
      <c r="BG2266" s="3">
        <v>5.7</v>
      </c>
      <c r="BH2266" s="3">
        <v>9.09</v>
      </c>
      <c r="BI2266" s="1" t="s">
        <v>852</v>
      </c>
    </row>
    <row r="2267" spans="1:61" ht="9.6" customHeight="1">
      <c r="B2267" s="103" t="s">
        <v>742</v>
      </c>
      <c r="C2267" s="1" t="s">
        <v>872</v>
      </c>
      <c r="D2267" s="2"/>
      <c r="E2267" s="2"/>
      <c r="F2267" s="8"/>
      <c r="G2267" s="8"/>
      <c r="H2267" s="8"/>
      <c r="K2267" s="3"/>
      <c r="T2267" s="3"/>
      <c r="W2267" s="3"/>
      <c r="AC2267" s="3"/>
      <c r="AZ2267" s="3">
        <v>316</v>
      </c>
      <c r="BA2267" s="1" t="s">
        <v>852</v>
      </c>
      <c r="BD2267" s="3">
        <v>316</v>
      </c>
      <c r="BE2267" s="1" t="s">
        <v>852</v>
      </c>
      <c r="BG2267" s="3">
        <v>316</v>
      </c>
      <c r="BH2267" s="3">
        <v>303.030303030303</v>
      </c>
      <c r="BI2267" s="1" t="s">
        <v>852</v>
      </c>
    </row>
    <row r="2268" spans="1:61">
      <c r="A2268" s="6">
        <v>1</v>
      </c>
      <c r="B2268" s="103" t="s">
        <v>519</v>
      </c>
      <c r="C2268" s="1" t="s">
        <v>52</v>
      </c>
      <c r="D2268" s="2"/>
      <c r="E2268" s="2"/>
      <c r="F2268" s="8"/>
      <c r="G2268" s="8"/>
      <c r="H2268" s="8"/>
      <c r="K2268" s="3"/>
      <c r="T2268" s="3"/>
      <c r="V2268" s="103"/>
      <c r="W2268" s="3"/>
    </row>
    <row r="2269" spans="1:61">
      <c r="A2269" s="6">
        <v>3</v>
      </c>
      <c r="B2269" s="103" t="s">
        <v>519</v>
      </c>
      <c r="C2269" s="1" t="s">
        <v>54</v>
      </c>
      <c r="D2269" s="2"/>
      <c r="E2269" s="2"/>
      <c r="F2269" s="8"/>
      <c r="G2269" s="8"/>
      <c r="H2269" s="8"/>
      <c r="K2269" s="3"/>
      <c r="T2269" s="3"/>
      <c r="V2269" s="103"/>
      <c r="W2269" s="3"/>
    </row>
    <row r="2270" spans="1:61">
      <c r="A2270" s="6">
        <v>4</v>
      </c>
      <c r="B2270" s="103" t="s">
        <v>519</v>
      </c>
      <c r="C2270" s="1" t="s">
        <v>55</v>
      </c>
      <c r="D2270" s="2"/>
      <c r="E2270" s="2"/>
      <c r="F2270" s="8"/>
      <c r="G2270" s="8"/>
      <c r="H2270" s="8"/>
      <c r="K2270" s="3"/>
      <c r="T2270" s="3"/>
      <c r="V2270" s="103"/>
      <c r="W2270" s="3"/>
    </row>
    <row r="2271" spans="1:61">
      <c r="A2271" s="6">
        <v>5</v>
      </c>
      <c r="B2271" s="103" t="s">
        <v>519</v>
      </c>
      <c r="C2271" s="1" t="s">
        <v>56</v>
      </c>
      <c r="D2271" s="2"/>
      <c r="E2271" s="2"/>
      <c r="F2271" s="8"/>
      <c r="G2271" s="8"/>
      <c r="H2271" s="8"/>
      <c r="K2271" s="3"/>
      <c r="T2271" s="3"/>
      <c r="V2271" s="103"/>
      <c r="W2271" s="3"/>
    </row>
    <row r="2272" spans="1:61">
      <c r="A2272" s="6">
        <v>2</v>
      </c>
      <c r="B2272" s="103" t="s">
        <v>519</v>
      </c>
      <c r="C2272" s="1" t="s">
        <v>53</v>
      </c>
      <c r="D2272" s="2"/>
      <c r="E2272" s="2"/>
      <c r="F2272" s="8"/>
      <c r="G2272" s="8"/>
      <c r="H2272" s="8"/>
      <c r="K2272" s="3"/>
      <c r="T2272" s="3"/>
      <c r="V2272" s="103"/>
      <c r="W2272" s="3"/>
      <c r="AA2272" s="3">
        <v>165</v>
      </c>
    </row>
    <row r="2273" spans="1:61">
      <c r="A2273" s="6">
        <v>12</v>
      </c>
      <c r="B2273" s="103" t="s">
        <v>519</v>
      </c>
      <c r="C2273" s="1" t="s">
        <v>594</v>
      </c>
      <c r="D2273" s="2"/>
      <c r="E2273" s="2"/>
      <c r="F2273" s="8"/>
      <c r="G2273" s="8"/>
      <c r="H2273" s="8"/>
      <c r="K2273" s="3"/>
      <c r="T2273" s="3"/>
      <c r="V2273" s="103"/>
      <c r="W2273" s="3"/>
      <c r="X2273" s="3">
        <f>25/13.6</f>
        <v>1.8382352941176472</v>
      </c>
      <c r="Y2273" s="1" t="s">
        <v>277</v>
      </c>
      <c r="AA2273" s="3">
        <v>85</v>
      </c>
      <c r="AB2273" s="1" t="s">
        <v>465</v>
      </c>
      <c r="AC2273" s="3">
        <f>AA2273-X2273</f>
        <v>83.161764705882348</v>
      </c>
      <c r="AD2273" s="24">
        <v>105</v>
      </c>
      <c r="AE2273" s="1" t="s">
        <v>169</v>
      </c>
      <c r="AG2273" s="3">
        <v>7.7</v>
      </c>
      <c r="AI2273" s="3">
        <f>AG2273-AD2273</f>
        <v>-97.3</v>
      </c>
      <c r="AJ2273" s="3">
        <v>7.7</v>
      </c>
      <c r="AL2273" s="3">
        <f>AJ2273-AG2273</f>
        <v>0</v>
      </c>
      <c r="AM2273" s="3">
        <v>7.7</v>
      </c>
      <c r="AO2273" s="3">
        <f>AM2273-AJ2273</f>
        <v>0</v>
      </c>
      <c r="AP2273" s="3">
        <v>7.7</v>
      </c>
      <c r="AS2273" s="3">
        <v>8.8000000000000007</v>
      </c>
      <c r="AV2273" s="3">
        <v>7.72</v>
      </c>
      <c r="AZ2273" s="3">
        <v>7.29</v>
      </c>
      <c r="BA2273" s="1" t="s">
        <v>852</v>
      </c>
      <c r="BC2273" s="3">
        <v>7.29</v>
      </c>
      <c r="BD2273" s="3">
        <v>8.75</v>
      </c>
      <c r="BE2273" s="1" t="s">
        <v>852</v>
      </c>
      <c r="BG2273" s="3">
        <v>8.75</v>
      </c>
      <c r="BH2273" s="3">
        <v>9.34</v>
      </c>
      <c r="BI2273" s="1" t="s">
        <v>852</v>
      </c>
    </row>
    <row r="2274" spans="1:61">
      <c r="A2274" s="6">
        <v>14</v>
      </c>
      <c r="B2274" s="103" t="s">
        <v>519</v>
      </c>
      <c r="C2274" s="1" t="s">
        <v>58</v>
      </c>
      <c r="D2274" s="2"/>
      <c r="E2274" s="2"/>
      <c r="F2274" s="8"/>
      <c r="G2274" s="8"/>
      <c r="H2274" s="8"/>
      <c r="K2274" s="3"/>
      <c r="T2274" s="3"/>
      <c r="V2274" s="103"/>
      <c r="W2274" s="3"/>
      <c r="AA2274" s="3">
        <v>135</v>
      </c>
      <c r="AB2274" s="1" t="s">
        <v>466</v>
      </c>
      <c r="AD2274" s="24">
        <v>120</v>
      </c>
      <c r="AG2274" s="3">
        <v>14.7</v>
      </c>
      <c r="AI2274" s="3">
        <f>AG2274-AD2274</f>
        <v>-105.3</v>
      </c>
      <c r="AJ2274" s="3">
        <v>15</v>
      </c>
      <c r="AL2274" s="3">
        <f>AJ2274-AG2274</f>
        <v>0.30000000000000071</v>
      </c>
      <c r="AM2274" s="3">
        <v>15</v>
      </c>
      <c r="AO2274" s="3">
        <f>AM2274-AJ2274</f>
        <v>0</v>
      </c>
      <c r="AP2274" s="3">
        <v>15</v>
      </c>
      <c r="AS2274" s="3">
        <v>12.7</v>
      </c>
      <c r="AV2274" s="3">
        <v>12.86</v>
      </c>
      <c r="AZ2274" s="3">
        <v>8.48</v>
      </c>
      <c r="BA2274" s="1" t="s">
        <v>852</v>
      </c>
      <c r="BC2274" s="3">
        <v>8.48</v>
      </c>
      <c r="BD2274" s="3">
        <v>8.49</v>
      </c>
      <c r="BE2274" s="1" t="s">
        <v>852</v>
      </c>
      <c r="BG2274" s="3">
        <v>8.48</v>
      </c>
      <c r="BH2274" s="3">
        <v>8.49</v>
      </c>
      <c r="BI2274" s="1" t="s">
        <v>852</v>
      </c>
    </row>
    <row r="2275" spans="1:61">
      <c r="B2275" s="103" t="s">
        <v>519</v>
      </c>
      <c r="C2275" s="1" t="s">
        <v>857</v>
      </c>
      <c r="D2275" s="2"/>
      <c r="E2275" s="2"/>
      <c r="F2275" s="8"/>
      <c r="G2275" s="8"/>
      <c r="H2275" s="8"/>
      <c r="K2275" s="3"/>
      <c r="T2275" s="3"/>
      <c r="V2275" s="103"/>
      <c r="W2275" s="3"/>
      <c r="AZ2275" s="3">
        <v>7.83</v>
      </c>
      <c r="BA2275" s="1" t="s">
        <v>852</v>
      </c>
      <c r="BC2275" s="3">
        <v>7.83</v>
      </c>
      <c r="BD2275" s="3">
        <v>8.1300000000000008</v>
      </c>
      <c r="BE2275" s="1" t="s">
        <v>852</v>
      </c>
      <c r="BG2275" s="3">
        <v>7.83</v>
      </c>
      <c r="BH2275" s="3">
        <v>8.1300000000000008</v>
      </c>
      <c r="BI2275" s="1" t="s">
        <v>852</v>
      </c>
    </row>
    <row r="2276" spans="1:61">
      <c r="B2276" s="103" t="s">
        <v>519</v>
      </c>
      <c r="C2276" s="1" t="s">
        <v>289</v>
      </c>
      <c r="D2276" s="2"/>
      <c r="E2276" s="2"/>
      <c r="F2276" s="8"/>
      <c r="G2276" s="8"/>
      <c r="H2276" s="8"/>
      <c r="K2276" s="3"/>
      <c r="T2276" s="3"/>
      <c r="V2276" s="103"/>
      <c r="W2276" s="3"/>
      <c r="AZ2276" s="3">
        <v>6.2</v>
      </c>
      <c r="BA2276" s="1" t="s">
        <v>852</v>
      </c>
      <c r="BC2276" s="3">
        <v>6.2</v>
      </c>
      <c r="BD2276" s="3">
        <v>6.5</v>
      </c>
      <c r="BE2276" s="1" t="s">
        <v>947</v>
      </c>
      <c r="BG2276" s="3">
        <v>6.2</v>
      </c>
      <c r="BH2276" s="3">
        <v>6.5</v>
      </c>
      <c r="BI2276" s="1" t="s">
        <v>1013</v>
      </c>
    </row>
    <row r="2277" spans="1:61">
      <c r="B2277" s="103" t="s">
        <v>519</v>
      </c>
      <c r="C2277" s="1" t="s">
        <v>290</v>
      </c>
      <c r="D2277" s="2"/>
      <c r="E2277" s="2"/>
      <c r="F2277" s="8"/>
      <c r="G2277" s="8"/>
      <c r="H2277" s="8"/>
      <c r="K2277" s="3"/>
      <c r="T2277" s="3"/>
      <c r="V2277" s="103"/>
      <c r="W2277" s="3"/>
    </row>
    <row r="2278" spans="1:61">
      <c r="B2278" s="103" t="s">
        <v>519</v>
      </c>
      <c r="C2278" s="1" t="s">
        <v>64</v>
      </c>
      <c r="D2278" s="2"/>
      <c r="E2278" s="2"/>
      <c r="F2278" s="8"/>
      <c r="G2278" s="8"/>
      <c r="H2278" s="8"/>
      <c r="K2278" s="3"/>
      <c r="T2278" s="3"/>
      <c r="V2278" s="103"/>
      <c r="W2278" s="3"/>
      <c r="AA2278" s="3">
        <v>175</v>
      </c>
      <c r="AB2278" s="1" t="s">
        <v>467</v>
      </c>
      <c r="AD2278" s="24">
        <v>225</v>
      </c>
      <c r="AE2278" s="1" t="s">
        <v>170</v>
      </c>
      <c r="AG2278" s="3">
        <v>16</v>
      </c>
      <c r="AI2278" s="3">
        <f>AG2278-AD2278</f>
        <v>-209</v>
      </c>
      <c r="AJ2278" s="3">
        <v>16</v>
      </c>
      <c r="AL2278" s="3">
        <f>AJ2278-AG2278</f>
        <v>0</v>
      </c>
      <c r="AM2278" s="3">
        <v>16</v>
      </c>
      <c r="AO2278" s="3">
        <f>AM2278-AJ2278</f>
        <v>0</v>
      </c>
      <c r="AP2278" s="3">
        <v>16</v>
      </c>
      <c r="AS2278" s="3">
        <v>16</v>
      </c>
      <c r="AV2278" s="3">
        <v>18.350000000000001</v>
      </c>
      <c r="AZ2278" s="3">
        <v>9.48</v>
      </c>
      <c r="BA2278" s="1" t="s">
        <v>852</v>
      </c>
      <c r="BC2278" s="3">
        <v>9.48</v>
      </c>
      <c r="BD2278" s="3">
        <v>8.64</v>
      </c>
      <c r="BE2278" s="1" t="s">
        <v>852</v>
      </c>
      <c r="BG2278" s="3">
        <v>9.48</v>
      </c>
      <c r="BH2278" s="3">
        <v>8.64</v>
      </c>
      <c r="BI2278" s="1" t="s">
        <v>852</v>
      </c>
    </row>
    <row r="2279" spans="1:61">
      <c r="B2279" s="103" t="s">
        <v>519</v>
      </c>
      <c r="C2279" s="1" t="s">
        <v>855</v>
      </c>
      <c r="D2279" s="2"/>
      <c r="E2279" s="2"/>
      <c r="F2279" s="8"/>
      <c r="G2279" s="8"/>
      <c r="H2279" s="8"/>
      <c r="K2279" s="3"/>
      <c r="T2279" s="3"/>
      <c r="V2279" s="103"/>
      <c r="W2279" s="3"/>
      <c r="AI2279" s="3"/>
      <c r="AL2279" s="3"/>
      <c r="AO2279" s="3"/>
      <c r="AZ2279" s="3">
        <v>13.27</v>
      </c>
      <c r="BA2279" s="1" t="s">
        <v>852</v>
      </c>
      <c r="BC2279" s="3">
        <v>13.27</v>
      </c>
      <c r="BD2279" s="3">
        <v>9.44</v>
      </c>
      <c r="BE2279" s="1" t="s">
        <v>852</v>
      </c>
      <c r="BG2279" s="3">
        <v>13.27</v>
      </c>
      <c r="BH2279" s="3">
        <v>9.44</v>
      </c>
      <c r="BI2279" s="1" t="s">
        <v>852</v>
      </c>
    </row>
    <row r="2280" spans="1:61">
      <c r="B2280" s="103" t="s">
        <v>519</v>
      </c>
      <c r="C2280" s="1" t="s">
        <v>286</v>
      </c>
      <c r="D2280" s="2"/>
      <c r="E2280" s="2"/>
      <c r="F2280" s="8"/>
      <c r="G2280" s="8"/>
      <c r="H2280" s="8"/>
      <c r="K2280" s="3"/>
      <c r="T2280" s="3"/>
      <c r="V2280" s="103"/>
      <c r="W2280" s="3"/>
      <c r="AD2280" s="24">
        <v>160</v>
      </c>
      <c r="AE2280" s="1" t="s">
        <v>171</v>
      </c>
      <c r="AG2280" s="3">
        <v>12</v>
      </c>
      <c r="AI2280" s="3">
        <f>AG2280-AD2280</f>
        <v>-148</v>
      </c>
      <c r="AJ2280" s="3">
        <v>12</v>
      </c>
      <c r="AL2280" s="3">
        <f>AJ2280-AG2280</f>
        <v>0</v>
      </c>
      <c r="AM2280" s="3">
        <v>12</v>
      </c>
      <c r="AO2280" s="3">
        <f>AM2280-AJ2280</f>
        <v>0</v>
      </c>
      <c r="AP2280" s="3">
        <v>12</v>
      </c>
      <c r="AS2280" s="3">
        <v>12</v>
      </c>
      <c r="AV2280" s="3">
        <v>14.16</v>
      </c>
    </row>
    <row r="2281" spans="1:61">
      <c r="B2281" s="103" t="s">
        <v>519</v>
      </c>
      <c r="C2281" s="1" t="s">
        <v>288</v>
      </c>
      <c r="D2281" s="2"/>
      <c r="E2281" s="2"/>
      <c r="F2281" s="8"/>
      <c r="G2281" s="8"/>
      <c r="H2281" s="8"/>
      <c r="K2281" s="3"/>
      <c r="T2281" s="3"/>
      <c r="V2281" s="103"/>
      <c r="W2281" s="3"/>
      <c r="AA2281" s="3">
        <v>300</v>
      </c>
      <c r="AB2281" s="1" t="s">
        <v>468</v>
      </c>
      <c r="AD2281" s="24">
        <v>160</v>
      </c>
      <c r="AE2281" s="1" t="s">
        <v>171</v>
      </c>
      <c r="AG2281" s="3">
        <v>12</v>
      </c>
      <c r="AI2281" s="3">
        <f>AG2281-AD2281</f>
        <v>-148</v>
      </c>
      <c r="AJ2281" s="3">
        <v>12</v>
      </c>
      <c r="AL2281" s="3">
        <f>AJ2281-AG2281</f>
        <v>0</v>
      </c>
      <c r="AM2281" s="3">
        <v>12</v>
      </c>
      <c r="AO2281" s="3">
        <f>AM2281-AJ2281</f>
        <v>0</v>
      </c>
      <c r="AP2281" s="3">
        <v>12</v>
      </c>
      <c r="AS2281" s="3">
        <v>17.5</v>
      </c>
      <c r="AV2281" s="3">
        <v>16.97</v>
      </c>
      <c r="AZ2281" s="3">
        <v>11.36</v>
      </c>
      <c r="BA2281" s="1" t="s">
        <v>852</v>
      </c>
      <c r="BC2281" s="3">
        <v>11.36</v>
      </c>
      <c r="BD2281" s="3">
        <v>12.77</v>
      </c>
      <c r="BE2281" s="1" t="s">
        <v>852</v>
      </c>
      <c r="BG2281" s="3">
        <v>11.36</v>
      </c>
      <c r="BH2281" s="3">
        <v>12.77</v>
      </c>
      <c r="BI2281" s="1" t="s">
        <v>852</v>
      </c>
    </row>
    <row r="2282" spans="1:61">
      <c r="A2282" s="6">
        <v>11</v>
      </c>
      <c r="B2282" s="103" t="s">
        <v>519</v>
      </c>
      <c r="C2282" s="1" t="s">
        <v>57</v>
      </c>
      <c r="D2282" s="2"/>
      <c r="E2282" s="2"/>
      <c r="F2282" s="8"/>
      <c r="G2282" s="8"/>
      <c r="H2282" s="8"/>
      <c r="K2282" s="3"/>
      <c r="T2282" s="3"/>
      <c r="V2282" s="103"/>
      <c r="W2282" s="3"/>
    </row>
    <row r="2283" spans="1:61">
      <c r="A2283" s="6">
        <v>1</v>
      </c>
      <c r="B2283" s="103" t="s">
        <v>743</v>
      </c>
      <c r="C2283" s="1" t="s">
        <v>52</v>
      </c>
      <c r="D2283" s="2"/>
      <c r="E2283" s="2"/>
      <c r="F2283" s="8">
        <v>23.79</v>
      </c>
      <c r="G2283" s="8"/>
      <c r="H2283" s="8">
        <v>23.79</v>
      </c>
      <c r="I2283" s="8"/>
      <c r="K2283" s="3"/>
      <c r="L2283" s="1" t="s">
        <v>702</v>
      </c>
    </row>
    <row r="2284" spans="1:61">
      <c r="A2284" s="6">
        <v>3</v>
      </c>
      <c r="B2284" s="103" t="s">
        <v>743</v>
      </c>
      <c r="C2284" s="1" t="s">
        <v>54</v>
      </c>
      <c r="D2284" s="2"/>
      <c r="E2284" s="2"/>
      <c r="F2284" s="8">
        <v>0</v>
      </c>
      <c r="G2284" s="8"/>
      <c r="H2284" s="8">
        <v>0</v>
      </c>
      <c r="I2284" s="8"/>
      <c r="K2284" s="3"/>
    </row>
    <row r="2285" spans="1:61">
      <c r="A2285" s="6">
        <v>4</v>
      </c>
      <c r="B2285" s="103" t="s">
        <v>743</v>
      </c>
      <c r="C2285" s="1" t="s">
        <v>55</v>
      </c>
      <c r="D2285" s="2"/>
      <c r="E2285" s="2"/>
      <c r="F2285" s="8">
        <v>0</v>
      </c>
      <c r="G2285" s="8"/>
      <c r="H2285" s="8">
        <v>0</v>
      </c>
      <c r="I2285" s="8"/>
      <c r="K2285" s="3"/>
    </row>
    <row r="2286" spans="1:61">
      <c r="A2286" s="6">
        <v>5</v>
      </c>
      <c r="B2286" s="103" t="s">
        <v>743</v>
      </c>
      <c r="C2286" s="1" t="s">
        <v>56</v>
      </c>
      <c r="D2286" s="2"/>
      <c r="E2286" s="2"/>
      <c r="F2286" s="8">
        <v>0</v>
      </c>
      <c r="G2286" s="8"/>
      <c r="H2286" s="8">
        <v>0</v>
      </c>
      <c r="I2286" s="8"/>
      <c r="K2286" s="3"/>
    </row>
    <row r="2287" spans="1:61">
      <c r="A2287" s="6">
        <v>2</v>
      </c>
      <c r="B2287" s="103" t="s">
        <v>743</v>
      </c>
      <c r="C2287" s="1" t="s">
        <v>53</v>
      </c>
      <c r="D2287" s="2"/>
      <c r="E2287" s="2"/>
      <c r="F2287" s="8">
        <v>8.7799999999999994</v>
      </c>
      <c r="G2287" s="8"/>
      <c r="H2287" s="8">
        <v>8.7799999999999994</v>
      </c>
      <c r="I2287" s="8"/>
      <c r="K2287" s="3"/>
      <c r="M2287" s="3">
        <v>23.8</v>
      </c>
      <c r="O2287" s="3">
        <v>23.8</v>
      </c>
      <c r="Q2287" s="3">
        <f>O2287-H2287</f>
        <v>15.020000000000001</v>
      </c>
      <c r="U2287" s="3">
        <v>16.77</v>
      </c>
      <c r="X2287" s="3">
        <v>23</v>
      </c>
      <c r="Z2287" s="3">
        <f>X2287-U2287</f>
        <v>6.23</v>
      </c>
    </row>
    <row r="2288" spans="1:61">
      <c r="A2288" s="6">
        <v>12</v>
      </c>
      <c r="B2288" s="103" t="s">
        <v>743</v>
      </c>
      <c r="C2288" s="1" t="s">
        <v>594</v>
      </c>
      <c r="D2288" s="2"/>
      <c r="E2288" s="2"/>
      <c r="F2288" s="8">
        <v>5.07</v>
      </c>
      <c r="G2288" s="8"/>
      <c r="H2288" s="8">
        <v>5.07</v>
      </c>
      <c r="I2288" s="8"/>
      <c r="K2288" s="3"/>
      <c r="M2288" s="3">
        <v>5</v>
      </c>
      <c r="O2288" s="3">
        <v>5</v>
      </c>
      <c r="Q2288" s="3">
        <f>O2288-H2288</f>
        <v>-7.0000000000000284E-2</v>
      </c>
      <c r="U2288" s="3">
        <v>6.29</v>
      </c>
      <c r="AA2288" s="3">
        <v>6.17</v>
      </c>
      <c r="AD2288" s="24">
        <v>7.75</v>
      </c>
      <c r="AG2288" s="3">
        <v>9.5500000000000007</v>
      </c>
      <c r="AI2288" s="3">
        <f>AG2288-AD2288</f>
        <v>1.8000000000000007</v>
      </c>
      <c r="AJ2288" s="3">
        <v>10.59</v>
      </c>
      <c r="AL2288" s="3">
        <f>AJ2288-AG2288</f>
        <v>1.0399999999999991</v>
      </c>
      <c r="AM2288" s="3">
        <v>9.85</v>
      </c>
      <c r="AO2288" s="3">
        <f>AM2288-AJ2288</f>
        <v>-0.74000000000000021</v>
      </c>
      <c r="AP2288" s="3">
        <v>10.3</v>
      </c>
      <c r="AS2288" s="3">
        <v>10.3</v>
      </c>
      <c r="AV2288" s="3">
        <v>10.5</v>
      </c>
      <c r="AY2288" s="3">
        <v>10.5</v>
      </c>
      <c r="AZ2288" s="3">
        <v>10</v>
      </c>
      <c r="BC2288" s="3">
        <v>10</v>
      </c>
      <c r="BD2288" s="3">
        <v>10</v>
      </c>
      <c r="BE2288" s="1" t="s">
        <v>852</v>
      </c>
      <c r="BG2288" s="3">
        <v>10</v>
      </c>
      <c r="BH2288" s="3">
        <v>10</v>
      </c>
      <c r="BI2288" s="1" t="s">
        <v>852</v>
      </c>
    </row>
    <row r="2289" spans="1:61">
      <c r="A2289" s="6">
        <v>14</v>
      </c>
      <c r="B2289" s="103" t="s">
        <v>743</v>
      </c>
      <c r="C2289" s="1" t="s">
        <v>58</v>
      </c>
      <c r="D2289" s="2"/>
      <c r="E2289" s="2"/>
      <c r="F2289" s="8">
        <v>20.62</v>
      </c>
      <c r="G2289" s="8"/>
      <c r="H2289" s="8">
        <v>20.62</v>
      </c>
      <c r="I2289" s="8"/>
      <c r="K2289" s="3"/>
      <c r="L2289" s="1" t="s">
        <v>449</v>
      </c>
      <c r="M2289" s="3">
        <v>19</v>
      </c>
      <c r="O2289" s="3">
        <v>19</v>
      </c>
      <c r="Q2289" s="3">
        <f>O2289-H2289</f>
        <v>-1.620000000000001</v>
      </c>
      <c r="U2289" s="3">
        <v>25.16</v>
      </c>
      <c r="X2289" s="3">
        <v>24</v>
      </c>
      <c r="Z2289" s="3">
        <f>X2289-U2289</f>
        <v>-1.1600000000000001</v>
      </c>
      <c r="AA2289" s="3">
        <v>22.16</v>
      </c>
      <c r="AC2289" s="3">
        <f>AA2289-X2289</f>
        <v>-1.8399999999999999</v>
      </c>
      <c r="AD2289" s="24">
        <v>23.58</v>
      </c>
      <c r="AG2289" s="3">
        <v>22.14</v>
      </c>
      <c r="AI2289" s="3">
        <f>AG2289-AD2289</f>
        <v>-1.4399999999999977</v>
      </c>
      <c r="AJ2289" s="3">
        <v>21.95</v>
      </c>
      <c r="AL2289" s="3">
        <f>AJ2289-AG2289</f>
        <v>-0.19000000000000128</v>
      </c>
      <c r="AM2289" s="3">
        <v>23.07</v>
      </c>
      <c r="AO2289" s="3">
        <f>AM2289-AJ2289</f>
        <v>1.120000000000001</v>
      </c>
      <c r="AP2289" s="3">
        <v>20.51</v>
      </c>
      <c r="AS2289" s="3">
        <v>19.5</v>
      </c>
      <c r="AV2289" s="3">
        <v>18.5</v>
      </c>
      <c r="AY2289" s="3">
        <v>18.5</v>
      </c>
      <c r="AZ2289" s="3">
        <v>10</v>
      </c>
      <c r="BC2289" s="3">
        <v>10</v>
      </c>
      <c r="BD2289" s="3">
        <v>22</v>
      </c>
      <c r="BE2289" s="1" t="s">
        <v>852</v>
      </c>
      <c r="BG2289" s="3">
        <v>22</v>
      </c>
      <c r="BH2289" s="3">
        <v>12</v>
      </c>
      <c r="BI2289" s="1" t="s">
        <v>852</v>
      </c>
    </row>
    <row r="2290" spans="1:61">
      <c r="B2290" s="103" t="s">
        <v>743</v>
      </c>
      <c r="C2290" s="1" t="s">
        <v>854</v>
      </c>
      <c r="D2290" s="2"/>
      <c r="E2290" s="2"/>
      <c r="F2290" s="8"/>
      <c r="G2290" s="8"/>
      <c r="H2290" s="8"/>
      <c r="I2290" s="8"/>
      <c r="K2290" s="3"/>
      <c r="Q2290" s="3"/>
      <c r="AC2290" s="3"/>
      <c r="AI2290" s="3"/>
      <c r="AL2290" s="3"/>
      <c r="AO2290" s="3"/>
      <c r="BH2290" s="3">
        <v>22</v>
      </c>
      <c r="BI2290" s="1" t="s">
        <v>852</v>
      </c>
    </row>
    <row r="2291" spans="1:61">
      <c r="B2291" s="103" t="s">
        <v>743</v>
      </c>
      <c r="C2291" s="1" t="s">
        <v>289</v>
      </c>
      <c r="D2291" s="2"/>
      <c r="E2291" s="2"/>
      <c r="F2291" s="8"/>
      <c r="G2291" s="8"/>
      <c r="H2291" s="8"/>
      <c r="I2291" s="8"/>
      <c r="K2291" s="3"/>
      <c r="Q2291" s="3"/>
      <c r="U2291" s="3">
        <v>37.74</v>
      </c>
      <c r="X2291" s="3">
        <v>38</v>
      </c>
      <c r="Z2291" s="3">
        <f>X2291-U2291</f>
        <v>0.25999999999999801</v>
      </c>
      <c r="AA2291" s="3">
        <v>34.979999999999997</v>
      </c>
      <c r="AC2291" s="3">
        <f>AA2291-X2291</f>
        <v>-3.0200000000000031</v>
      </c>
      <c r="AD2291" s="24">
        <v>35.81</v>
      </c>
      <c r="AG2291" s="3">
        <v>33.72</v>
      </c>
      <c r="AI2291" s="3">
        <f>AG2291-AD2291</f>
        <v>-2.0900000000000034</v>
      </c>
      <c r="AJ2291" s="3">
        <v>33.119999999999997</v>
      </c>
      <c r="AL2291" s="3">
        <f>AJ2291-AG2291</f>
        <v>-0.60000000000000142</v>
      </c>
      <c r="AM2291" s="3">
        <v>32.090000000000003</v>
      </c>
      <c r="AO2291" s="3">
        <f>AM2291-AJ2291</f>
        <v>-1.029999999999994</v>
      </c>
      <c r="AP2291" s="3">
        <v>28.7</v>
      </c>
      <c r="AV2291" s="3">
        <v>27.95</v>
      </c>
      <c r="AY2291" s="3">
        <v>27.95</v>
      </c>
      <c r="AZ2291" s="3">
        <v>10</v>
      </c>
      <c r="BC2291" s="3">
        <v>10</v>
      </c>
      <c r="BD2291" s="3">
        <v>20</v>
      </c>
      <c r="BE2291" s="1" t="s">
        <v>852</v>
      </c>
      <c r="BG2291" s="3">
        <v>20</v>
      </c>
      <c r="BH2291" s="3">
        <v>20</v>
      </c>
      <c r="BI2291" s="1" t="s">
        <v>852</v>
      </c>
    </row>
    <row r="2292" spans="1:61">
      <c r="B2292" s="103" t="s">
        <v>743</v>
      </c>
      <c r="C2292" s="1" t="s">
        <v>290</v>
      </c>
      <c r="D2292" s="2"/>
      <c r="E2292" s="2"/>
      <c r="F2292" s="8"/>
      <c r="G2292" s="8"/>
      <c r="H2292" s="8"/>
      <c r="I2292" s="8"/>
      <c r="K2292" s="3"/>
      <c r="Q2292" s="3"/>
      <c r="U2292" s="3">
        <v>39.83</v>
      </c>
      <c r="X2292" s="3">
        <v>37</v>
      </c>
      <c r="Z2292" s="3">
        <f>X2292-U2292</f>
        <v>-2.8299999999999983</v>
      </c>
      <c r="AD2292" s="24">
        <v>37.35</v>
      </c>
      <c r="AG2292" s="3">
        <v>36.450000000000003</v>
      </c>
      <c r="AI2292" s="3">
        <f>AG2292-AD2292</f>
        <v>-0.89999999999999858</v>
      </c>
      <c r="AJ2292" s="3">
        <v>36.15</v>
      </c>
      <c r="AL2292" s="3">
        <f>AJ2292-AG2292</f>
        <v>-0.30000000000000426</v>
      </c>
      <c r="AM2292" s="3">
        <v>35.78</v>
      </c>
      <c r="AO2292" s="3">
        <f>AM2292-AJ2292</f>
        <v>-0.36999999999999744</v>
      </c>
      <c r="AP2292" s="3">
        <v>35.78</v>
      </c>
      <c r="AS2292" s="3">
        <v>35.700000000000003</v>
      </c>
      <c r="AV2292" s="3">
        <v>35.78</v>
      </c>
      <c r="AY2292" s="3">
        <v>35.78</v>
      </c>
      <c r="AZ2292" s="3">
        <v>40</v>
      </c>
      <c r="BC2292" s="3">
        <v>40</v>
      </c>
      <c r="BD2292" s="3">
        <v>15</v>
      </c>
      <c r="BE2292" s="1" t="s">
        <v>852</v>
      </c>
      <c r="BG2292" s="3">
        <v>15</v>
      </c>
      <c r="BH2292" s="3">
        <v>27</v>
      </c>
      <c r="BI2292" s="1" t="s">
        <v>852</v>
      </c>
    </row>
    <row r="2293" spans="1:61">
      <c r="B2293" s="103" t="s">
        <v>743</v>
      </c>
      <c r="C2293" s="1" t="s">
        <v>64</v>
      </c>
      <c r="D2293" s="2"/>
      <c r="E2293" s="2"/>
      <c r="F2293" s="8"/>
      <c r="G2293" s="8"/>
      <c r="H2293" s="8"/>
      <c r="I2293" s="8"/>
      <c r="K2293" s="3"/>
      <c r="Q2293" s="3"/>
      <c r="U2293" s="3">
        <v>20.96</v>
      </c>
      <c r="X2293" s="3">
        <v>18</v>
      </c>
      <c r="Z2293" s="3">
        <f>X2293-U2293</f>
        <v>-2.9600000000000009</v>
      </c>
      <c r="AA2293" s="3">
        <v>19.48</v>
      </c>
      <c r="AC2293" s="3">
        <f>AA2293-X2293</f>
        <v>1.4800000000000004</v>
      </c>
      <c r="AD2293" s="24">
        <v>22.83</v>
      </c>
      <c r="AG2293" s="3">
        <v>21.95</v>
      </c>
      <c r="AI2293" s="3">
        <f>AG2293-AD2293</f>
        <v>-0.87999999999999901</v>
      </c>
      <c r="AJ2293" s="3">
        <v>21.45</v>
      </c>
      <c r="AL2293" s="3">
        <f>AJ2293-AG2293</f>
        <v>-0.5</v>
      </c>
      <c r="AM2293" s="3">
        <v>22.37</v>
      </c>
      <c r="AO2293" s="3">
        <f>AM2293-AJ2293</f>
        <v>0.92000000000000171</v>
      </c>
      <c r="AP2293" s="3">
        <v>21.35</v>
      </c>
      <c r="AS2293" s="3">
        <v>20.149999999999999</v>
      </c>
      <c r="AV2293" s="3">
        <v>20.25</v>
      </c>
      <c r="AY2293" s="3">
        <v>20.25</v>
      </c>
      <c r="AZ2293" s="3">
        <v>20</v>
      </c>
      <c r="BC2293" s="3">
        <v>20</v>
      </c>
      <c r="BD2293" s="3">
        <v>20</v>
      </c>
      <c r="BE2293" s="1" t="s">
        <v>852</v>
      </c>
      <c r="BG2293" s="3">
        <v>20</v>
      </c>
      <c r="BH2293" s="3">
        <v>15</v>
      </c>
      <c r="BI2293" s="1" t="s">
        <v>852</v>
      </c>
    </row>
    <row r="2294" spans="1:61">
      <c r="B2294" s="103" t="s">
        <v>743</v>
      </c>
      <c r="C2294" s="1" t="s">
        <v>286</v>
      </c>
      <c r="D2294" s="2"/>
      <c r="E2294" s="2"/>
      <c r="F2294" s="8"/>
      <c r="G2294" s="8"/>
      <c r="H2294" s="8"/>
      <c r="I2294" s="8"/>
      <c r="K2294" s="3"/>
      <c r="Q2294" s="3"/>
      <c r="U2294" s="3">
        <v>20.96</v>
      </c>
      <c r="X2294" s="3">
        <v>18</v>
      </c>
      <c r="Z2294" s="3">
        <f>X2294-U2294</f>
        <v>-2.9600000000000009</v>
      </c>
      <c r="AA2294" s="3">
        <v>19.48</v>
      </c>
      <c r="AC2294" s="3">
        <f>AA2294-X2294</f>
        <v>1.4800000000000004</v>
      </c>
      <c r="AD2294" s="24">
        <v>23.92</v>
      </c>
      <c r="AG2294" s="3">
        <v>22.25</v>
      </c>
      <c r="AI2294" s="3">
        <f>AG2294-AD2294</f>
        <v>-1.6700000000000017</v>
      </c>
      <c r="AJ2294" s="3">
        <v>22.03</v>
      </c>
      <c r="AL2294" s="3">
        <f>AJ2294-AG2294</f>
        <v>-0.21999999999999886</v>
      </c>
      <c r="AM2294" s="3">
        <v>22.95</v>
      </c>
      <c r="AO2294" s="3">
        <f>AM2294-AJ2294</f>
        <v>0.91999999999999815</v>
      </c>
      <c r="AP2294" s="3">
        <v>21.85</v>
      </c>
      <c r="AS2294" s="3">
        <v>21.3</v>
      </c>
      <c r="AV2294" s="3">
        <v>20.95</v>
      </c>
      <c r="AY2294" s="3">
        <v>20.95</v>
      </c>
      <c r="AZ2294" s="3">
        <v>16</v>
      </c>
      <c r="BC2294" s="3">
        <v>16</v>
      </c>
      <c r="BD2294" s="3">
        <v>11</v>
      </c>
      <c r="BE2294" s="1" t="s">
        <v>852</v>
      </c>
      <c r="BG2294" s="3">
        <v>11</v>
      </c>
      <c r="BH2294" s="3">
        <v>11</v>
      </c>
      <c r="BI2294" s="1" t="s">
        <v>852</v>
      </c>
    </row>
    <row r="2295" spans="1:61">
      <c r="B2295" s="103" t="s">
        <v>743</v>
      </c>
      <c r="C2295" s="1" t="s">
        <v>288</v>
      </c>
      <c r="D2295" s="2"/>
      <c r="E2295" s="2"/>
      <c r="F2295" s="8"/>
      <c r="G2295" s="8"/>
      <c r="H2295" s="8"/>
      <c r="I2295" s="8"/>
      <c r="K2295" s="3"/>
      <c r="Q2295" s="3"/>
      <c r="U2295" s="3">
        <v>23.07</v>
      </c>
      <c r="X2295" s="3">
        <v>24</v>
      </c>
      <c r="Z2295" s="3">
        <f>X2295-U2295</f>
        <v>0.92999999999999972</v>
      </c>
      <c r="AA2295" s="3">
        <v>25.47</v>
      </c>
      <c r="AC2295" s="3">
        <f>AA2295-X2295</f>
        <v>1.4699999999999989</v>
      </c>
      <c r="AD2295" s="24">
        <v>27.53</v>
      </c>
      <c r="AG2295" s="3">
        <v>27.12</v>
      </c>
      <c r="AI2295" s="3">
        <f>AG2295-AD2295</f>
        <v>-0.41000000000000014</v>
      </c>
      <c r="AJ2295" s="3">
        <v>26.95</v>
      </c>
      <c r="AL2295" s="3">
        <f>AJ2295-AG2295</f>
        <v>-0.17000000000000171</v>
      </c>
      <c r="AM2295" s="3">
        <v>27.52</v>
      </c>
      <c r="AO2295" s="3">
        <f>AM2295-AJ2295</f>
        <v>0.57000000000000028</v>
      </c>
      <c r="AP2295" s="3">
        <v>24.25</v>
      </c>
      <c r="AS2295" s="3">
        <v>22.75</v>
      </c>
      <c r="AV2295" s="3">
        <v>22.33</v>
      </c>
      <c r="AY2295" s="3">
        <v>22.33</v>
      </c>
      <c r="AZ2295" s="3">
        <v>20</v>
      </c>
      <c r="BC2295" s="3">
        <v>20</v>
      </c>
      <c r="BD2295" s="3">
        <v>20</v>
      </c>
      <c r="BE2295" s="1" t="s">
        <v>852</v>
      </c>
      <c r="BG2295" s="3">
        <v>20</v>
      </c>
      <c r="BH2295" s="3">
        <v>15</v>
      </c>
      <c r="BI2295" s="1" t="s">
        <v>852</v>
      </c>
    </row>
    <row r="2296" spans="1:61">
      <c r="A2296" s="6">
        <v>11</v>
      </c>
      <c r="B2296" s="103" t="s">
        <v>743</v>
      </c>
      <c r="C2296" s="1" t="s">
        <v>57</v>
      </c>
      <c r="D2296" s="2"/>
      <c r="E2296" s="2"/>
      <c r="F2296" s="8">
        <v>19.03</v>
      </c>
      <c r="G2296" s="8"/>
      <c r="H2296" s="8">
        <v>19.03</v>
      </c>
      <c r="I2296" s="8"/>
      <c r="K2296" s="3"/>
    </row>
    <row r="2297" spans="1:61">
      <c r="A2297" s="6">
        <v>1</v>
      </c>
      <c r="B2297" s="103" t="s">
        <v>682</v>
      </c>
      <c r="C2297" s="1" t="s">
        <v>52</v>
      </c>
      <c r="D2297" s="2"/>
      <c r="E2297" s="2"/>
      <c r="F2297" s="8"/>
      <c r="G2297" s="8"/>
      <c r="H2297" s="8"/>
      <c r="I2297" s="8"/>
      <c r="J2297" s="1" t="s">
        <v>285</v>
      </c>
    </row>
    <row r="2298" spans="1:61">
      <c r="A2298" s="6">
        <v>3</v>
      </c>
      <c r="B2298" s="103" t="s">
        <v>682</v>
      </c>
      <c r="C2298" s="1" t="s">
        <v>54</v>
      </c>
      <c r="D2298" s="2"/>
      <c r="E2298" s="2"/>
      <c r="F2298" s="8"/>
      <c r="G2298" s="8"/>
      <c r="H2298" s="8"/>
      <c r="I2298" s="8"/>
      <c r="J2298" s="1" t="s">
        <v>285</v>
      </c>
    </row>
    <row r="2299" spans="1:61">
      <c r="A2299" s="6">
        <v>4</v>
      </c>
      <c r="B2299" s="103" t="s">
        <v>682</v>
      </c>
      <c r="C2299" s="1" t="s">
        <v>55</v>
      </c>
      <c r="D2299" s="2"/>
      <c r="E2299" s="2"/>
      <c r="F2299" s="8"/>
      <c r="G2299" s="8"/>
      <c r="H2299" s="8"/>
      <c r="I2299" s="8"/>
      <c r="J2299" s="1" t="s">
        <v>285</v>
      </c>
    </row>
    <row r="2300" spans="1:61">
      <c r="A2300" s="6">
        <v>5</v>
      </c>
      <c r="B2300" s="103" t="s">
        <v>682</v>
      </c>
      <c r="C2300" s="1" t="s">
        <v>56</v>
      </c>
      <c r="D2300" s="2"/>
      <c r="E2300" s="2"/>
      <c r="F2300" s="8"/>
      <c r="G2300" s="8"/>
      <c r="H2300" s="8"/>
      <c r="I2300" s="8"/>
      <c r="J2300" s="1" t="s">
        <v>285</v>
      </c>
    </row>
    <row r="2301" spans="1:61">
      <c r="A2301" s="6">
        <v>2</v>
      </c>
      <c r="B2301" s="103" t="s">
        <v>682</v>
      </c>
      <c r="C2301" s="1" t="s">
        <v>53</v>
      </c>
      <c r="D2301" s="2"/>
      <c r="E2301" s="2"/>
      <c r="F2301" s="8"/>
      <c r="G2301" s="8"/>
      <c r="H2301" s="8"/>
      <c r="I2301" s="8"/>
      <c r="J2301" s="1" t="s">
        <v>285</v>
      </c>
    </row>
    <row r="2302" spans="1:61">
      <c r="A2302" s="6">
        <v>12</v>
      </c>
      <c r="B2302" s="103" t="s">
        <v>682</v>
      </c>
      <c r="C2302" s="1" t="s">
        <v>594</v>
      </c>
      <c r="D2302" s="2">
        <v>15.59</v>
      </c>
      <c r="E2302" s="2"/>
      <c r="F2302" s="8"/>
      <c r="G2302" s="8"/>
      <c r="H2302" s="8"/>
      <c r="I2302" s="8"/>
      <c r="J2302" s="1" t="s">
        <v>285</v>
      </c>
      <c r="M2302" s="3">
        <v>13</v>
      </c>
      <c r="O2302" s="3">
        <v>13</v>
      </c>
      <c r="R2302" s="3">
        <v>13</v>
      </c>
      <c r="T2302" s="3">
        <f>R2302-O2302</f>
        <v>0</v>
      </c>
      <c r="U2302" s="3">
        <f>550/11.3</f>
        <v>48.672566371681413</v>
      </c>
      <c r="V2302" s="1" t="s">
        <v>310</v>
      </c>
      <c r="W2302" s="3">
        <f>U2302-R2302</f>
        <v>35.672566371681413</v>
      </c>
      <c r="X2302" s="3">
        <v>23.09</v>
      </c>
      <c r="Z2302" s="3">
        <f>X2302-U2302</f>
        <v>-25.582566371681413</v>
      </c>
      <c r="AA2302" s="3">
        <v>28.77</v>
      </c>
      <c r="AC2302" s="3">
        <f>AA2302-X2302</f>
        <v>5.68</v>
      </c>
      <c r="AD2302" s="24">
        <v>53.91</v>
      </c>
      <c r="AF2302" s="24">
        <f>AD2302-AA2302</f>
        <v>25.139999999999997</v>
      </c>
      <c r="AG2302" s="3">
        <v>23.78</v>
      </c>
      <c r="AI2302" s="3">
        <f>AG2302-AD2302</f>
        <v>-30.129999999999995</v>
      </c>
      <c r="AJ2302" s="3">
        <v>43.1</v>
      </c>
      <c r="AL2302" s="3">
        <f>AJ2302-AG2302</f>
        <v>19.32</v>
      </c>
      <c r="AM2302" s="3">
        <v>40.19</v>
      </c>
      <c r="AO2302" s="3">
        <f>AM2302-AJ2302</f>
        <v>-2.9100000000000037</v>
      </c>
      <c r="AP2302" s="3">
        <v>10.24</v>
      </c>
      <c r="AS2302" s="3">
        <v>19.43</v>
      </c>
      <c r="AV2302" s="3">
        <v>23.86</v>
      </c>
      <c r="AZ2302" s="3">
        <v>20.11</v>
      </c>
      <c r="BA2302" s="1" t="s">
        <v>852</v>
      </c>
      <c r="BD2302" s="3">
        <v>36.35</v>
      </c>
      <c r="BE2302" s="1" t="s">
        <v>852</v>
      </c>
      <c r="BH2302" s="3">
        <v>31.3</v>
      </c>
      <c r="BI2302" s="1" t="s">
        <v>852</v>
      </c>
    </row>
    <row r="2303" spans="1:61">
      <c r="A2303" s="6">
        <v>14</v>
      </c>
      <c r="B2303" s="103" t="s">
        <v>682</v>
      </c>
      <c r="C2303" s="1" t="s">
        <v>58</v>
      </c>
      <c r="D2303" s="2"/>
      <c r="E2303" s="2"/>
      <c r="F2303" s="8"/>
      <c r="G2303" s="8"/>
      <c r="H2303" s="8"/>
      <c r="I2303" s="8"/>
      <c r="J2303" s="1" t="s">
        <v>285</v>
      </c>
      <c r="M2303" s="3">
        <v>26</v>
      </c>
      <c r="O2303" s="3">
        <v>26</v>
      </c>
      <c r="R2303" s="3">
        <v>26</v>
      </c>
      <c r="T2303" s="3">
        <f>R2303-O2303</f>
        <v>0</v>
      </c>
      <c r="U2303" s="3">
        <f>485/13.6</f>
        <v>35.661764705882355</v>
      </c>
      <c r="V2303" s="1" t="s">
        <v>311</v>
      </c>
      <c r="W2303" s="3">
        <f>U2303-R2303</f>
        <v>9.661764705882355</v>
      </c>
      <c r="X2303" s="3">
        <v>26.94</v>
      </c>
      <c r="Z2303" s="3">
        <f>X2303-U2303</f>
        <v>-8.7217647058823538</v>
      </c>
      <c r="AA2303" s="3">
        <v>35.619999999999997</v>
      </c>
      <c r="AC2303" s="3">
        <f>AA2303-X2303</f>
        <v>8.6799999999999962</v>
      </c>
      <c r="AD2303" s="24">
        <v>39.869999999999997</v>
      </c>
      <c r="AF2303" s="24">
        <f>AD2303-AA2303</f>
        <v>4.25</v>
      </c>
      <c r="AG2303" s="3">
        <v>31.89</v>
      </c>
      <c r="AI2303" s="3">
        <f>AG2303-AD2303</f>
        <v>-7.9799999999999969</v>
      </c>
      <c r="AJ2303" s="3">
        <v>21.55</v>
      </c>
      <c r="AL2303" s="3">
        <f>AJ2303-AG2303</f>
        <v>-10.34</v>
      </c>
      <c r="AM2303" s="3">
        <v>20.09</v>
      </c>
      <c r="AO2303" s="3">
        <f>AM2303-AJ2303</f>
        <v>-1.4600000000000009</v>
      </c>
      <c r="AP2303" s="3">
        <v>10.72</v>
      </c>
      <c r="AS2303" s="3">
        <v>19.43</v>
      </c>
      <c r="AV2303" s="3">
        <v>23.86</v>
      </c>
      <c r="AZ2303" s="3">
        <v>20.11</v>
      </c>
      <c r="BA2303" s="1" t="s">
        <v>852</v>
      </c>
      <c r="BD2303" s="3">
        <v>21.25</v>
      </c>
      <c r="BE2303" s="1" t="s">
        <v>852</v>
      </c>
      <c r="BH2303" s="3">
        <v>22</v>
      </c>
      <c r="BI2303" s="1" t="s">
        <v>1031</v>
      </c>
    </row>
    <row r="2304" spans="1:61">
      <c r="B2304" s="103" t="s">
        <v>682</v>
      </c>
      <c r="C2304" s="1" t="s">
        <v>857</v>
      </c>
      <c r="D2304" s="2"/>
      <c r="E2304" s="2"/>
      <c r="F2304" s="8"/>
      <c r="G2304" s="8"/>
      <c r="H2304" s="8"/>
      <c r="I2304" s="8"/>
      <c r="T2304" s="3"/>
      <c r="W2304" s="3"/>
      <c r="AC2304" s="3"/>
      <c r="AF2304" s="24"/>
      <c r="AI2304" s="3"/>
      <c r="AZ2304" s="3">
        <v>55.3</v>
      </c>
      <c r="BA2304" s="1" t="s">
        <v>852</v>
      </c>
      <c r="BD2304" s="3">
        <v>50.99</v>
      </c>
      <c r="BE2304" s="1" t="s">
        <v>852</v>
      </c>
      <c r="BH2304" s="3">
        <v>50.99</v>
      </c>
      <c r="BI2304" s="1" t="s">
        <v>852</v>
      </c>
    </row>
    <row r="2305" spans="1:61">
      <c r="B2305" s="103" t="s">
        <v>682</v>
      </c>
      <c r="C2305" s="1" t="s">
        <v>289</v>
      </c>
      <c r="D2305" s="2"/>
      <c r="E2305" s="2"/>
      <c r="F2305" s="8"/>
      <c r="G2305" s="8"/>
      <c r="H2305" s="8"/>
      <c r="I2305" s="8"/>
      <c r="T2305" s="3"/>
      <c r="W2305" s="3"/>
      <c r="AC2305" s="3"/>
      <c r="AF2305" s="24"/>
      <c r="AI2305" s="3"/>
      <c r="AZ2305" s="3">
        <v>76.42</v>
      </c>
      <c r="BA2305" s="1" t="s">
        <v>852</v>
      </c>
      <c r="BD2305" s="3">
        <v>21.15</v>
      </c>
      <c r="BE2305" s="1" t="s">
        <v>852</v>
      </c>
    </row>
    <row r="2306" spans="1:61">
      <c r="B2306" s="103" t="s">
        <v>682</v>
      </c>
      <c r="C2306" s="1" t="s">
        <v>64</v>
      </c>
      <c r="D2306" s="2"/>
      <c r="E2306" s="2"/>
      <c r="F2306" s="8"/>
      <c r="G2306" s="8"/>
      <c r="H2306" s="8"/>
      <c r="I2306" s="8"/>
      <c r="M2306" s="3">
        <v>36</v>
      </c>
      <c r="O2306" s="3">
        <v>36</v>
      </c>
      <c r="R2306" s="3">
        <v>36</v>
      </c>
      <c r="T2306" s="3">
        <f>R2306-O2306</f>
        <v>0</v>
      </c>
      <c r="U2306" s="3">
        <f>650/11.3</f>
        <v>57.522123893805308</v>
      </c>
      <c r="V2306" s="1" t="s">
        <v>312</v>
      </c>
      <c r="W2306" s="3">
        <f>U2306-R2306</f>
        <v>21.522123893805308</v>
      </c>
      <c r="X2306" s="3">
        <v>38.479999999999997</v>
      </c>
      <c r="Z2306" s="3">
        <f>X2306-U2306</f>
        <v>-19.042123893805311</v>
      </c>
      <c r="AA2306" s="3">
        <v>41.1</v>
      </c>
      <c r="AC2306" s="3">
        <f>AA2306-X2306</f>
        <v>2.6200000000000045</v>
      </c>
      <c r="AD2306" s="24">
        <v>40.43</v>
      </c>
      <c r="AF2306" s="24">
        <f>AD2306-AA2306</f>
        <v>-0.67000000000000171</v>
      </c>
      <c r="AG2306" s="3">
        <v>32.43</v>
      </c>
      <c r="AI2306" s="3">
        <f>AG2306-AD2306</f>
        <v>-8</v>
      </c>
      <c r="AJ2306" s="3">
        <v>28.02</v>
      </c>
      <c r="AL2306" s="3">
        <f>AJ2306-AG2306</f>
        <v>-4.41</v>
      </c>
      <c r="AM2306" s="3">
        <v>26.12</v>
      </c>
      <c r="AO2306" s="3">
        <f>AM2306-AJ2306</f>
        <v>-1.8999999999999986</v>
      </c>
      <c r="AP2306" s="3">
        <v>10.79</v>
      </c>
      <c r="AS2306" s="3">
        <v>22.34</v>
      </c>
      <c r="AV2306" s="3">
        <v>23.86</v>
      </c>
      <c r="AZ2306" s="3">
        <v>20.11</v>
      </c>
      <c r="BA2306" s="1" t="s">
        <v>852</v>
      </c>
      <c r="BD2306" s="3">
        <v>24.43</v>
      </c>
      <c r="BE2306" s="1" t="s">
        <v>852</v>
      </c>
      <c r="BH2306" s="3">
        <v>22</v>
      </c>
      <c r="BI2306" s="1" t="s">
        <v>852</v>
      </c>
    </row>
    <row r="2307" spans="1:61">
      <c r="B2307" s="103" t="s">
        <v>682</v>
      </c>
      <c r="C2307" s="1" t="s">
        <v>855</v>
      </c>
      <c r="D2307" s="2"/>
      <c r="E2307" s="2"/>
      <c r="F2307" s="8"/>
      <c r="G2307" s="8"/>
      <c r="H2307" s="8"/>
      <c r="I2307" s="8"/>
      <c r="T2307" s="3"/>
      <c r="W2307" s="3"/>
      <c r="AC2307" s="3"/>
      <c r="AF2307" s="24"/>
      <c r="AI2307" s="3"/>
      <c r="AL2307" s="3"/>
      <c r="AO2307" s="3"/>
      <c r="BH2307" s="3">
        <v>22</v>
      </c>
      <c r="BI2307" s="1" t="s">
        <v>965</v>
      </c>
    </row>
    <row r="2308" spans="1:61">
      <c r="B2308" s="103" t="s">
        <v>682</v>
      </c>
      <c r="C2308" s="1" t="s">
        <v>286</v>
      </c>
      <c r="D2308" s="2"/>
      <c r="E2308" s="2"/>
      <c r="F2308" s="8"/>
      <c r="G2308" s="8"/>
      <c r="H2308" s="8"/>
      <c r="I2308" s="8"/>
      <c r="T2308" s="3"/>
      <c r="U2308" s="3">
        <f>883.56/11.3</f>
        <v>78.191150442477863</v>
      </c>
      <c r="V2308" s="1" t="s">
        <v>313</v>
      </c>
      <c r="X2308" s="3">
        <v>43.65</v>
      </c>
      <c r="Z2308" s="3">
        <f>X2308-U2308</f>
        <v>-34.541150442477864</v>
      </c>
      <c r="AA2308" s="3">
        <v>37.67</v>
      </c>
      <c r="AC2308" s="3">
        <f>AA2308-X2308</f>
        <v>-5.9799999999999969</v>
      </c>
      <c r="AD2308" s="24">
        <v>37.06</v>
      </c>
      <c r="AF2308" s="24">
        <f>AD2308-AA2308</f>
        <v>-0.60999999999999943</v>
      </c>
      <c r="AG2308" s="3">
        <v>32.19</v>
      </c>
      <c r="AI2308" s="3">
        <f>AG2308-AD2308</f>
        <v>-4.8700000000000045</v>
      </c>
      <c r="AM2308" s="3">
        <v>27.63</v>
      </c>
      <c r="AP2308" s="3">
        <v>13.08</v>
      </c>
      <c r="AS2308" s="3">
        <v>19.43</v>
      </c>
      <c r="AV2308" s="3">
        <v>23.86</v>
      </c>
      <c r="BD2308" s="3">
        <v>21.25</v>
      </c>
      <c r="BE2308" s="1" t="s">
        <v>852</v>
      </c>
      <c r="BH2308" s="3">
        <v>21.99</v>
      </c>
      <c r="BI2308" s="1" t="s">
        <v>852</v>
      </c>
    </row>
    <row r="2309" spans="1:61">
      <c r="B2309" s="103" t="s">
        <v>682</v>
      </c>
      <c r="C2309" s="1" t="s">
        <v>288</v>
      </c>
      <c r="D2309" s="2"/>
      <c r="E2309" s="2"/>
      <c r="F2309" s="8"/>
      <c r="G2309" s="8"/>
      <c r="H2309" s="8"/>
      <c r="I2309" s="8"/>
      <c r="M2309" s="3">
        <v>35</v>
      </c>
      <c r="O2309" s="3">
        <v>35</v>
      </c>
      <c r="R2309" s="3">
        <v>35</v>
      </c>
      <c r="T2309" s="3">
        <f>R2309-O2309</f>
        <v>0</v>
      </c>
      <c r="X2309" s="3">
        <v>41.73</v>
      </c>
      <c r="AA2309" s="3">
        <v>44.52</v>
      </c>
      <c r="AC2309" s="3">
        <f>AA2309-X2309</f>
        <v>2.7900000000000063</v>
      </c>
      <c r="AD2309" s="24">
        <v>43.8</v>
      </c>
      <c r="AF2309" s="24">
        <f>AD2309-AA2309</f>
        <v>-0.72000000000000597</v>
      </c>
      <c r="AG2309" s="3">
        <v>40.409999999999997</v>
      </c>
      <c r="AI2309" s="3">
        <f>AG2309-AD2309</f>
        <v>-3.3900000000000006</v>
      </c>
      <c r="AJ2309" s="3">
        <v>35.020000000000003</v>
      </c>
      <c r="AL2309" s="3">
        <f>AJ2309-AG2309</f>
        <v>-5.3899999999999935</v>
      </c>
      <c r="AM2309" s="3">
        <v>32.65</v>
      </c>
      <c r="AO2309" s="3">
        <f>AM2309-AJ2309</f>
        <v>-2.3700000000000045</v>
      </c>
      <c r="AP2309" s="3">
        <v>16.45</v>
      </c>
      <c r="AS2309" s="3">
        <v>19.86</v>
      </c>
      <c r="AV2309" s="3">
        <v>21.48</v>
      </c>
      <c r="AZ2309" s="3">
        <v>18.100000000000001</v>
      </c>
      <c r="BA2309" s="1" t="s">
        <v>852</v>
      </c>
      <c r="BD2309" s="3">
        <v>21.99</v>
      </c>
      <c r="BE2309" s="1" t="s">
        <v>852</v>
      </c>
    </row>
    <row r="2310" spans="1:61">
      <c r="A2310" s="6">
        <v>11</v>
      </c>
      <c r="B2310" s="103" t="s">
        <v>682</v>
      </c>
      <c r="C2310" s="1" t="s">
        <v>57</v>
      </c>
      <c r="D2310" s="2"/>
      <c r="E2310" s="2"/>
      <c r="F2310" s="8"/>
      <c r="G2310" s="8"/>
      <c r="H2310" s="8"/>
      <c r="I2310" s="8"/>
      <c r="J2310" s="1" t="s">
        <v>285</v>
      </c>
    </row>
    <row r="2311" spans="1:61">
      <c r="B2311" s="103" t="s">
        <v>682</v>
      </c>
      <c r="C2311" s="1" t="s">
        <v>287</v>
      </c>
      <c r="D2311" s="2"/>
      <c r="E2311" s="2"/>
      <c r="F2311" s="8"/>
      <c r="G2311" s="8"/>
      <c r="H2311" s="8"/>
      <c r="I2311" s="8"/>
      <c r="M2311" s="3">
        <v>26</v>
      </c>
      <c r="O2311" s="3">
        <v>26</v>
      </c>
      <c r="R2311" s="3">
        <v>26</v>
      </c>
      <c r="T2311" s="3">
        <f>R2311-O2311</f>
        <v>0</v>
      </c>
      <c r="U2311" s="3">
        <f>550/11.3</f>
        <v>48.672566371681413</v>
      </c>
      <c r="V2311" s="1" t="s">
        <v>310</v>
      </c>
      <c r="W2311" s="3">
        <f>U2311-R2311</f>
        <v>22.672566371681413</v>
      </c>
      <c r="X2311" s="3">
        <v>17.04</v>
      </c>
      <c r="Z2311" s="3">
        <f>X2311-U2311</f>
        <v>-31.632566371681413</v>
      </c>
      <c r="AA2311" s="3">
        <v>42.79</v>
      </c>
      <c r="AC2311" s="3">
        <f>AA2311-X2311</f>
        <v>25.75</v>
      </c>
      <c r="AD2311" s="24">
        <v>42.09</v>
      </c>
      <c r="AF2311" s="24">
        <f>AD2311-AA2311</f>
        <v>-0.69999999999999574</v>
      </c>
      <c r="AG2311" s="3">
        <v>34.19</v>
      </c>
      <c r="AI2311" s="3">
        <f>AG2311-AD2311</f>
        <v>-7.9000000000000057</v>
      </c>
    </row>
    <row r="2312" spans="1:61">
      <c r="A2312" s="6">
        <v>1</v>
      </c>
      <c r="B2312" s="1" t="s">
        <v>744</v>
      </c>
      <c r="C2312" s="1" t="s">
        <v>52</v>
      </c>
      <c r="D2312" s="2"/>
      <c r="E2312" s="2"/>
      <c r="F2312" s="8">
        <v>0</v>
      </c>
      <c r="G2312" s="8"/>
      <c r="H2312" s="8">
        <v>0</v>
      </c>
      <c r="I2312" s="8"/>
      <c r="M2312" s="3">
        <v>0</v>
      </c>
      <c r="O2312" s="3">
        <v>0</v>
      </c>
    </row>
    <row r="2313" spans="1:61">
      <c r="A2313" s="6">
        <v>3</v>
      </c>
      <c r="B2313" s="1" t="s">
        <v>744</v>
      </c>
      <c r="C2313" s="1" t="s">
        <v>54</v>
      </c>
      <c r="D2313" s="2"/>
      <c r="E2313" s="2"/>
      <c r="F2313" s="8">
        <v>0</v>
      </c>
      <c r="G2313" s="8"/>
      <c r="H2313" s="8">
        <v>0</v>
      </c>
      <c r="I2313" s="8"/>
      <c r="M2313" s="3">
        <v>0</v>
      </c>
      <c r="O2313" s="3">
        <v>0</v>
      </c>
    </row>
    <row r="2314" spans="1:61">
      <c r="A2314" s="6">
        <v>4</v>
      </c>
      <c r="B2314" s="1" t="s">
        <v>744</v>
      </c>
      <c r="C2314" s="1" t="s">
        <v>55</v>
      </c>
      <c r="D2314" s="2"/>
      <c r="E2314" s="2"/>
      <c r="F2314" s="8">
        <v>0</v>
      </c>
      <c r="G2314" s="8"/>
      <c r="H2314" s="8">
        <v>0</v>
      </c>
      <c r="I2314" s="8"/>
      <c r="M2314" s="3">
        <v>0</v>
      </c>
      <c r="O2314" s="3">
        <v>0</v>
      </c>
    </row>
    <row r="2315" spans="1:61">
      <c r="A2315" s="6">
        <v>5</v>
      </c>
      <c r="B2315" s="1" t="s">
        <v>744</v>
      </c>
      <c r="C2315" s="1" t="s">
        <v>56</v>
      </c>
      <c r="D2315" s="2"/>
      <c r="E2315" s="2"/>
      <c r="F2315" s="8">
        <v>0</v>
      </c>
      <c r="G2315" s="8"/>
      <c r="H2315" s="8">
        <v>0</v>
      </c>
      <c r="I2315" s="8"/>
      <c r="M2315" s="3">
        <v>0</v>
      </c>
      <c r="O2315" s="3">
        <v>0</v>
      </c>
    </row>
    <row r="2316" spans="1:61">
      <c r="A2316" s="6">
        <v>2</v>
      </c>
      <c r="B2316" s="1" t="s">
        <v>744</v>
      </c>
      <c r="C2316" s="1" t="s">
        <v>53</v>
      </c>
      <c r="D2316" s="2"/>
      <c r="E2316" s="2"/>
      <c r="F2316" s="8">
        <v>22</v>
      </c>
      <c r="G2316" s="8"/>
      <c r="H2316" s="8">
        <v>22</v>
      </c>
      <c r="I2316" s="8"/>
      <c r="L2316" s="1" t="s">
        <v>423</v>
      </c>
      <c r="M2316" s="3">
        <v>0</v>
      </c>
      <c r="O2316" s="3">
        <v>0</v>
      </c>
      <c r="Q2316" s="3"/>
    </row>
    <row r="2317" spans="1:61">
      <c r="B2317" s="1" t="s">
        <v>744</v>
      </c>
      <c r="C2317" s="1" t="s">
        <v>597</v>
      </c>
      <c r="D2317" s="2"/>
      <c r="E2317" s="2"/>
      <c r="F2317" s="8"/>
      <c r="G2317" s="8"/>
      <c r="H2317" s="8"/>
      <c r="I2317" s="8"/>
      <c r="Q2317" s="3"/>
      <c r="T2317" s="3"/>
      <c r="W2317" s="3"/>
      <c r="X2317" s="3">
        <v>16.559999999999999</v>
      </c>
      <c r="AM2317" s="3">
        <v>32.47</v>
      </c>
    </row>
    <row r="2318" spans="1:61">
      <c r="B2318" s="1" t="s">
        <v>744</v>
      </c>
      <c r="C2318" s="1" t="s">
        <v>600</v>
      </c>
      <c r="D2318" s="2"/>
      <c r="E2318" s="2"/>
      <c r="F2318" s="8"/>
      <c r="G2318" s="8"/>
      <c r="H2318" s="8"/>
      <c r="I2318" s="8"/>
      <c r="Q2318" s="3"/>
      <c r="T2318" s="3"/>
      <c r="W2318" s="3"/>
      <c r="AJ2318" s="3">
        <v>32.47</v>
      </c>
      <c r="AS2318" s="3">
        <v>30.82</v>
      </c>
    </row>
    <row r="2319" spans="1:61">
      <c r="B2319" s="1" t="s">
        <v>744</v>
      </c>
      <c r="C2319" s="1" t="s">
        <v>595</v>
      </c>
      <c r="D2319" s="2"/>
      <c r="E2319" s="2"/>
      <c r="F2319" s="8"/>
      <c r="G2319" s="8"/>
      <c r="H2319" s="8"/>
      <c r="I2319" s="8"/>
      <c r="Q2319" s="3"/>
      <c r="T2319" s="3"/>
      <c r="W2319" s="3"/>
      <c r="X2319" s="3">
        <v>2.4</v>
      </c>
      <c r="AD2319" s="24">
        <v>4.5999999999999996</v>
      </c>
      <c r="AG2319" s="3">
        <v>5.28</v>
      </c>
      <c r="AI2319" s="3">
        <f>AG2319-AD2319</f>
        <v>0.6800000000000006</v>
      </c>
      <c r="AJ2319" s="3">
        <v>6.27</v>
      </c>
      <c r="AL2319" s="3">
        <f>AJ2319-AG2319</f>
        <v>0.98999999999999932</v>
      </c>
      <c r="AM2319" s="3">
        <v>5.13</v>
      </c>
      <c r="AO2319" s="3">
        <f>AM2319-AJ2319</f>
        <v>-1.1399999999999997</v>
      </c>
    </row>
    <row r="2320" spans="1:61">
      <c r="A2320" s="6">
        <v>12</v>
      </c>
      <c r="B2320" s="1" t="s">
        <v>744</v>
      </c>
      <c r="C2320" s="1" t="s">
        <v>594</v>
      </c>
      <c r="D2320" s="2"/>
      <c r="E2320" s="2"/>
      <c r="F2320" s="8">
        <v>5</v>
      </c>
      <c r="G2320" s="8"/>
      <c r="H2320" s="8">
        <v>5</v>
      </c>
      <c r="I2320" s="8"/>
      <c r="M2320" s="3">
        <v>63</v>
      </c>
      <c r="O2320" s="3">
        <v>63</v>
      </c>
      <c r="Q2320" s="3">
        <f>O2320-H2320</f>
        <v>58</v>
      </c>
      <c r="R2320" s="3">
        <v>3.6</v>
      </c>
      <c r="T2320" s="3">
        <f>R2320-O2320</f>
        <v>-59.4</v>
      </c>
      <c r="U2320" s="3">
        <v>3.05</v>
      </c>
      <c r="W2320" s="3">
        <f>U2320-R2320</f>
        <v>-0.55000000000000027</v>
      </c>
      <c r="X2320" s="3">
        <v>4</v>
      </c>
      <c r="Z2320" s="3">
        <f>X2320-U2320</f>
        <v>0.95000000000000018</v>
      </c>
      <c r="AA2320" s="3">
        <v>6.18</v>
      </c>
      <c r="AC2320" s="3">
        <f>AA2320-X2320</f>
        <v>2.1799999999999997</v>
      </c>
      <c r="AD2320" s="24">
        <v>3.82</v>
      </c>
      <c r="AF2320" s="24">
        <f>AD2320-AA2320</f>
        <v>-2.36</v>
      </c>
      <c r="AG2320" s="3">
        <v>2.71</v>
      </c>
      <c r="AI2320" s="3">
        <f>AG2320-AD2320</f>
        <v>-1.1099999999999999</v>
      </c>
      <c r="AJ2320" s="3">
        <v>4.4400000000000004</v>
      </c>
      <c r="AL2320" s="3">
        <f>AJ2320-AG2320</f>
        <v>1.7300000000000004</v>
      </c>
      <c r="AM2320" s="3">
        <v>4.4400000000000004</v>
      </c>
      <c r="AO2320" s="3">
        <f>AM2320-AJ2320</f>
        <v>0</v>
      </c>
      <c r="AP2320" s="3">
        <v>3.73</v>
      </c>
      <c r="AS2320" s="3">
        <v>4.21</v>
      </c>
      <c r="AV2320" s="3">
        <v>5.33</v>
      </c>
      <c r="AZ2320" s="3">
        <v>5.15</v>
      </c>
      <c r="BA2320" s="1" t="s">
        <v>852</v>
      </c>
      <c r="BC2320" s="3">
        <v>5.15</v>
      </c>
      <c r="BD2320" s="3">
        <v>4.68</v>
      </c>
      <c r="BG2320" s="3">
        <v>4.68</v>
      </c>
      <c r="BH2320" s="114">
        <v>6.4</v>
      </c>
    </row>
    <row r="2321" spans="1:60">
      <c r="A2321" s="6">
        <v>14</v>
      </c>
      <c r="B2321" s="1" t="s">
        <v>744</v>
      </c>
      <c r="C2321" s="1" t="s">
        <v>58</v>
      </c>
      <c r="D2321" s="2"/>
      <c r="E2321" s="2"/>
      <c r="F2321" s="8">
        <v>14</v>
      </c>
      <c r="G2321" s="8"/>
      <c r="H2321" s="8">
        <v>14</v>
      </c>
      <c r="I2321" s="8"/>
      <c r="L2321" s="1" t="s">
        <v>590</v>
      </c>
      <c r="M2321" s="3">
        <v>155</v>
      </c>
      <c r="O2321" s="3">
        <v>155</v>
      </c>
      <c r="Q2321" s="3">
        <f>O2321-H2321</f>
        <v>141</v>
      </c>
      <c r="R2321" s="3">
        <v>13.86</v>
      </c>
      <c r="T2321" s="3">
        <f>R2321-O2321</f>
        <v>-141.13999999999999</v>
      </c>
      <c r="U2321" s="3">
        <v>8.7100000000000009</v>
      </c>
      <c r="W2321" s="3">
        <f>U2321-R2321</f>
        <v>-5.1499999999999986</v>
      </c>
      <c r="X2321" s="3">
        <v>10.050000000000001</v>
      </c>
      <c r="Z2321" s="3">
        <f>X2321-U2321</f>
        <v>1.3399999999999999</v>
      </c>
      <c r="AA2321" s="3">
        <v>14.68</v>
      </c>
      <c r="AC2321" s="3">
        <f>AA2321-X2321</f>
        <v>4.629999999999999</v>
      </c>
      <c r="AD2321" s="24">
        <v>8.84</v>
      </c>
      <c r="AF2321" s="24">
        <f>AD2321-AA2321</f>
        <v>-5.84</v>
      </c>
      <c r="AJ2321" s="3">
        <v>6.27</v>
      </c>
      <c r="AL2321" s="3"/>
      <c r="AP2321" s="3">
        <v>5.94</v>
      </c>
      <c r="AS2321" s="3">
        <v>7.3</v>
      </c>
      <c r="AV2321" s="3">
        <v>8.7100000000000009</v>
      </c>
      <c r="AZ2321" s="3">
        <v>6.22</v>
      </c>
      <c r="BA2321" s="1" t="s">
        <v>852</v>
      </c>
      <c r="BC2321" s="3">
        <v>6.22</v>
      </c>
      <c r="BD2321" s="3">
        <v>6.96</v>
      </c>
      <c r="BG2321" s="3">
        <v>6.96</v>
      </c>
      <c r="BH2321" s="3">
        <v>10.33</v>
      </c>
    </row>
    <row r="2322" spans="1:60">
      <c r="B2322" s="1" t="s">
        <v>744</v>
      </c>
      <c r="C2322" s="1" t="s">
        <v>857</v>
      </c>
      <c r="D2322" s="2"/>
      <c r="E2322" s="2"/>
      <c r="F2322" s="8"/>
      <c r="G2322" s="8"/>
      <c r="H2322" s="8"/>
      <c r="I2322" s="8"/>
      <c r="Q2322" s="3"/>
      <c r="T2322" s="3"/>
      <c r="W2322" s="3"/>
      <c r="AC2322" s="3"/>
      <c r="AF2322" s="24"/>
      <c r="AL2322" s="3"/>
      <c r="BD2322" s="3">
        <v>8.58</v>
      </c>
      <c r="BG2322" s="3">
        <v>8.58</v>
      </c>
      <c r="BH2322" s="114">
        <v>9.6</v>
      </c>
    </row>
    <row r="2323" spans="1:60">
      <c r="B2323" s="1" t="s">
        <v>744</v>
      </c>
      <c r="C2323" s="1" t="s">
        <v>289</v>
      </c>
      <c r="D2323" s="2"/>
      <c r="E2323" s="2"/>
      <c r="F2323" s="8"/>
      <c r="G2323" s="8"/>
      <c r="H2323" s="8"/>
      <c r="I2323" s="8"/>
      <c r="Q2323" s="3"/>
      <c r="T2323" s="3"/>
      <c r="W2323" s="3"/>
      <c r="AC2323" s="3"/>
      <c r="AF2323" s="24"/>
      <c r="AI2323" s="3"/>
      <c r="AL2323" s="3"/>
      <c r="AO2323" s="3"/>
      <c r="AS2323" s="3">
        <v>6.33</v>
      </c>
      <c r="AV2323" s="3">
        <v>7.14</v>
      </c>
      <c r="AZ2323" s="3">
        <v>6.33</v>
      </c>
      <c r="BA2323" s="1" t="s">
        <v>852</v>
      </c>
      <c r="BH2323" s="3">
        <v>15.47</v>
      </c>
    </row>
    <row r="2324" spans="1:60">
      <c r="B2324" s="1" t="s">
        <v>744</v>
      </c>
      <c r="C2324" s="1" t="s">
        <v>290</v>
      </c>
      <c r="D2324" s="2"/>
      <c r="E2324" s="2"/>
      <c r="F2324" s="8"/>
      <c r="G2324" s="8"/>
      <c r="H2324" s="8"/>
      <c r="I2324" s="8"/>
      <c r="Q2324" s="3"/>
      <c r="T2324" s="3"/>
      <c r="W2324" s="3"/>
      <c r="AC2324" s="3"/>
      <c r="AF2324" s="24"/>
      <c r="AI2324" s="3"/>
      <c r="AL2324" s="3"/>
      <c r="AO2324" s="3"/>
      <c r="BH2324" s="3">
        <v>7.17</v>
      </c>
    </row>
    <row r="2325" spans="1:60">
      <c r="B2325" s="1" t="s">
        <v>744</v>
      </c>
      <c r="C2325" s="1" t="s">
        <v>64</v>
      </c>
      <c r="D2325" s="2"/>
      <c r="E2325" s="2"/>
      <c r="F2325" s="8"/>
      <c r="G2325" s="8"/>
      <c r="H2325" s="8"/>
      <c r="I2325" s="8"/>
      <c r="Q2325" s="3"/>
      <c r="R2325" s="3">
        <v>15.09</v>
      </c>
      <c r="T2325" s="3"/>
      <c r="U2325" s="3">
        <v>5.8</v>
      </c>
      <c r="W2325" s="3">
        <f>U2325-R2325</f>
        <v>-9.2899999999999991</v>
      </c>
      <c r="X2325" s="3">
        <v>11.83</v>
      </c>
      <c r="Z2325" s="3">
        <f>X2325-U2325</f>
        <v>6.03</v>
      </c>
      <c r="AA2325" s="3">
        <v>18.66</v>
      </c>
      <c r="AC2325" s="3">
        <f>AA2325-X2325</f>
        <v>6.83</v>
      </c>
      <c r="AD2325" s="24">
        <v>10.75</v>
      </c>
      <c r="AF2325" s="24">
        <f>AD2325-AA2325</f>
        <v>-7.91</v>
      </c>
      <c r="AJ2325" s="3">
        <v>6.27</v>
      </c>
      <c r="AM2325" s="3">
        <v>5.7</v>
      </c>
      <c r="AO2325" s="3">
        <f>AM2325-AJ2325</f>
        <v>-0.5699999999999994</v>
      </c>
      <c r="AP2325" s="3">
        <v>8.11</v>
      </c>
      <c r="AS2325" s="3">
        <v>10.119999999999999</v>
      </c>
      <c r="AV2325" s="3">
        <v>9.8800000000000008</v>
      </c>
      <c r="AZ2325" s="3">
        <v>6.07</v>
      </c>
      <c r="BA2325" s="1" t="s">
        <v>852</v>
      </c>
      <c r="BC2325" s="3">
        <v>6.07</v>
      </c>
      <c r="BD2325" s="3">
        <v>6.74</v>
      </c>
      <c r="BG2325" s="3">
        <v>6.74</v>
      </c>
      <c r="BH2325" s="3">
        <v>18.82</v>
      </c>
    </row>
    <row r="2326" spans="1:60">
      <c r="B2326" s="1" t="s">
        <v>744</v>
      </c>
      <c r="C2326" s="1" t="s">
        <v>855</v>
      </c>
      <c r="D2326" s="2"/>
      <c r="E2326" s="2"/>
      <c r="F2326" s="8"/>
      <c r="G2326" s="8"/>
      <c r="H2326" s="8"/>
      <c r="I2326" s="8"/>
      <c r="Q2326" s="3"/>
      <c r="T2326" s="3"/>
      <c r="W2326" s="3"/>
      <c r="AC2326" s="3"/>
      <c r="AF2326" s="24"/>
      <c r="AO2326" s="3"/>
      <c r="AZ2326" s="3">
        <v>7.48</v>
      </c>
      <c r="BA2326" s="1" t="s">
        <v>852</v>
      </c>
      <c r="BC2326" s="3">
        <v>7.48</v>
      </c>
    </row>
    <row r="2327" spans="1:60">
      <c r="B2327" s="1" t="s">
        <v>744</v>
      </c>
      <c r="C2327" s="1" t="s">
        <v>286</v>
      </c>
      <c r="D2327" s="2"/>
      <c r="E2327" s="2"/>
      <c r="F2327" s="8"/>
      <c r="G2327" s="8"/>
      <c r="H2327" s="8"/>
      <c r="I2327" s="8"/>
      <c r="Q2327" s="3"/>
      <c r="R2327" s="3">
        <v>16.53</v>
      </c>
      <c r="T2327" s="3"/>
      <c r="U2327" s="3">
        <v>8</v>
      </c>
      <c r="W2327" s="3">
        <f>U2327-R2327</f>
        <v>-8.5300000000000011</v>
      </c>
      <c r="X2327" s="3">
        <v>12.57</v>
      </c>
      <c r="Z2327" s="3">
        <f>X2327-U2327</f>
        <v>4.57</v>
      </c>
      <c r="AA2327" s="3">
        <v>18.16</v>
      </c>
      <c r="AC2327" s="3">
        <f>AA2327-X2327</f>
        <v>5.59</v>
      </c>
      <c r="AD2327" s="24">
        <v>10.75</v>
      </c>
      <c r="AF2327" s="24">
        <f>AD2327-AA2327</f>
        <v>-7.41</v>
      </c>
      <c r="AG2327" s="3">
        <v>9.5299999999999994</v>
      </c>
      <c r="AI2327" s="3">
        <f>AG2327-AD2327</f>
        <v>-1.2200000000000006</v>
      </c>
      <c r="AJ2327" s="3">
        <v>6.27</v>
      </c>
      <c r="AL2327" s="3">
        <f>AJ2327-AG2327</f>
        <v>-3.26</v>
      </c>
      <c r="AM2327" s="3">
        <v>6.78</v>
      </c>
      <c r="AO2327" s="3">
        <f>AM2327-AJ2327</f>
        <v>0.51000000000000068</v>
      </c>
      <c r="AP2327" s="3">
        <v>7.39</v>
      </c>
      <c r="AS2327" s="3">
        <v>8.33</v>
      </c>
      <c r="AV2327" s="3">
        <v>12.4</v>
      </c>
      <c r="BD2327" s="3">
        <v>8.57</v>
      </c>
      <c r="BG2327" s="3">
        <v>8.57</v>
      </c>
      <c r="BH2327" s="114">
        <v>9.52</v>
      </c>
    </row>
    <row r="2328" spans="1:60">
      <c r="B2328" s="1" t="s">
        <v>744</v>
      </c>
      <c r="C2328" s="1" t="s">
        <v>288</v>
      </c>
      <c r="D2328" s="2"/>
      <c r="E2328" s="2"/>
      <c r="F2328" s="8"/>
      <c r="G2328" s="8"/>
      <c r="H2328" s="8"/>
      <c r="I2328" s="8"/>
      <c r="Q2328" s="3"/>
      <c r="R2328" s="3">
        <v>19.8</v>
      </c>
      <c r="T2328" s="3"/>
      <c r="U2328" s="3">
        <v>9.8000000000000007</v>
      </c>
      <c r="W2328" s="3">
        <f>U2328-R2328</f>
        <v>-10</v>
      </c>
      <c r="X2328" s="3">
        <v>13.31</v>
      </c>
      <c r="Z2328" s="3">
        <f>X2328-U2328</f>
        <v>3.51</v>
      </c>
      <c r="AA2328" s="3">
        <v>17</v>
      </c>
      <c r="AC2328" s="3">
        <f>AA2328-X2328</f>
        <v>3.6899999999999995</v>
      </c>
      <c r="AD2328" s="24">
        <v>10.75</v>
      </c>
      <c r="AF2328" s="24">
        <f>AD2328-AA2328</f>
        <v>-6.25</v>
      </c>
      <c r="AG2328" s="3">
        <v>7.59</v>
      </c>
      <c r="AI2328" s="3">
        <f>AG2328-AD2328</f>
        <v>-3.16</v>
      </c>
      <c r="AJ2328" s="3">
        <v>7.52</v>
      </c>
      <c r="AL2328" s="3">
        <f>AJ2328-AG2328</f>
        <v>-7.0000000000000284E-2</v>
      </c>
      <c r="AM2328" s="3">
        <v>7.52</v>
      </c>
      <c r="AO2328" s="3">
        <f>AM2328-AJ2328</f>
        <v>0</v>
      </c>
      <c r="AP2328" s="3">
        <v>7.13</v>
      </c>
      <c r="AS2328" s="3">
        <v>9.76</v>
      </c>
      <c r="AV2328" s="3">
        <v>9.93</v>
      </c>
      <c r="AZ2328" s="3">
        <v>8.33</v>
      </c>
      <c r="BA2328" s="1" t="s">
        <v>852</v>
      </c>
      <c r="BC2328" s="3">
        <v>8.33</v>
      </c>
      <c r="BD2328" s="3">
        <v>6.73</v>
      </c>
      <c r="BG2328" s="3">
        <v>6.73</v>
      </c>
      <c r="BH2328" s="3">
        <v>10.5</v>
      </c>
    </row>
    <row r="2329" spans="1:60">
      <c r="A2329" s="6">
        <v>11</v>
      </c>
      <c r="B2329" s="1" t="s">
        <v>744</v>
      </c>
      <c r="C2329" s="1" t="s">
        <v>57</v>
      </c>
      <c r="D2329" s="2"/>
      <c r="E2329" s="2"/>
      <c r="F2329" s="8">
        <v>24</v>
      </c>
      <c r="G2329" s="8"/>
      <c r="H2329" s="8">
        <v>24</v>
      </c>
      <c r="I2329" s="8"/>
      <c r="L2329" s="1" t="s">
        <v>188</v>
      </c>
      <c r="M2329" s="3">
        <v>140</v>
      </c>
      <c r="O2329" s="3">
        <v>140</v>
      </c>
      <c r="Q2329" s="3">
        <f>O2329-H2329</f>
        <v>116</v>
      </c>
    </row>
    <row r="2330" spans="1:60">
      <c r="B2330" s="1" t="s">
        <v>744</v>
      </c>
      <c r="C2330" s="1" t="s">
        <v>287</v>
      </c>
      <c r="D2330" s="2"/>
      <c r="E2330" s="2"/>
      <c r="F2330" s="8"/>
      <c r="G2330" s="8"/>
      <c r="H2330" s="8"/>
      <c r="I2330" s="8"/>
      <c r="Q2330" s="3"/>
      <c r="R2330" s="3">
        <v>29.32</v>
      </c>
      <c r="T2330" s="3"/>
      <c r="U2330" s="3">
        <v>11.61</v>
      </c>
      <c r="W2330" s="3">
        <f>U2330-R2330</f>
        <v>-17.71</v>
      </c>
      <c r="X2330" s="3">
        <v>10.35</v>
      </c>
      <c r="Z2330" s="3">
        <f>X2330-U2330</f>
        <v>-1.2599999999999998</v>
      </c>
      <c r="AA2330" s="3">
        <v>19.11</v>
      </c>
      <c r="AC2330" s="3">
        <f>AA2330-X2330</f>
        <v>8.76</v>
      </c>
      <c r="AD2330" s="24">
        <v>10.75</v>
      </c>
      <c r="AF2330" s="24">
        <f>AD2330-AA2330</f>
        <v>-8.36</v>
      </c>
      <c r="AG2330" s="3">
        <v>8.2799999999999994</v>
      </c>
      <c r="AI2330" s="3">
        <f>AG2330-AD2330</f>
        <v>-2.4700000000000006</v>
      </c>
      <c r="AJ2330" s="3">
        <v>8.1999999999999993</v>
      </c>
      <c r="AL2330" s="3">
        <f>AJ2330-AG2330</f>
        <v>-8.0000000000000071E-2</v>
      </c>
      <c r="AM2330" s="3">
        <v>7.52</v>
      </c>
      <c r="AO2330" s="3">
        <f>AM2330-AJ2330</f>
        <v>-0.67999999999999972</v>
      </c>
      <c r="AS2330" s="3">
        <v>8.07</v>
      </c>
      <c r="AV2330" s="3">
        <v>9.85</v>
      </c>
      <c r="AZ2330" s="3">
        <v>7.16</v>
      </c>
      <c r="BA2330" s="1" t="s">
        <v>852</v>
      </c>
      <c r="BC2330" s="3">
        <v>7.16</v>
      </c>
      <c r="BD2330" s="3">
        <v>6.1</v>
      </c>
      <c r="BG2330" s="3">
        <v>6.1</v>
      </c>
      <c r="BH2330" s="3">
        <v>9.7899999999999991</v>
      </c>
    </row>
    <row r="2331" spans="1:60">
      <c r="A2331" s="6">
        <v>1</v>
      </c>
      <c r="B2331" s="1" t="s">
        <v>745</v>
      </c>
      <c r="C2331" s="1" t="s">
        <v>52</v>
      </c>
      <c r="D2331" s="2"/>
      <c r="E2331" s="2"/>
      <c r="F2331" s="8">
        <v>0</v>
      </c>
      <c r="G2331" s="8"/>
      <c r="H2331" s="8">
        <v>0</v>
      </c>
      <c r="I2331" s="8"/>
      <c r="AE2331" s="1" t="s">
        <v>285</v>
      </c>
    </row>
    <row r="2332" spans="1:60">
      <c r="A2332" s="6">
        <v>3</v>
      </c>
      <c r="B2332" s="1" t="s">
        <v>745</v>
      </c>
      <c r="C2332" s="1" t="s">
        <v>54</v>
      </c>
      <c r="D2332" s="2"/>
      <c r="E2332" s="2"/>
      <c r="F2332" s="8">
        <v>0</v>
      </c>
      <c r="G2332" s="8"/>
      <c r="H2332" s="8">
        <v>0</v>
      </c>
      <c r="I2332" s="8"/>
      <c r="AE2332" s="1" t="s">
        <v>285</v>
      </c>
    </row>
    <row r="2333" spans="1:60">
      <c r="A2333" s="6">
        <v>4</v>
      </c>
      <c r="B2333" s="1" t="s">
        <v>745</v>
      </c>
      <c r="C2333" s="1" t="s">
        <v>55</v>
      </c>
      <c r="D2333" s="2"/>
      <c r="E2333" s="2"/>
      <c r="F2333" s="8">
        <v>0</v>
      </c>
      <c r="G2333" s="8"/>
      <c r="H2333" s="8">
        <v>0</v>
      </c>
      <c r="I2333" s="8"/>
      <c r="AE2333" s="1" t="s">
        <v>285</v>
      </c>
    </row>
    <row r="2334" spans="1:60">
      <c r="A2334" s="6">
        <v>5</v>
      </c>
      <c r="B2334" s="1" t="s">
        <v>745</v>
      </c>
      <c r="C2334" s="1" t="s">
        <v>56</v>
      </c>
      <c r="D2334" s="2"/>
      <c r="E2334" s="2"/>
      <c r="F2334" s="8">
        <v>0</v>
      </c>
      <c r="G2334" s="8"/>
      <c r="H2334" s="8">
        <v>0</v>
      </c>
      <c r="I2334" s="8"/>
      <c r="AE2334" s="1" t="s">
        <v>285</v>
      </c>
    </row>
    <row r="2335" spans="1:60">
      <c r="A2335" s="6">
        <v>2</v>
      </c>
      <c r="B2335" s="1" t="s">
        <v>745</v>
      </c>
      <c r="C2335" s="1" t="s">
        <v>53</v>
      </c>
      <c r="D2335" s="2"/>
      <c r="E2335" s="2"/>
      <c r="F2335" s="8">
        <v>0</v>
      </c>
      <c r="G2335" s="8">
        <v>9.3800000000000008</v>
      </c>
      <c r="H2335" s="8">
        <v>9.3800000000000008</v>
      </c>
      <c r="I2335" s="8"/>
      <c r="M2335" s="3">
        <v>18</v>
      </c>
      <c r="O2335" s="3">
        <v>18</v>
      </c>
      <c r="Q2335" s="3">
        <f>O2335-H2335</f>
        <v>8.6199999999999992</v>
      </c>
      <c r="R2335" s="3">
        <v>14</v>
      </c>
      <c r="T2335" s="3">
        <f>R2335-O2335</f>
        <v>-4</v>
      </c>
      <c r="U2335" s="3">
        <v>7.82</v>
      </c>
      <c r="W2335" s="3">
        <f>U2335-R2335</f>
        <v>-6.18</v>
      </c>
      <c r="AE2335" s="1" t="s">
        <v>285</v>
      </c>
    </row>
    <row r="2336" spans="1:60">
      <c r="B2336" s="1" t="s">
        <v>745</v>
      </c>
      <c r="C2336" s="1" t="s">
        <v>597</v>
      </c>
      <c r="D2336" s="2"/>
      <c r="E2336" s="2"/>
      <c r="F2336" s="8"/>
      <c r="G2336" s="8"/>
      <c r="H2336" s="8"/>
      <c r="I2336" s="8"/>
      <c r="Q2336" s="3"/>
      <c r="T2336" s="3"/>
      <c r="W2336" s="3"/>
      <c r="AP2336" s="3">
        <v>10</v>
      </c>
      <c r="AS2336" s="3">
        <v>11</v>
      </c>
      <c r="AV2336" s="3">
        <v>11</v>
      </c>
      <c r="AY2336" s="3">
        <v>10</v>
      </c>
      <c r="AZ2336" s="3">
        <v>10</v>
      </c>
      <c r="BC2336" s="3">
        <v>10</v>
      </c>
      <c r="BD2336" s="3">
        <v>11</v>
      </c>
    </row>
    <row r="2337" spans="1:60">
      <c r="B2337" s="1" t="s">
        <v>745</v>
      </c>
      <c r="C2337" s="1" t="s">
        <v>595</v>
      </c>
      <c r="D2337" s="2"/>
      <c r="E2337" s="2"/>
      <c r="F2337" s="8"/>
      <c r="G2337" s="8"/>
      <c r="H2337" s="8"/>
      <c r="I2337" s="8"/>
      <c r="Q2337" s="3"/>
      <c r="T2337" s="3"/>
      <c r="U2337" s="3">
        <v>2.27</v>
      </c>
      <c r="X2337" s="3">
        <v>8</v>
      </c>
      <c r="Z2337" s="3">
        <f>X2337-U2337</f>
        <v>5.73</v>
      </c>
      <c r="AA2337" s="3">
        <v>3</v>
      </c>
      <c r="AC2337" s="3">
        <f>AA2337-X2337</f>
        <v>-5</v>
      </c>
      <c r="AE2337" s="1" t="s">
        <v>285</v>
      </c>
      <c r="AG2337" s="3">
        <v>10</v>
      </c>
      <c r="AJ2337" s="3">
        <v>3</v>
      </c>
      <c r="AL2337" s="3">
        <f>AJ2337-AG2337</f>
        <v>-7</v>
      </c>
      <c r="AM2337" s="3">
        <v>4</v>
      </c>
      <c r="AO2337" s="3">
        <f>AM2337-AJ2337</f>
        <v>1</v>
      </c>
      <c r="AP2337" s="3">
        <v>10</v>
      </c>
      <c r="AS2337" s="3">
        <v>11</v>
      </c>
      <c r="AV2337" s="3">
        <v>12</v>
      </c>
    </row>
    <row r="2338" spans="1:60">
      <c r="B2338" s="1" t="s">
        <v>745</v>
      </c>
      <c r="C2338" s="1" t="s">
        <v>700</v>
      </c>
      <c r="D2338" s="2"/>
      <c r="E2338" s="2"/>
      <c r="F2338" s="8"/>
      <c r="G2338" s="8"/>
      <c r="H2338" s="8"/>
      <c r="I2338" s="8"/>
      <c r="Q2338" s="3"/>
      <c r="T2338" s="3"/>
      <c r="AC2338" s="3"/>
      <c r="AL2338" s="3"/>
      <c r="AO2338" s="3"/>
      <c r="AY2338" s="3">
        <v>5</v>
      </c>
      <c r="AZ2338" s="3">
        <v>5.5</v>
      </c>
    </row>
    <row r="2339" spans="1:60">
      <c r="A2339" s="6">
        <v>12</v>
      </c>
      <c r="B2339" s="1" t="s">
        <v>745</v>
      </c>
      <c r="C2339" s="1" t="s">
        <v>594</v>
      </c>
      <c r="D2339" s="2"/>
      <c r="E2339" s="2"/>
      <c r="F2339" s="8">
        <v>0</v>
      </c>
      <c r="G2339" s="8">
        <v>3.75</v>
      </c>
      <c r="H2339" s="8">
        <v>3.75</v>
      </c>
      <c r="I2339" s="8"/>
      <c r="M2339" s="3">
        <v>10</v>
      </c>
      <c r="O2339" s="3">
        <v>10</v>
      </c>
      <c r="Q2339" s="3">
        <f>O2339-H2339</f>
        <v>6.25</v>
      </c>
      <c r="R2339" s="3">
        <v>5</v>
      </c>
      <c r="T2339" s="3">
        <f>R2339-O2339</f>
        <v>-5</v>
      </c>
      <c r="U2339" s="3">
        <v>5.59</v>
      </c>
      <c r="W2339" s="3">
        <f>U2339-R2339</f>
        <v>0.58999999999999986</v>
      </c>
      <c r="X2339" s="3">
        <v>14</v>
      </c>
      <c r="Z2339" s="3">
        <f>X2339-U2339</f>
        <v>8.41</v>
      </c>
      <c r="AA2339" s="3">
        <v>4</v>
      </c>
      <c r="AC2339" s="3">
        <f>AA2339-X2339</f>
        <v>-10</v>
      </c>
      <c r="AE2339" s="1" t="s">
        <v>285</v>
      </c>
      <c r="AG2339" s="3">
        <v>16</v>
      </c>
      <c r="AJ2339" s="3">
        <v>3.5</v>
      </c>
      <c r="AL2339" s="3">
        <f>AJ2339-AG2339</f>
        <v>-12.5</v>
      </c>
      <c r="AM2339" s="3">
        <v>7</v>
      </c>
      <c r="AO2339" s="3">
        <f>AM2339-AJ2339</f>
        <v>3.5</v>
      </c>
      <c r="AP2339" s="3">
        <v>8</v>
      </c>
      <c r="AS2339" s="3">
        <v>9</v>
      </c>
      <c r="AV2339" s="3">
        <v>9</v>
      </c>
      <c r="AY2339" s="3">
        <v>7</v>
      </c>
      <c r="AZ2339" s="3">
        <v>7.5</v>
      </c>
      <c r="BC2339" s="3">
        <v>7.5</v>
      </c>
      <c r="BD2339" s="3">
        <v>8</v>
      </c>
      <c r="BG2339" s="3">
        <v>8</v>
      </c>
      <c r="BH2339" s="3">
        <v>8.5</v>
      </c>
    </row>
    <row r="2340" spans="1:60">
      <c r="A2340" s="6">
        <v>14</v>
      </c>
      <c r="B2340" s="1" t="s">
        <v>745</v>
      </c>
      <c r="C2340" s="1" t="s">
        <v>58</v>
      </c>
      <c r="D2340" s="2"/>
      <c r="E2340" s="2"/>
      <c r="F2340" s="8">
        <v>0</v>
      </c>
      <c r="G2340" s="8">
        <v>15.63</v>
      </c>
      <c r="H2340" s="8">
        <v>15.63</v>
      </c>
      <c r="I2340" s="8"/>
      <c r="M2340" s="3">
        <v>16</v>
      </c>
      <c r="O2340" s="3">
        <v>16</v>
      </c>
      <c r="Q2340" s="3">
        <f>O2340-H2340</f>
        <v>0.36999999999999922</v>
      </c>
      <c r="R2340" s="3">
        <v>7.6</v>
      </c>
      <c r="T2340" s="3">
        <f>R2340-O2340</f>
        <v>-8.4</v>
      </c>
      <c r="U2340" s="3">
        <v>10.54</v>
      </c>
      <c r="W2340" s="3">
        <f>U2340-R2340</f>
        <v>2.9399999999999995</v>
      </c>
      <c r="X2340" s="3">
        <v>14</v>
      </c>
      <c r="Z2340" s="3">
        <f>X2340-U2340</f>
        <v>3.4600000000000009</v>
      </c>
      <c r="AA2340" s="3">
        <v>8</v>
      </c>
      <c r="AC2340" s="3">
        <f>AA2340-X2340</f>
        <v>-6</v>
      </c>
      <c r="AE2340" s="1" t="s">
        <v>285</v>
      </c>
      <c r="AG2340" s="3">
        <v>16</v>
      </c>
      <c r="AJ2340" s="3">
        <v>6</v>
      </c>
      <c r="AL2340" s="3">
        <f>AJ2340-AG2340</f>
        <v>-10</v>
      </c>
      <c r="AM2340" s="3">
        <v>7</v>
      </c>
      <c r="AO2340" s="3">
        <f>AM2340-AJ2340</f>
        <v>1</v>
      </c>
      <c r="AP2340" s="3">
        <v>10</v>
      </c>
      <c r="AS2340" s="3">
        <v>10</v>
      </c>
      <c r="AV2340" s="3">
        <v>12</v>
      </c>
      <c r="AY2340" s="3">
        <v>9</v>
      </c>
      <c r="AZ2340" s="3">
        <v>10</v>
      </c>
      <c r="BC2340" s="3">
        <v>10</v>
      </c>
      <c r="BD2340" s="3">
        <v>13</v>
      </c>
      <c r="BG2340" s="3">
        <v>13</v>
      </c>
      <c r="BH2340" s="3">
        <v>14</v>
      </c>
    </row>
    <row r="2341" spans="1:60">
      <c r="B2341" s="1" t="s">
        <v>745</v>
      </c>
      <c r="C2341" s="1" t="s">
        <v>607</v>
      </c>
      <c r="D2341" s="2"/>
      <c r="E2341" s="2"/>
      <c r="F2341" s="8"/>
      <c r="G2341" s="8"/>
      <c r="H2341" s="8"/>
      <c r="I2341" s="8"/>
      <c r="Q2341" s="3"/>
      <c r="T2341" s="3"/>
      <c r="W2341" s="3"/>
      <c r="AJ2341" s="3">
        <v>35</v>
      </c>
      <c r="AM2341" s="3">
        <v>36</v>
      </c>
      <c r="AP2341" s="3">
        <v>13</v>
      </c>
      <c r="AS2341" s="3">
        <v>13</v>
      </c>
      <c r="AV2341" s="3">
        <v>14</v>
      </c>
    </row>
    <row r="2342" spans="1:60">
      <c r="B2342" s="1" t="s">
        <v>745</v>
      </c>
      <c r="C2342" s="1" t="s">
        <v>289</v>
      </c>
      <c r="D2342" s="2"/>
      <c r="E2342" s="2"/>
      <c r="F2342" s="8"/>
      <c r="G2342" s="8"/>
      <c r="H2342" s="8"/>
      <c r="I2342" s="8"/>
      <c r="Q2342" s="3"/>
      <c r="R2342" s="3">
        <v>28.6</v>
      </c>
      <c r="T2342" s="3"/>
      <c r="U2342" s="3">
        <v>10.89</v>
      </c>
      <c r="W2342" s="3">
        <f>U2342-R2342</f>
        <v>-17.71</v>
      </c>
      <c r="AE2342" s="1" t="s">
        <v>285</v>
      </c>
      <c r="AJ2342" s="3">
        <v>6</v>
      </c>
      <c r="AM2342" s="3">
        <v>7</v>
      </c>
      <c r="AO2342" s="3">
        <f>AM2342-AJ2342</f>
        <v>1</v>
      </c>
      <c r="AP2342" s="3">
        <v>20</v>
      </c>
      <c r="AS2342" s="3">
        <v>8</v>
      </c>
      <c r="AV2342" s="3">
        <v>10</v>
      </c>
      <c r="AY2342" s="3">
        <v>5</v>
      </c>
      <c r="AZ2342" s="3">
        <v>5.5</v>
      </c>
      <c r="BC2342" s="3">
        <v>5.5</v>
      </c>
      <c r="BD2342" s="3">
        <v>6</v>
      </c>
      <c r="BG2342" s="3">
        <v>6</v>
      </c>
      <c r="BH2342" s="3">
        <v>7</v>
      </c>
    </row>
    <row r="2343" spans="1:60">
      <c r="B2343" s="1" t="s">
        <v>745</v>
      </c>
      <c r="C2343" s="1" t="s">
        <v>64</v>
      </c>
      <c r="D2343" s="2"/>
      <c r="E2343" s="2"/>
      <c r="F2343" s="8"/>
      <c r="G2343" s="8"/>
      <c r="H2343" s="8"/>
      <c r="I2343" s="8"/>
      <c r="Q2343" s="3"/>
      <c r="R2343" s="3">
        <v>10</v>
      </c>
      <c r="T2343" s="3"/>
      <c r="U2343" s="3">
        <v>12.84</v>
      </c>
      <c r="W2343" s="3">
        <f>U2343-R2343</f>
        <v>2.84</v>
      </c>
      <c r="X2343" s="3">
        <v>18</v>
      </c>
      <c r="Z2343" s="3">
        <f>X2343-U2343</f>
        <v>5.16</v>
      </c>
      <c r="AA2343" s="3">
        <v>13</v>
      </c>
      <c r="AC2343" s="3">
        <f>AA2343-X2343</f>
        <v>-5</v>
      </c>
      <c r="AE2343" s="1" t="s">
        <v>285</v>
      </c>
      <c r="AG2343" s="3">
        <v>18</v>
      </c>
      <c r="AJ2343" s="3">
        <v>12</v>
      </c>
      <c r="AL2343" s="3">
        <f>AJ2343-AG2343</f>
        <v>-6</v>
      </c>
      <c r="AM2343" s="3">
        <v>13</v>
      </c>
      <c r="AO2343" s="3">
        <f>AM2343-AJ2343</f>
        <v>1</v>
      </c>
      <c r="AP2343" s="3">
        <v>12</v>
      </c>
      <c r="AS2343" s="3">
        <v>12</v>
      </c>
      <c r="AV2343" s="3">
        <v>12</v>
      </c>
      <c r="AY2343" s="3">
        <v>8.5</v>
      </c>
      <c r="AZ2343" s="3">
        <v>9</v>
      </c>
      <c r="BC2343" s="3">
        <v>9</v>
      </c>
      <c r="BD2343" s="3">
        <v>11.5</v>
      </c>
      <c r="BG2343" s="3">
        <v>11.5</v>
      </c>
      <c r="BH2343" s="3">
        <v>14</v>
      </c>
    </row>
    <row r="2344" spans="1:60">
      <c r="B2344" s="1" t="s">
        <v>745</v>
      </c>
      <c r="C2344" s="1" t="s">
        <v>286</v>
      </c>
      <c r="D2344" s="2"/>
      <c r="E2344" s="2"/>
      <c r="F2344" s="8"/>
      <c r="G2344" s="8"/>
      <c r="H2344" s="8"/>
      <c r="I2344" s="8"/>
      <c r="Q2344" s="3"/>
      <c r="T2344" s="3"/>
      <c r="U2344" s="3">
        <v>12.46</v>
      </c>
      <c r="AE2344" s="1" t="s">
        <v>285</v>
      </c>
      <c r="AJ2344" s="3">
        <v>14</v>
      </c>
      <c r="AM2344" s="3">
        <v>15</v>
      </c>
      <c r="AO2344" s="3">
        <f>AM2344-AJ2344</f>
        <v>1</v>
      </c>
      <c r="AP2344" s="3">
        <v>13</v>
      </c>
      <c r="AS2344" s="3">
        <v>11</v>
      </c>
      <c r="AV2344" s="3">
        <v>13</v>
      </c>
      <c r="AY2344" s="3">
        <v>8</v>
      </c>
      <c r="AZ2344" s="3">
        <v>8.5</v>
      </c>
      <c r="BC2344" s="3">
        <v>8.5</v>
      </c>
      <c r="BD2344" s="3">
        <v>11</v>
      </c>
      <c r="BG2344" s="3">
        <v>11</v>
      </c>
      <c r="BH2344" s="3">
        <v>12</v>
      </c>
    </row>
    <row r="2345" spans="1:60">
      <c r="B2345" s="1" t="s">
        <v>745</v>
      </c>
      <c r="C2345" s="1" t="s">
        <v>288</v>
      </c>
      <c r="D2345" s="2"/>
      <c r="E2345" s="2"/>
      <c r="F2345" s="8"/>
      <c r="G2345" s="8"/>
      <c r="H2345" s="8"/>
      <c r="I2345" s="8"/>
      <c r="Q2345" s="3"/>
      <c r="R2345" s="3">
        <v>8.6999999999999993</v>
      </c>
      <c r="T2345" s="3"/>
      <c r="U2345" s="3">
        <v>12.46</v>
      </c>
      <c r="W2345" s="3">
        <f>U2345-R2345</f>
        <v>3.7600000000000016</v>
      </c>
      <c r="AE2345" s="1" t="s">
        <v>285</v>
      </c>
      <c r="AJ2345" s="3">
        <v>15</v>
      </c>
      <c r="AL2345" s="3"/>
      <c r="AM2345" s="3">
        <v>16</v>
      </c>
      <c r="AO2345" s="3">
        <f>AM2345-AJ2345</f>
        <v>1</v>
      </c>
      <c r="AP2345" s="3">
        <v>11</v>
      </c>
      <c r="AS2345" s="3">
        <v>10</v>
      </c>
      <c r="AV2345" s="3">
        <v>13</v>
      </c>
      <c r="AY2345" s="3">
        <v>9</v>
      </c>
      <c r="AZ2345" s="3">
        <v>10</v>
      </c>
      <c r="BC2345" s="3">
        <v>10</v>
      </c>
      <c r="BD2345" s="3">
        <v>13.5</v>
      </c>
      <c r="BG2345" s="3">
        <v>13.5</v>
      </c>
      <c r="BH2345" s="3">
        <v>14.5</v>
      </c>
    </row>
    <row r="2346" spans="1:60">
      <c r="A2346" s="6">
        <v>11</v>
      </c>
      <c r="B2346" s="1" t="s">
        <v>745</v>
      </c>
      <c r="C2346" s="1" t="s">
        <v>57</v>
      </c>
      <c r="D2346" s="2"/>
      <c r="E2346" s="2"/>
      <c r="F2346" s="8">
        <v>0</v>
      </c>
      <c r="G2346" s="8">
        <v>15.63</v>
      </c>
      <c r="H2346" s="8">
        <v>15.63</v>
      </c>
      <c r="I2346" s="8"/>
      <c r="AE2346" s="1" t="s">
        <v>285</v>
      </c>
    </row>
    <row r="2347" spans="1:60">
      <c r="B2347" s="1" t="s">
        <v>745</v>
      </c>
      <c r="C2347" s="1" t="s">
        <v>287</v>
      </c>
      <c r="D2347" s="2"/>
      <c r="E2347" s="2"/>
      <c r="F2347" s="8"/>
      <c r="G2347" s="8"/>
      <c r="H2347" s="8"/>
      <c r="I2347" s="8"/>
      <c r="BC2347" s="3">
        <v>8</v>
      </c>
      <c r="BD2347" s="3">
        <v>10</v>
      </c>
    </row>
    <row r="2348" spans="1:60">
      <c r="A2348" s="6">
        <v>1</v>
      </c>
      <c r="B2348" s="103" t="s">
        <v>565</v>
      </c>
      <c r="C2348" s="1" t="s">
        <v>52</v>
      </c>
      <c r="D2348" s="2"/>
      <c r="E2348" s="2"/>
      <c r="F2348" s="8">
        <v>0</v>
      </c>
      <c r="G2348" s="8"/>
      <c r="H2348" s="8">
        <v>0</v>
      </c>
      <c r="I2348" s="8"/>
      <c r="P2348" s="1" t="s">
        <v>665</v>
      </c>
      <c r="S2348" s="1" t="s">
        <v>665</v>
      </c>
      <c r="V2348" s="1" t="s">
        <v>285</v>
      </c>
      <c r="Y2348" s="1" t="s">
        <v>285</v>
      </c>
      <c r="AB2348" s="1" t="s">
        <v>285</v>
      </c>
      <c r="AH2348" s="1" t="s">
        <v>285</v>
      </c>
      <c r="AQ2348" s="1" t="s">
        <v>285</v>
      </c>
      <c r="AT2348" s="1" t="s">
        <v>285</v>
      </c>
    </row>
    <row r="2349" spans="1:60">
      <c r="A2349" s="6">
        <v>3</v>
      </c>
      <c r="B2349" s="103" t="s">
        <v>565</v>
      </c>
      <c r="C2349" s="1" t="s">
        <v>54</v>
      </c>
      <c r="D2349" s="2"/>
      <c r="E2349" s="2"/>
      <c r="F2349" s="8">
        <v>0</v>
      </c>
      <c r="G2349" s="8"/>
      <c r="H2349" s="8">
        <v>0</v>
      </c>
      <c r="I2349" s="8"/>
      <c r="P2349" s="1" t="s">
        <v>665</v>
      </c>
      <c r="S2349" s="1" t="s">
        <v>665</v>
      </c>
      <c r="V2349" s="1" t="s">
        <v>285</v>
      </c>
      <c r="Y2349" s="1" t="s">
        <v>285</v>
      </c>
      <c r="AB2349" s="1" t="s">
        <v>285</v>
      </c>
      <c r="AH2349" s="1" t="s">
        <v>285</v>
      </c>
      <c r="AQ2349" s="1" t="s">
        <v>285</v>
      </c>
      <c r="AT2349" s="1" t="s">
        <v>285</v>
      </c>
    </row>
    <row r="2350" spans="1:60">
      <c r="A2350" s="6">
        <v>4</v>
      </c>
      <c r="B2350" s="103" t="s">
        <v>565</v>
      </c>
      <c r="C2350" s="1" t="s">
        <v>55</v>
      </c>
      <c r="D2350" s="2"/>
      <c r="E2350" s="2"/>
      <c r="F2350" s="8">
        <v>0</v>
      </c>
      <c r="G2350" s="8"/>
      <c r="H2350" s="8">
        <v>0</v>
      </c>
      <c r="I2350" s="8"/>
      <c r="P2350" s="1" t="s">
        <v>665</v>
      </c>
      <c r="S2350" s="1" t="s">
        <v>665</v>
      </c>
      <c r="V2350" s="1" t="s">
        <v>285</v>
      </c>
      <c r="Y2350" s="1" t="s">
        <v>285</v>
      </c>
      <c r="AB2350" s="1" t="s">
        <v>285</v>
      </c>
      <c r="AH2350" s="1" t="s">
        <v>285</v>
      </c>
      <c r="AQ2350" s="1" t="s">
        <v>285</v>
      </c>
      <c r="AT2350" s="1" t="s">
        <v>285</v>
      </c>
    </row>
    <row r="2351" spans="1:60">
      <c r="A2351" s="6">
        <v>5</v>
      </c>
      <c r="B2351" s="103" t="s">
        <v>565</v>
      </c>
      <c r="C2351" s="1" t="s">
        <v>56</v>
      </c>
      <c r="D2351" s="2"/>
      <c r="E2351" s="2"/>
      <c r="F2351" s="8">
        <v>0</v>
      </c>
      <c r="G2351" s="8"/>
      <c r="H2351" s="8">
        <v>0</v>
      </c>
      <c r="I2351" s="8"/>
      <c r="P2351" s="1" t="s">
        <v>665</v>
      </c>
      <c r="S2351" s="1" t="s">
        <v>665</v>
      </c>
      <c r="V2351" s="1" t="s">
        <v>285</v>
      </c>
      <c r="Y2351" s="1" t="s">
        <v>285</v>
      </c>
      <c r="AB2351" s="1" t="s">
        <v>285</v>
      </c>
      <c r="AH2351" s="1" t="s">
        <v>285</v>
      </c>
      <c r="AQ2351" s="1" t="s">
        <v>285</v>
      </c>
      <c r="AT2351" s="1" t="s">
        <v>285</v>
      </c>
    </row>
    <row r="2352" spans="1:60">
      <c r="A2352" s="6">
        <v>2</v>
      </c>
      <c r="B2352" s="103" t="s">
        <v>565</v>
      </c>
      <c r="C2352" s="1" t="s">
        <v>53</v>
      </c>
      <c r="D2352" s="2">
        <v>68</v>
      </c>
      <c r="E2352" s="2"/>
      <c r="F2352" s="8">
        <v>0</v>
      </c>
      <c r="G2352" s="8"/>
      <c r="H2352" s="8">
        <v>0</v>
      </c>
      <c r="I2352" s="8"/>
      <c r="P2352" s="1" t="s">
        <v>665</v>
      </c>
      <c r="S2352" s="1" t="s">
        <v>665</v>
      </c>
      <c r="V2352" s="1" t="s">
        <v>285</v>
      </c>
      <c r="Y2352" s="1" t="s">
        <v>285</v>
      </c>
      <c r="AB2352" s="1" t="s">
        <v>285</v>
      </c>
      <c r="AH2352" s="1" t="s">
        <v>285</v>
      </c>
      <c r="AQ2352" s="1" t="s">
        <v>285</v>
      </c>
      <c r="AT2352" s="1" t="s">
        <v>285</v>
      </c>
    </row>
    <row r="2353" spans="1:61">
      <c r="B2353" s="103" t="s">
        <v>565</v>
      </c>
      <c r="C2353" s="1" t="s">
        <v>158</v>
      </c>
      <c r="D2353" s="2"/>
      <c r="E2353" s="2"/>
      <c r="F2353" s="8"/>
      <c r="G2353" s="8"/>
      <c r="H2353" s="8"/>
      <c r="I2353" s="8"/>
      <c r="BD2353" s="3">
        <v>3</v>
      </c>
      <c r="BE2353" s="1" t="s">
        <v>974</v>
      </c>
      <c r="BG2353" s="3">
        <v>3</v>
      </c>
      <c r="BH2353" s="3">
        <v>3.25</v>
      </c>
      <c r="BI2353" s="3" t="s">
        <v>1058</v>
      </c>
    </row>
    <row r="2354" spans="1:61">
      <c r="B2354" s="103" t="s">
        <v>565</v>
      </c>
      <c r="C2354" s="1" t="s">
        <v>597</v>
      </c>
      <c r="D2354" s="2"/>
      <c r="E2354" s="2"/>
      <c r="F2354" s="8"/>
      <c r="G2354" s="8"/>
      <c r="H2354" s="8"/>
      <c r="I2354" s="8"/>
      <c r="AD2354" s="24">
        <v>190</v>
      </c>
      <c r="AH2354" s="1" t="s">
        <v>285</v>
      </c>
      <c r="AQ2354" s="1" t="s">
        <v>285</v>
      </c>
      <c r="AT2354" s="1" t="s">
        <v>285</v>
      </c>
    </row>
    <row r="2355" spans="1:61">
      <c r="B2355" s="103" t="s">
        <v>565</v>
      </c>
      <c r="C2355" s="1" t="s">
        <v>600</v>
      </c>
      <c r="D2355" s="2"/>
      <c r="E2355" s="2"/>
      <c r="F2355" s="8"/>
      <c r="G2355" s="8"/>
      <c r="H2355" s="8"/>
      <c r="I2355" s="8"/>
      <c r="AD2355" s="24">
        <v>180</v>
      </c>
      <c r="AH2355" s="1" t="s">
        <v>285</v>
      </c>
      <c r="AQ2355" s="1" t="s">
        <v>285</v>
      </c>
      <c r="AT2355" s="1" t="s">
        <v>285</v>
      </c>
    </row>
    <row r="2356" spans="1:61">
      <c r="A2356" s="6">
        <v>12</v>
      </c>
      <c r="B2356" s="103" t="s">
        <v>565</v>
      </c>
      <c r="C2356" s="1" t="s">
        <v>594</v>
      </c>
      <c r="D2356" s="2">
        <v>48</v>
      </c>
      <c r="E2356" s="2"/>
      <c r="F2356" s="8">
        <v>0</v>
      </c>
      <c r="G2356" s="8"/>
      <c r="H2356" s="8">
        <v>0</v>
      </c>
      <c r="I2356" s="8"/>
      <c r="P2356" s="1" t="s">
        <v>665</v>
      </c>
      <c r="S2356" s="1" t="s">
        <v>665</v>
      </c>
      <c r="V2356" s="1" t="s">
        <v>285</v>
      </c>
      <c r="Y2356" s="1" t="s">
        <v>285</v>
      </c>
      <c r="AB2356" s="1" t="s">
        <v>285</v>
      </c>
      <c r="AD2356" s="24">
        <v>7</v>
      </c>
      <c r="AH2356" s="1" t="s">
        <v>285</v>
      </c>
      <c r="AJ2356" s="3">
        <v>7</v>
      </c>
      <c r="AL2356" s="3"/>
      <c r="AM2356" s="3">
        <v>7.5</v>
      </c>
      <c r="AO2356" s="3">
        <f>AM2356-AJ2356</f>
        <v>0.5</v>
      </c>
      <c r="AQ2356" s="1" t="s">
        <v>285</v>
      </c>
      <c r="AT2356" s="1" t="s">
        <v>285</v>
      </c>
      <c r="AV2356" s="3">
        <v>9</v>
      </c>
      <c r="AZ2356" s="3">
        <v>7.7</v>
      </c>
      <c r="BA2356" s="1" t="s">
        <v>905</v>
      </c>
      <c r="BC2356" s="3">
        <v>7.7</v>
      </c>
      <c r="BD2356" s="3">
        <v>5</v>
      </c>
      <c r="BE2356" s="1" t="s">
        <v>905</v>
      </c>
      <c r="BG2356" s="3">
        <v>5</v>
      </c>
      <c r="BH2356" s="3">
        <v>8</v>
      </c>
      <c r="BI2356" s="1" t="s">
        <v>905</v>
      </c>
    </row>
    <row r="2357" spans="1:61">
      <c r="B2357" s="103" t="s">
        <v>565</v>
      </c>
      <c r="C2357" s="103" t="s">
        <v>372</v>
      </c>
      <c r="D2357" s="2"/>
      <c r="E2357" s="2"/>
      <c r="F2357" s="8"/>
      <c r="G2357" s="8"/>
      <c r="H2357" s="8"/>
      <c r="I2357" s="8"/>
      <c r="AZ2357" s="3">
        <v>5</v>
      </c>
      <c r="BA2357" s="1" t="s">
        <v>905</v>
      </c>
      <c r="BC2357" s="3">
        <v>5</v>
      </c>
      <c r="BD2357" s="3">
        <v>6</v>
      </c>
      <c r="BE2357" s="1" t="s">
        <v>905</v>
      </c>
      <c r="BG2357" s="3">
        <v>6</v>
      </c>
      <c r="BH2357" s="3">
        <v>7.5</v>
      </c>
      <c r="BI2357" s="1" t="s">
        <v>905</v>
      </c>
    </row>
    <row r="2358" spans="1:61">
      <c r="B2358" s="103" t="s">
        <v>565</v>
      </c>
      <c r="C2358" s="1" t="s">
        <v>851</v>
      </c>
      <c r="D2358" s="2"/>
      <c r="E2358" s="2"/>
      <c r="F2358" s="8"/>
      <c r="G2358" s="8"/>
      <c r="H2358" s="8"/>
      <c r="I2358" s="8"/>
      <c r="BH2358" s="3">
        <v>3.5</v>
      </c>
    </row>
    <row r="2359" spans="1:61" ht="9.6" customHeight="1">
      <c r="A2359" s="6">
        <v>14</v>
      </c>
      <c r="B2359" s="103" t="s">
        <v>565</v>
      </c>
      <c r="C2359" s="1" t="s">
        <v>58</v>
      </c>
      <c r="D2359" s="2">
        <v>106</v>
      </c>
      <c r="E2359" s="2"/>
      <c r="F2359" s="8">
        <v>0</v>
      </c>
      <c r="G2359" s="8"/>
      <c r="H2359" s="8">
        <v>0</v>
      </c>
      <c r="I2359" s="8"/>
      <c r="P2359" s="1" t="s">
        <v>665</v>
      </c>
      <c r="S2359" s="1" t="s">
        <v>665</v>
      </c>
      <c r="V2359" s="1" t="s">
        <v>285</v>
      </c>
      <c r="Y2359" s="1" t="s">
        <v>285</v>
      </c>
      <c r="AB2359" s="1" t="s">
        <v>285</v>
      </c>
      <c r="AD2359" s="24">
        <v>3.5</v>
      </c>
      <c r="AH2359" s="1" t="s">
        <v>285</v>
      </c>
      <c r="AJ2359" s="3">
        <v>4</v>
      </c>
      <c r="AL2359" s="3"/>
      <c r="AM2359" s="3">
        <v>3.4</v>
      </c>
      <c r="AO2359" s="3">
        <f>AM2359-AJ2359</f>
        <v>-0.60000000000000009</v>
      </c>
      <c r="AQ2359" s="1" t="s">
        <v>285</v>
      </c>
      <c r="AT2359" s="1" t="s">
        <v>285</v>
      </c>
      <c r="AV2359" s="3">
        <v>8</v>
      </c>
      <c r="AZ2359" s="3">
        <v>4.2</v>
      </c>
      <c r="BA2359" s="1" t="s">
        <v>905</v>
      </c>
      <c r="BC2359" s="3">
        <v>4.2</v>
      </c>
      <c r="BD2359" s="3">
        <v>5</v>
      </c>
      <c r="BE2359" s="1" t="s">
        <v>905</v>
      </c>
      <c r="BG2359" s="3">
        <v>5</v>
      </c>
      <c r="BH2359" s="3">
        <v>4.5</v>
      </c>
      <c r="BI2359" s="1" t="s">
        <v>1053</v>
      </c>
    </row>
    <row r="2360" spans="1:61">
      <c r="B2360" s="103" t="s">
        <v>565</v>
      </c>
      <c r="C2360" s="103" t="s">
        <v>856</v>
      </c>
      <c r="D2360" s="2"/>
      <c r="E2360" s="2"/>
      <c r="F2360" s="8"/>
      <c r="G2360" s="8"/>
      <c r="H2360" s="8"/>
      <c r="I2360" s="8"/>
      <c r="AZ2360" s="3">
        <v>5.2</v>
      </c>
      <c r="BA2360" s="1" t="s">
        <v>905</v>
      </c>
      <c r="BC2360" s="3">
        <v>5.2</v>
      </c>
      <c r="BD2360" s="3">
        <v>0</v>
      </c>
      <c r="BE2360" s="1" t="s">
        <v>905</v>
      </c>
      <c r="BG2360" s="3">
        <v>5.2</v>
      </c>
      <c r="BH2360" s="3">
        <v>4.5</v>
      </c>
      <c r="BI2360" s="1" t="s">
        <v>905</v>
      </c>
    </row>
    <row r="2361" spans="1:61">
      <c r="B2361" s="103" t="s">
        <v>565</v>
      </c>
      <c r="C2361" s="103" t="s">
        <v>868</v>
      </c>
      <c r="D2361" s="2"/>
      <c r="E2361" s="2"/>
      <c r="F2361" s="8"/>
      <c r="G2361" s="8"/>
      <c r="H2361" s="8"/>
      <c r="I2361" s="8"/>
      <c r="AZ2361" s="3">
        <v>2</v>
      </c>
      <c r="BA2361" s="1" t="s">
        <v>905</v>
      </c>
      <c r="BC2361" s="3">
        <v>2</v>
      </c>
      <c r="BD2361" s="3">
        <v>3.2</v>
      </c>
      <c r="BE2361" s="1" t="s">
        <v>905</v>
      </c>
      <c r="BG2361" s="3">
        <v>3.2</v>
      </c>
      <c r="BH2361" s="3">
        <v>3.7</v>
      </c>
      <c r="BI2361" s="1" t="s">
        <v>905</v>
      </c>
    </row>
    <row r="2362" spans="1:61">
      <c r="B2362" s="103" t="s">
        <v>565</v>
      </c>
      <c r="C2362" s="1" t="s">
        <v>607</v>
      </c>
      <c r="D2362" s="2"/>
      <c r="E2362" s="2"/>
      <c r="F2362" s="8"/>
      <c r="G2362" s="8"/>
      <c r="H2362" s="8"/>
      <c r="I2362" s="8"/>
      <c r="AD2362" s="24">
        <v>38.799999999999997</v>
      </c>
      <c r="AH2362" s="1" t="s">
        <v>285</v>
      </c>
      <c r="AQ2362" s="1" t="s">
        <v>285</v>
      </c>
      <c r="AT2362" s="1" t="s">
        <v>285</v>
      </c>
      <c r="AZ2362" s="3">
        <v>6.7</v>
      </c>
      <c r="BA2362" s="1" t="s">
        <v>905</v>
      </c>
      <c r="BC2362" s="3">
        <v>6.7</v>
      </c>
      <c r="BD2362" s="3">
        <v>7.5</v>
      </c>
      <c r="BE2362" s="1" t="s">
        <v>905</v>
      </c>
      <c r="BG2362" s="3">
        <v>7.5</v>
      </c>
      <c r="BH2362" s="3">
        <v>8.5</v>
      </c>
      <c r="BI2362" s="1" t="s">
        <v>905</v>
      </c>
    </row>
    <row r="2363" spans="1:61">
      <c r="B2363" s="103" t="s">
        <v>565</v>
      </c>
      <c r="C2363" s="1" t="s">
        <v>854</v>
      </c>
      <c r="D2363" s="2"/>
      <c r="E2363" s="2"/>
      <c r="F2363" s="8"/>
      <c r="G2363" s="8"/>
      <c r="H2363" s="8"/>
      <c r="I2363" s="8"/>
      <c r="AZ2363" s="3">
        <v>72</v>
      </c>
      <c r="BA2363" s="1" t="s">
        <v>906</v>
      </c>
      <c r="BC2363" s="3">
        <v>72</v>
      </c>
      <c r="BD2363" s="3">
        <v>120</v>
      </c>
      <c r="BE2363" s="1" t="s">
        <v>906</v>
      </c>
      <c r="BG2363" s="3">
        <v>120</v>
      </c>
      <c r="BH2363" s="3">
        <v>110</v>
      </c>
      <c r="BI2363" s="1" t="s">
        <v>906</v>
      </c>
    </row>
    <row r="2364" spans="1:61">
      <c r="B2364" s="103" t="s">
        <v>565</v>
      </c>
      <c r="C2364" s="1" t="s">
        <v>869</v>
      </c>
      <c r="D2364" s="2"/>
      <c r="E2364" s="2"/>
      <c r="F2364" s="8"/>
      <c r="G2364" s="8"/>
      <c r="H2364" s="8"/>
      <c r="I2364" s="8"/>
      <c r="BD2364" s="3">
        <v>24.5</v>
      </c>
      <c r="BE2364" s="1" t="s">
        <v>972</v>
      </c>
      <c r="BG2364" s="2">
        <v>24.5</v>
      </c>
      <c r="BH2364" s="3">
        <v>24.5</v>
      </c>
      <c r="BI2364" s="3" t="s">
        <v>972</v>
      </c>
    </row>
    <row r="2365" spans="1:61">
      <c r="B2365" s="103" t="s">
        <v>565</v>
      </c>
      <c r="C2365" s="1" t="s">
        <v>291</v>
      </c>
      <c r="D2365" s="2"/>
      <c r="E2365" s="2"/>
      <c r="F2365" s="8"/>
      <c r="G2365" s="8"/>
      <c r="H2365" s="8"/>
      <c r="I2365" s="8"/>
      <c r="AD2365" s="24">
        <v>32.4</v>
      </c>
      <c r="AH2365" s="1" t="s">
        <v>285</v>
      </c>
      <c r="AQ2365" s="1" t="s">
        <v>285</v>
      </c>
      <c r="AT2365" s="1" t="s">
        <v>285</v>
      </c>
      <c r="AV2365" s="3">
        <v>15</v>
      </c>
      <c r="AZ2365" s="3">
        <v>14</v>
      </c>
      <c r="BA2365" s="1" t="s">
        <v>905</v>
      </c>
      <c r="BC2365" s="3">
        <v>14</v>
      </c>
      <c r="BD2365" s="3">
        <v>8</v>
      </c>
      <c r="BE2365" s="1" t="s">
        <v>905</v>
      </c>
      <c r="BG2365" s="3">
        <v>8</v>
      </c>
      <c r="BH2365" s="3">
        <v>20</v>
      </c>
      <c r="BI2365" s="1" t="s">
        <v>905</v>
      </c>
    </row>
    <row r="2366" spans="1:61">
      <c r="B2366" s="103" t="s">
        <v>565</v>
      </c>
      <c r="C2366" s="103" t="s">
        <v>858</v>
      </c>
      <c r="D2366" s="2"/>
      <c r="E2366" s="2"/>
      <c r="F2366" s="8"/>
      <c r="G2366" s="8"/>
      <c r="H2366" s="8"/>
      <c r="I2366" s="8"/>
      <c r="AZ2366" s="3">
        <v>12</v>
      </c>
      <c r="BA2366" s="1" t="s">
        <v>905</v>
      </c>
      <c r="BC2366" s="3">
        <v>12</v>
      </c>
      <c r="BE2366" s="1" t="s">
        <v>905</v>
      </c>
      <c r="BG2366" s="3">
        <v>12</v>
      </c>
      <c r="BH2366" s="3" t="s">
        <v>685</v>
      </c>
      <c r="BI2366" s="1" t="s">
        <v>905</v>
      </c>
    </row>
    <row r="2367" spans="1:61">
      <c r="B2367" s="103" t="s">
        <v>565</v>
      </c>
      <c r="C2367" s="1" t="s">
        <v>857</v>
      </c>
      <c r="D2367" s="2"/>
      <c r="E2367" s="2"/>
      <c r="F2367" s="8"/>
      <c r="G2367" s="8"/>
      <c r="H2367" s="8"/>
      <c r="I2367" s="8"/>
      <c r="AZ2367" s="3">
        <v>3.5</v>
      </c>
      <c r="BA2367" s="1" t="s">
        <v>905</v>
      </c>
      <c r="BC2367" s="3">
        <v>3.5</v>
      </c>
      <c r="BD2367" s="3">
        <v>3.5</v>
      </c>
      <c r="BE2367" s="1" t="s">
        <v>905</v>
      </c>
      <c r="BG2367" s="3">
        <v>3.5</v>
      </c>
      <c r="BH2367" s="3">
        <v>4</v>
      </c>
      <c r="BI2367" s="1" t="s">
        <v>905</v>
      </c>
    </row>
    <row r="2368" spans="1:61">
      <c r="B2368" s="103" t="s">
        <v>565</v>
      </c>
      <c r="C2368" s="1" t="s">
        <v>289</v>
      </c>
      <c r="D2368" s="2"/>
      <c r="E2368" s="2"/>
      <c r="F2368" s="8"/>
      <c r="G2368" s="8"/>
      <c r="H2368" s="8"/>
      <c r="I2368" s="8"/>
      <c r="AD2368" s="24">
        <v>2.2000000000000002</v>
      </c>
      <c r="AH2368" s="1" t="s">
        <v>285</v>
      </c>
      <c r="AQ2368" s="1" t="s">
        <v>285</v>
      </c>
      <c r="AT2368" s="1" t="s">
        <v>285</v>
      </c>
      <c r="AZ2368" s="3">
        <v>2.5</v>
      </c>
      <c r="BC2368" s="3">
        <v>2.5</v>
      </c>
      <c r="BD2368" s="3">
        <v>3</v>
      </c>
      <c r="BG2368" s="3">
        <v>3</v>
      </c>
      <c r="BH2368" s="3">
        <v>3</v>
      </c>
    </row>
    <row r="2369" spans="1:61">
      <c r="B2369" s="103" t="s">
        <v>565</v>
      </c>
      <c r="C2369" s="1" t="s">
        <v>74</v>
      </c>
      <c r="D2369" s="2"/>
      <c r="E2369" s="2"/>
      <c r="F2369" s="8"/>
      <c r="G2369" s="8"/>
      <c r="H2369" s="8"/>
      <c r="I2369" s="8"/>
      <c r="AD2369" s="24">
        <v>2</v>
      </c>
      <c r="AH2369" s="1" t="s">
        <v>285</v>
      </c>
      <c r="AQ2369" s="1" t="s">
        <v>285</v>
      </c>
      <c r="AT2369" s="1" t="s">
        <v>285</v>
      </c>
      <c r="BD2369" s="3">
        <v>3.5</v>
      </c>
      <c r="BE2369" s="1" t="s">
        <v>973</v>
      </c>
      <c r="BG2369" s="3">
        <v>3.5</v>
      </c>
      <c r="BH2369" s="3">
        <v>3.5</v>
      </c>
      <c r="BI2369" s="1" t="s">
        <v>973</v>
      </c>
    </row>
    <row r="2370" spans="1:61">
      <c r="B2370" s="103" t="s">
        <v>565</v>
      </c>
      <c r="C2370" s="1" t="s">
        <v>290</v>
      </c>
      <c r="D2370" s="2"/>
      <c r="E2370" s="2"/>
      <c r="F2370" s="8"/>
      <c r="G2370" s="8"/>
      <c r="H2370" s="8"/>
      <c r="I2370" s="8"/>
      <c r="BD2370" s="3">
        <v>8</v>
      </c>
      <c r="BG2370" s="3">
        <v>8</v>
      </c>
      <c r="BH2370" s="3">
        <v>7</v>
      </c>
    </row>
    <row r="2371" spans="1:61">
      <c r="B2371" s="103" t="s">
        <v>565</v>
      </c>
      <c r="C2371" s="1" t="s">
        <v>64</v>
      </c>
      <c r="D2371" s="2"/>
      <c r="E2371" s="2"/>
      <c r="F2371" s="8"/>
      <c r="G2371" s="8"/>
      <c r="H2371" s="8"/>
      <c r="I2371" s="8"/>
      <c r="AD2371" s="24">
        <v>3.8</v>
      </c>
      <c r="AH2371" s="1" t="s">
        <v>285</v>
      </c>
      <c r="AJ2371" s="3">
        <v>5</v>
      </c>
      <c r="AM2371" s="3">
        <v>5.14</v>
      </c>
      <c r="AO2371" s="3">
        <f>AM2371-AJ2371</f>
        <v>0.13999999999999968</v>
      </c>
      <c r="AQ2371" s="1" t="s">
        <v>285</v>
      </c>
      <c r="AT2371" s="1" t="s">
        <v>285</v>
      </c>
      <c r="AV2371" s="3">
        <v>8</v>
      </c>
      <c r="AZ2371" s="3">
        <v>4.5</v>
      </c>
      <c r="BA2371" s="1" t="s">
        <v>905</v>
      </c>
      <c r="BC2371" s="3">
        <v>4.5</v>
      </c>
      <c r="BD2371" s="3">
        <v>5.8</v>
      </c>
      <c r="BE2371" s="1" t="s">
        <v>905</v>
      </c>
      <c r="BG2371" s="3">
        <v>4.5</v>
      </c>
      <c r="BH2371" s="3">
        <v>6.5</v>
      </c>
      <c r="BI2371" s="1" t="s">
        <v>1054</v>
      </c>
    </row>
    <row r="2372" spans="1:61">
      <c r="B2372" s="103" t="s">
        <v>565</v>
      </c>
      <c r="C2372" s="1" t="s">
        <v>855</v>
      </c>
      <c r="D2372" s="2"/>
      <c r="E2372" s="2"/>
      <c r="F2372" s="8"/>
      <c r="G2372" s="8"/>
      <c r="H2372" s="8"/>
      <c r="I2372" s="8"/>
      <c r="AO2372" s="3"/>
      <c r="AZ2372" s="3">
        <v>4.5</v>
      </c>
      <c r="BA2372" s="1" t="s">
        <v>905</v>
      </c>
      <c r="BC2372" s="3">
        <v>4.5</v>
      </c>
      <c r="BD2372" s="3">
        <v>0</v>
      </c>
      <c r="BE2372" s="1" t="s">
        <v>905</v>
      </c>
      <c r="BG2372" s="3">
        <v>4.5</v>
      </c>
      <c r="BH2372" s="3">
        <v>8.5</v>
      </c>
      <c r="BI2372" s="1" t="s">
        <v>1055</v>
      </c>
    </row>
    <row r="2373" spans="1:61">
      <c r="B2373" s="103" t="s">
        <v>565</v>
      </c>
      <c r="C2373" s="1" t="s">
        <v>286</v>
      </c>
      <c r="D2373" s="2"/>
      <c r="E2373" s="2"/>
      <c r="F2373" s="8"/>
      <c r="G2373" s="8"/>
      <c r="H2373" s="8"/>
      <c r="I2373" s="8"/>
      <c r="AD2373" s="24">
        <v>3.5</v>
      </c>
      <c r="AH2373" s="1" t="s">
        <v>285</v>
      </c>
      <c r="AJ2373" s="3">
        <v>5</v>
      </c>
      <c r="AM2373" s="3">
        <v>4.8</v>
      </c>
      <c r="AO2373" s="3">
        <f>AM2373-AJ2373</f>
        <v>-0.20000000000000018</v>
      </c>
      <c r="AQ2373" s="1" t="s">
        <v>285</v>
      </c>
      <c r="AT2373" s="1" t="s">
        <v>285</v>
      </c>
      <c r="AV2373" s="3">
        <v>8</v>
      </c>
      <c r="AZ2373" s="3">
        <v>4.5</v>
      </c>
      <c r="BA2373" s="1" t="s">
        <v>905</v>
      </c>
      <c r="BC2373" s="3">
        <v>4.5</v>
      </c>
      <c r="BD2373" s="3">
        <v>4.5</v>
      </c>
      <c r="BE2373" s="1" t="s">
        <v>905</v>
      </c>
      <c r="BG2373" s="3">
        <v>4.5</v>
      </c>
      <c r="BH2373" s="3">
        <v>5.75</v>
      </c>
      <c r="BI2373" s="1" t="s">
        <v>1056</v>
      </c>
    </row>
    <row r="2374" spans="1:61">
      <c r="B2374" s="103" t="s">
        <v>565</v>
      </c>
      <c r="C2374" s="1" t="s">
        <v>288</v>
      </c>
      <c r="D2374" s="2"/>
      <c r="E2374" s="2"/>
      <c r="F2374" s="8"/>
      <c r="G2374" s="8"/>
      <c r="H2374" s="8"/>
      <c r="I2374" s="8"/>
      <c r="AD2374" s="24">
        <v>3.3</v>
      </c>
      <c r="AH2374" s="1" t="s">
        <v>285</v>
      </c>
      <c r="AJ2374" s="3">
        <v>5</v>
      </c>
      <c r="AL2374" s="3"/>
      <c r="AM2374" s="3">
        <v>4.8</v>
      </c>
      <c r="AO2374" s="3">
        <f>AM2374-AJ2374</f>
        <v>-0.20000000000000018</v>
      </c>
      <c r="AQ2374" s="1" t="s">
        <v>285</v>
      </c>
      <c r="AT2374" s="1" t="s">
        <v>285</v>
      </c>
      <c r="AV2374" s="3">
        <v>8</v>
      </c>
      <c r="AZ2374" s="3">
        <v>3.9</v>
      </c>
      <c r="BA2374" s="1" t="s">
        <v>905</v>
      </c>
      <c r="BC2374" s="3">
        <v>3.9</v>
      </c>
      <c r="BD2374" s="3">
        <v>4.5</v>
      </c>
      <c r="BE2374" s="1" t="s">
        <v>905</v>
      </c>
      <c r="BG2374" s="3">
        <v>4.5</v>
      </c>
      <c r="BH2374" s="3">
        <v>6.25</v>
      </c>
      <c r="BI2374" s="1" t="s">
        <v>1057</v>
      </c>
    </row>
    <row r="2375" spans="1:61">
      <c r="A2375" s="6">
        <v>11</v>
      </c>
      <c r="B2375" s="103" t="s">
        <v>565</v>
      </c>
      <c r="C2375" s="1" t="s">
        <v>57</v>
      </c>
      <c r="D2375" s="2"/>
      <c r="E2375" s="2"/>
      <c r="F2375" s="8">
        <v>0</v>
      </c>
      <c r="G2375" s="8"/>
      <c r="H2375" s="8">
        <v>0</v>
      </c>
      <c r="I2375" s="8"/>
      <c r="P2375" s="1" t="s">
        <v>665</v>
      </c>
      <c r="S2375" s="1" t="s">
        <v>665</v>
      </c>
      <c r="V2375" s="1" t="s">
        <v>285</v>
      </c>
      <c r="Y2375" s="1" t="s">
        <v>285</v>
      </c>
      <c r="AB2375" s="1" t="s">
        <v>285</v>
      </c>
      <c r="AH2375" s="1" t="s">
        <v>285</v>
      </c>
      <c r="AQ2375" s="1" t="s">
        <v>285</v>
      </c>
      <c r="AT2375" s="1" t="s">
        <v>285</v>
      </c>
    </row>
    <row r="2376" spans="1:61">
      <c r="B2376" s="103" t="s">
        <v>565</v>
      </c>
      <c r="C2376" s="1" t="s">
        <v>287</v>
      </c>
      <c r="D2376" s="2"/>
      <c r="E2376" s="2"/>
      <c r="F2376" s="8"/>
      <c r="G2376" s="8"/>
      <c r="H2376" s="8"/>
      <c r="I2376" s="8"/>
      <c r="AD2376" s="24">
        <v>5.18</v>
      </c>
      <c r="AH2376" s="1" t="s">
        <v>285</v>
      </c>
      <c r="AQ2376" s="1" t="s">
        <v>285</v>
      </c>
      <c r="AT2376" s="1" t="s">
        <v>285</v>
      </c>
      <c r="AV2376" s="3">
        <v>10</v>
      </c>
      <c r="BD2376" s="3">
        <v>5</v>
      </c>
    </row>
    <row r="2377" spans="1:61">
      <c r="B2377" s="103" t="s">
        <v>565</v>
      </c>
      <c r="C2377" s="103" t="s">
        <v>872</v>
      </c>
      <c r="D2377" s="2"/>
      <c r="E2377" s="2"/>
      <c r="F2377" s="8"/>
      <c r="G2377" s="8"/>
      <c r="H2377" s="8"/>
      <c r="I2377" s="8"/>
      <c r="AZ2377" s="3">
        <v>72</v>
      </c>
      <c r="BA2377" s="1" t="s">
        <v>907</v>
      </c>
      <c r="BC2377" s="3">
        <v>72</v>
      </c>
      <c r="BD2377" s="3">
        <v>130</v>
      </c>
      <c r="BE2377" s="1" t="s">
        <v>907</v>
      </c>
      <c r="BG2377" s="3">
        <v>130</v>
      </c>
      <c r="BH2377" s="3">
        <v>120</v>
      </c>
      <c r="BI2377" s="1" t="s">
        <v>907</v>
      </c>
    </row>
    <row r="2378" spans="1:61">
      <c r="A2378" s="6">
        <v>1</v>
      </c>
      <c r="B2378" s="103" t="s">
        <v>202</v>
      </c>
      <c r="C2378" s="1" t="s">
        <v>52</v>
      </c>
      <c r="D2378" s="2"/>
      <c r="E2378" s="2"/>
      <c r="F2378" s="8">
        <v>0</v>
      </c>
      <c r="G2378" s="8"/>
      <c r="H2378" s="8">
        <v>0</v>
      </c>
      <c r="I2378" s="8"/>
    </row>
    <row r="2379" spans="1:61">
      <c r="A2379" s="6">
        <v>3</v>
      </c>
      <c r="B2379" s="103" t="s">
        <v>202</v>
      </c>
      <c r="C2379" s="1" t="s">
        <v>54</v>
      </c>
      <c r="D2379" s="2"/>
      <c r="E2379" s="2"/>
      <c r="F2379" s="8">
        <v>0</v>
      </c>
      <c r="G2379" s="8"/>
      <c r="H2379" s="8">
        <v>0</v>
      </c>
      <c r="I2379" s="8"/>
    </row>
    <row r="2380" spans="1:61">
      <c r="A2380" s="6">
        <v>4</v>
      </c>
      <c r="B2380" s="103" t="s">
        <v>202</v>
      </c>
      <c r="C2380" s="1" t="s">
        <v>55</v>
      </c>
      <c r="D2380" s="2"/>
      <c r="E2380" s="2"/>
      <c r="F2380" s="8">
        <v>0</v>
      </c>
      <c r="G2380" s="8"/>
      <c r="H2380" s="8">
        <v>0</v>
      </c>
      <c r="I2380" s="8"/>
    </row>
    <row r="2381" spans="1:61">
      <c r="A2381" s="6">
        <v>5</v>
      </c>
      <c r="B2381" s="103" t="s">
        <v>202</v>
      </c>
      <c r="C2381" s="1" t="s">
        <v>56</v>
      </c>
      <c r="D2381" s="2"/>
      <c r="E2381" s="2"/>
      <c r="F2381" s="8">
        <v>0</v>
      </c>
      <c r="G2381" s="8"/>
      <c r="H2381" s="8">
        <v>0</v>
      </c>
      <c r="I2381" s="8"/>
    </row>
    <row r="2382" spans="1:61">
      <c r="A2382" s="6">
        <v>2</v>
      </c>
      <c r="B2382" s="103" t="s">
        <v>202</v>
      </c>
      <c r="C2382" s="1" t="s">
        <v>53</v>
      </c>
      <c r="D2382" s="2"/>
      <c r="E2382" s="2"/>
      <c r="F2382" s="8">
        <v>8.5</v>
      </c>
      <c r="G2382" s="8"/>
      <c r="H2382" s="8">
        <v>8.5</v>
      </c>
      <c r="I2382" s="8"/>
      <c r="M2382" s="3">
        <v>11</v>
      </c>
      <c r="O2382" s="3">
        <v>11</v>
      </c>
      <c r="Q2382" s="3">
        <f>O2382-H2382</f>
        <v>2.5</v>
      </c>
      <c r="R2382" s="3">
        <v>11</v>
      </c>
      <c r="T2382" s="3">
        <f>R2382-O2382</f>
        <v>0</v>
      </c>
      <c r="U2382" s="3">
        <v>9.3000000000000007</v>
      </c>
      <c r="W2382" s="3">
        <f>U2382-R2382</f>
        <v>-1.6999999999999993</v>
      </c>
    </row>
    <row r="2383" spans="1:61">
      <c r="A2383" s="6">
        <v>12</v>
      </c>
      <c r="B2383" s="103" t="s">
        <v>202</v>
      </c>
      <c r="C2383" s="1" t="s">
        <v>594</v>
      </c>
      <c r="D2383" s="2"/>
      <c r="E2383" s="2"/>
      <c r="F2383" s="8">
        <v>4</v>
      </c>
      <c r="G2383" s="8"/>
      <c r="H2383" s="8">
        <v>4</v>
      </c>
      <c r="I2383" s="8"/>
      <c r="M2383" s="3">
        <v>5.7</v>
      </c>
      <c r="O2383" s="3">
        <v>5.7</v>
      </c>
      <c r="Q2383" s="3">
        <f>O2383-H2383</f>
        <v>1.7000000000000002</v>
      </c>
      <c r="R2383" s="3">
        <v>5.7</v>
      </c>
      <c r="T2383" s="3">
        <f>R2383-O2383</f>
        <v>0</v>
      </c>
      <c r="U2383" s="3">
        <v>3.87</v>
      </c>
      <c r="W2383" s="3">
        <f>U2383-R2383</f>
        <v>-1.83</v>
      </c>
      <c r="X2383" s="3">
        <v>16.18</v>
      </c>
      <c r="Z2383" s="3">
        <f>X2383-U2383</f>
        <v>12.309999999999999</v>
      </c>
      <c r="AA2383" s="3">
        <v>180</v>
      </c>
      <c r="AB2383" s="1" t="s">
        <v>470</v>
      </c>
      <c r="AC2383" s="3">
        <f>AA2383-X2383</f>
        <v>163.82</v>
      </c>
      <c r="AD2383" s="24">
        <v>8</v>
      </c>
      <c r="AG2383" s="3">
        <v>15</v>
      </c>
      <c r="AI2383" s="3">
        <f t="shared" ref="AI2383:AI2388" si="17">AG2383-AD2383</f>
        <v>7</v>
      </c>
      <c r="AJ2383" s="3">
        <v>7</v>
      </c>
      <c r="AL2383" s="3">
        <f t="shared" ref="AL2383:AL2388" si="18">AJ2383-AG2383</f>
        <v>-8</v>
      </c>
      <c r="AM2383" s="3">
        <v>2</v>
      </c>
      <c r="AO2383" s="3">
        <f t="shared" ref="AO2383:AO2388" si="19">AM2383-AJ2383</f>
        <v>-5</v>
      </c>
      <c r="AP2383" s="3">
        <v>8.39</v>
      </c>
      <c r="AS2383" s="3">
        <v>14</v>
      </c>
      <c r="AV2383" s="3">
        <v>25</v>
      </c>
      <c r="AY2383" s="3">
        <v>25</v>
      </c>
      <c r="AZ2383" s="3">
        <v>30</v>
      </c>
      <c r="BA2383" s="1" t="s">
        <v>852</v>
      </c>
      <c r="BC2383" s="3">
        <v>30</v>
      </c>
      <c r="BD2383" s="3">
        <v>40</v>
      </c>
      <c r="BE2383" s="1" t="s">
        <v>852</v>
      </c>
      <c r="BG2383" s="3">
        <v>40</v>
      </c>
      <c r="BH2383" s="3">
        <v>42</v>
      </c>
      <c r="BI2383" s="1" t="s">
        <v>852</v>
      </c>
    </row>
    <row r="2384" spans="1:61">
      <c r="A2384" s="6">
        <v>14</v>
      </c>
      <c r="B2384" s="103" t="s">
        <v>202</v>
      </c>
      <c r="C2384" s="1" t="s">
        <v>58</v>
      </c>
      <c r="D2384" s="2"/>
      <c r="E2384" s="2"/>
      <c r="F2384" s="8">
        <v>11.5</v>
      </c>
      <c r="G2384" s="8"/>
      <c r="H2384" s="8">
        <v>11.5</v>
      </c>
      <c r="I2384" s="8"/>
      <c r="L2384" s="1" t="s">
        <v>179</v>
      </c>
      <c r="M2384" s="3">
        <v>14</v>
      </c>
      <c r="O2384" s="3">
        <v>14</v>
      </c>
      <c r="Q2384" s="3">
        <f>O2384-H2384</f>
        <v>2.5</v>
      </c>
      <c r="R2384" s="3">
        <v>14</v>
      </c>
      <c r="T2384" s="3">
        <f>R2384-O2384</f>
        <v>0</v>
      </c>
      <c r="U2384" s="3">
        <v>10.66</v>
      </c>
      <c r="W2384" s="3">
        <f>U2384-R2384</f>
        <v>-3.34</v>
      </c>
      <c r="X2384" s="3">
        <v>18.18</v>
      </c>
      <c r="Z2384" s="3">
        <f>X2384-U2384</f>
        <v>7.52</v>
      </c>
      <c r="AA2384" s="3">
        <v>245</v>
      </c>
      <c r="AB2384" s="1" t="s">
        <v>471</v>
      </c>
      <c r="AC2384" s="3">
        <f>AA2384-X2384</f>
        <v>226.82</v>
      </c>
      <c r="AD2384" s="24">
        <v>12</v>
      </c>
      <c r="AG2384" s="3">
        <v>25</v>
      </c>
      <c r="AI2384" s="3">
        <f t="shared" si="17"/>
        <v>13</v>
      </c>
      <c r="AJ2384" s="3">
        <v>9</v>
      </c>
      <c r="AL2384" s="3">
        <f t="shared" si="18"/>
        <v>-16</v>
      </c>
      <c r="AM2384" s="3">
        <v>8.4</v>
      </c>
      <c r="AO2384" s="3">
        <f t="shared" si="19"/>
        <v>-0.59999999999999964</v>
      </c>
      <c r="AP2384" s="3">
        <v>13.86</v>
      </c>
      <c r="AS2384" s="3">
        <v>19</v>
      </c>
      <c r="AV2384" s="3">
        <v>30</v>
      </c>
      <c r="AY2384" s="3">
        <v>30</v>
      </c>
      <c r="AZ2384" s="3">
        <v>43</v>
      </c>
      <c r="BA2384" s="1" t="s">
        <v>852</v>
      </c>
      <c r="BC2384" s="3">
        <v>43</v>
      </c>
      <c r="BD2384" s="3">
        <v>46</v>
      </c>
      <c r="BE2384" s="1" t="s">
        <v>852</v>
      </c>
      <c r="BG2384" s="3">
        <v>46</v>
      </c>
      <c r="BH2384" s="3">
        <v>48</v>
      </c>
      <c r="BI2384" s="1" t="s">
        <v>852</v>
      </c>
    </row>
    <row r="2385" spans="1:61" ht="9" customHeight="1">
      <c r="B2385" s="103" t="s">
        <v>202</v>
      </c>
      <c r="C2385" s="1" t="s">
        <v>289</v>
      </c>
      <c r="D2385" s="2"/>
      <c r="E2385" s="2"/>
      <c r="F2385" s="8"/>
      <c r="G2385" s="8"/>
      <c r="H2385" s="8"/>
      <c r="I2385" s="8"/>
      <c r="Q2385" s="3"/>
      <c r="T2385" s="3"/>
      <c r="W2385" s="3"/>
      <c r="AA2385" s="3">
        <v>85</v>
      </c>
      <c r="AB2385" s="1" t="s">
        <v>476</v>
      </c>
      <c r="AD2385" s="24">
        <v>18</v>
      </c>
      <c r="AG2385" s="3">
        <v>20</v>
      </c>
      <c r="AI2385" s="3">
        <f t="shared" si="17"/>
        <v>2</v>
      </c>
      <c r="AJ2385" s="3">
        <v>8</v>
      </c>
      <c r="AL2385" s="3">
        <f t="shared" si="18"/>
        <v>-12</v>
      </c>
      <c r="AM2385" s="3">
        <v>3.4</v>
      </c>
      <c r="AO2385" s="3">
        <f t="shared" si="19"/>
        <v>-4.5999999999999996</v>
      </c>
      <c r="AP2385" s="3">
        <v>29</v>
      </c>
      <c r="AS2385" s="3">
        <v>35</v>
      </c>
      <c r="AV2385" s="3">
        <v>50</v>
      </c>
      <c r="AY2385" s="3">
        <v>50</v>
      </c>
      <c r="AZ2385" s="3">
        <v>57</v>
      </c>
      <c r="BA2385" s="1" t="s">
        <v>852</v>
      </c>
      <c r="BC2385" s="3">
        <v>57</v>
      </c>
      <c r="BD2385" s="3">
        <v>60</v>
      </c>
      <c r="BE2385" s="1" t="s">
        <v>852</v>
      </c>
      <c r="BG2385" s="3">
        <v>60</v>
      </c>
      <c r="BH2385" s="3">
        <v>62</v>
      </c>
      <c r="BI2385" s="1" t="s">
        <v>852</v>
      </c>
    </row>
    <row r="2386" spans="1:61" ht="9.6" customHeight="1">
      <c r="B2386" s="103" t="s">
        <v>202</v>
      </c>
      <c r="C2386" s="1" t="s">
        <v>64</v>
      </c>
      <c r="D2386" s="2"/>
      <c r="E2386" s="2"/>
      <c r="F2386" s="8"/>
      <c r="G2386" s="8"/>
      <c r="H2386" s="8"/>
      <c r="I2386" s="8"/>
      <c r="Q2386" s="3"/>
      <c r="T2386" s="3"/>
      <c r="W2386" s="3"/>
      <c r="X2386" s="3">
        <v>5.88</v>
      </c>
      <c r="AA2386" s="3">
        <v>90</v>
      </c>
      <c r="AB2386" s="1" t="s">
        <v>472</v>
      </c>
      <c r="AC2386" s="3">
        <f>AA2386-X2386</f>
        <v>84.12</v>
      </c>
      <c r="AD2386" s="24">
        <v>12</v>
      </c>
      <c r="AG2386" s="3">
        <v>20</v>
      </c>
      <c r="AI2386" s="3">
        <f t="shared" si="17"/>
        <v>8</v>
      </c>
      <c r="AJ2386" s="3">
        <v>10</v>
      </c>
      <c r="AL2386" s="3">
        <f t="shared" si="18"/>
        <v>-10</v>
      </c>
      <c r="AM2386" s="3">
        <v>13</v>
      </c>
      <c r="AO2386" s="3">
        <f t="shared" si="19"/>
        <v>3</v>
      </c>
      <c r="AP2386" s="3">
        <v>15.72</v>
      </c>
      <c r="AS2386" s="3">
        <v>21.6</v>
      </c>
      <c r="AV2386" s="3">
        <v>35</v>
      </c>
      <c r="AY2386" s="3">
        <v>35</v>
      </c>
      <c r="AZ2386" s="3">
        <v>45</v>
      </c>
      <c r="BA2386" s="1" t="s">
        <v>852</v>
      </c>
      <c r="BC2386" s="3">
        <v>45</v>
      </c>
      <c r="BD2386" s="3">
        <v>47</v>
      </c>
      <c r="BE2386" s="1" t="s">
        <v>852</v>
      </c>
      <c r="BG2386" s="3">
        <v>47</v>
      </c>
      <c r="BH2386" s="3">
        <v>52</v>
      </c>
      <c r="BI2386" s="1" t="s">
        <v>852</v>
      </c>
    </row>
    <row r="2387" spans="1:61">
      <c r="B2387" s="103" t="s">
        <v>202</v>
      </c>
      <c r="C2387" s="1" t="s">
        <v>286</v>
      </c>
      <c r="D2387" s="2"/>
      <c r="E2387" s="2"/>
      <c r="F2387" s="8"/>
      <c r="G2387" s="8"/>
      <c r="H2387" s="8"/>
      <c r="I2387" s="8"/>
      <c r="Q2387" s="3"/>
      <c r="T2387" s="3"/>
      <c r="W2387" s="3"/>
      <c r="X2387" s="3">
        <v>29.41</v>
      </c>
      <c r="AA2387" s="3">
        <v>300</v>
      </c>
      <c r="AB2387" s="1" t="s">
        <v>475</v>
      </c>
      <c r="AC2387" s="3">
        <f>AA2387-X2387</f>
        <v>270.58999999999997</v>
      </c>
      <c r="AD2387" s="24">
        <v>20</v>
      </c>
      <c r="AG2387" s="3">
        <v>20</v>
      </c>
      <c r="AI2387" s="3">
        <f t="shared" si="17"/>
        <v>0</v>
      </c>
      <c r="AJ2387" s="3">
        <v>6</v>
      </c>
      <c r="AL2387" s="3">
        <f t="shared" si="18"/>
        <v>-14</v>
      </c>
      <c r="AM2387" s="3">
        <v>4.3</v>
      </c>
      <c r="AO2387" s="3">
        <f t="shared" si="19"/>
        <v>-1.7000000000000002</v>
      </c>
      <c r="AP2387" s="3">
        <v>15.17</v>
      </c>
      <c r="AS2387" s="3">
        <v>20.6</v>
      </c>
      <c r="AV2387" s="3">
        <v>36</v>
      </c>
      <c r="AY2387" s="3">
        <v>38</v>
      </c>
      <c r="AZ2387" s="3">
        <v>46</v>
      </c>
      <c r="BA2387" s="1" t="s">
        <v>852</v>
      </c>
      <c r="BC2387" s="3">
        <v>46</v>
      </c>
      <c r="BD2387" s="3">
        <v>47</v>
      </c>
      <c r="BE2387" s="1" t="s">
        <v>852</v>
      </c>
      <c r="BG2387" s="3">
        <v>47</v>
      </c>
      <c r="BH2387" s="3">
        <v>49</v>
      </c>
      <c r="BI2387" s="1" t="s">
        <v>852</v>
      </c>
    </row>
    <row r="2388" spans="1:61">
      <c r="B2388" s="103" t="s">
        <v>202</v>
      </c>
      <c r="C2388" s="1" t="s">
        <v>288</v>
      </c>
      <c r="D2388" s="2"/>
      <c r="E2388" s="2"/>
      <c r="F2388" s="8"/>
      <c r="G2388" s="8"/>
      <c r="H2388" s="8"/>
      <c r="I2388" s="8"/>
      <c r="Q2388" s="3"/>
      <c r="T2388" s="3"/>
      <c r="W2388" s="3"/>
      <c r="X2388" s="3">
        <v>18.18</v>
      </c>
      <c r="AA2388" s="3">
        <v>95</v>
      </c>
      <c r="AB2388" s="1" t="s">
        <v>474</v>
      </c>
      <c r="AC2388" s="3">
        <f>AA2388-X2388</f>
        <v>76.819999999999993</v>
      </c>
      <c r="AD2388" s="24">
        <v>15</v>
      </c>
      <c r="AG2388" s="3">
        <v>22</v>
      </c>
      <c r="AI2388" s="3">
        <f t="shared" si="17"/>
        <v>7</v>
      </c>
      <c r="AJ2388" s="3">
        <v>12</v>
      </c>
      <c r="AL2388" s="3">
        <f t="shared" si="18"/>
        <v>-10</v>
      </c>
      <c r="AM2388" s="3">
        <v>10</v>
      </c>
      <c r="AO2388" s="3">
        <f t="shared" si="19"/>
        <v>-2</v>
      </c>
      <c r="AP2388" s="3">
        <v>16.68</v>
      </c>
      <c r="AS2388" s="3">
        <v>23</v>
      </c>
      <c r="AV2388" s="3">
        <v>38</v>
      </c>
      <c r="AY2388" s="3">
        <v>38</v>
      </c>
      <c r="AZ2388" s="3">
        <v>46</v>
      </c>
      <c r="BA2388" s="1" t="s">
        <v>852</v>
      </c>
      <c r="BC2388" s="3">
        <v>46</v>
      </c>
      <c r="BD2388" s="3">
        <v>48</v>
      </c>
      <c r="BE2388" s="1" t="s">
        <v>852</v>
      </c>
      <c r="BG2388" s="3">
        <v>48</v>
      </c>
      <c r="BH2388" s="3">
        <v>50</v>
      </c>
      <c r="BI2388" s="1" t="s">
        <v>852</v>
      </c>
    </row>
    <row r="2389" spans="1:61">
      <c r="A2389" s="6">
        <v>11</v>
      </c>
      <c r="B2389" s="103" t="s">
        <v>202</v>
      </c>
      <c r="C2389" s="1" t="s">
        <v>57</v>
      </c>
      <c r="D2389" s="2"/>
      <c r="E2389" s="2"/>
      <c r="F2389" s="8">
        <v>0</v>
      </c>
      <c r="G2389" s="8">
        <v>176.67</v>
      </c>
      <c r="H2389" s="8">
        <v>176.67</v>
      </c>
      <c r="I2389" s="8"/>
      <c r="X2389" s="3">
        <v>7.35</v>
      </c>
      <c r="AA2389" s="3">
        <v>105</v>
      </c>
      <c r="AB2389" s="1" t="s">
        <v>469</v>
      </c>
      <c r="AC2389" s="3">
        <f>AA2389-X2389</f>
        <v>97.65</v>
      </c>
    </row>
    <row r="2390" spans="1:61">
      <c r="B2390" s="103" t="s">
        <v>202</v>
      </c>
      <c r="C2390" s="1" t="s">
        <v>287</v>
      </c>
      <c r="D2390" s="2"/>
      <c r="E2390" s="2"/>
      <c r="F2390" s="8"/>
      <c r="G2390" s="8"/>
      <c r="H2390" s="8"/>
      <c r="I2390" s="8"/>
      <c r="Q2390" s="3"/>
      <c r="T2390" s="3"/>
      <c r="W2390" s="3"/>
      <c r="X2390" s="3">
        <v>28.68</v>
      </c>
      <c r="AA2390" s="3">
        <v>227.5</v>
      </c>
      <c r="AB2390" s="1" t="s">
        <v>473</v>
      </c>
      <c r="AC2390" s="3">
        <f>AA2390-X2390</f>
        <v>198.82</v>
      </c>
      <c r="AD2390" s="24">
        <v>10</v>
      </c>
      <c r="AG2390" s="3">
        <v>20</v>
      </c>
      <c r="AI2390" s="3">
        <f>AG2390-AD2390</f>
        <v>10</v>
      </c>
      <c r="AJ2390" s="3">
        <v>6</v>
      </c>
      <c r="AL2390" s="3">
        <f>AJ2390-AG2390</f>
        <v>-14</v>
      </c>
      <c r="AM2390" s="3">
        <v>6</v>
      </c>
      <c r="AO2390" s="3">
        <f>AM2390-AJ2390</f>
        <v>0</v>
      </c>
      <c r="AP2390" s="3">
        <v>13.65</v>
      </c>
      <c r="AS2390" s="3">
        <v>17.850000000000001</v>
      </c>
      <c r="AV2390" s="3">
        <v>35</v>
      </c>
      <c r="AY2390" s="3">
        <v>35</v>
      </c>
      <c r="AZ2390" s="3">
        <v>45</v>
      </c>
      <c r="BA2390" s="1" t="s">
        <v>852</v>
      </c>
      <c r="BC2390" s="3">
        <v>45</v>
      </c>
      <c r="BD2390" s="3">
        <v>47</v>
      </c>
      <c r="BE2390" s="1" t="s">
        <v>852</v>
      </c>
    </row>
    <row r="2391" spans="1:61">
      <c r="A2391" s="6">
        <v>1</v>
      </c>
      <c r="B2391" s="103" t="s">
        <v>566</v>
      </c>
      <c r="C2391" s="1" t="s">
        <v>52</v>
      </c>
      <c r="D2391" s="2">
        <v>0</v>
      </c>
      <c r="E2391" s="2"/>
      <c r="F2391" s="8"/>
      <c r="G2391" s="8"/>
      <c r="H2391" s="8"/>
      <c r="I2391" s="8"/>
      <c r="L2391" s="1" t="s">
        <v>285</v>
      </c>
      <c r="P2391" s="1" t="s">
        <v>285</v>
      </c>
    </row>
    <row r="2392" spans="1:61">
      <c r="A2392" s="6">
        <v>3</v>
      </c>
      <c r="B2392" s="103" t="s">
        <v>566</v>
      </c>
      <c r="C2392" s="1" t="s">
        <v>54</v>
      </c>
      <c r="D2392" s="2">
        <v>0</v>
      </c>
      <c r="E2392" s="2"/>
      <c r="F2392" s="8"/>
      <c r="G2392" s="8"/>
      <c r="H2392" s="8"/>
      <c r="I2392" s="8"/>
      <c r="L2392" s="1" t="s">
        <v>285</v>
      </c>
      <c r="P2392" s="1" t="s">
        <v>285</v>
      </c>
    </row>
    <row r="2393" spans="1:61">
      <c r="A2393" s="6">
        <v>4</v>
      </c>
      <c r="B2393" s="103" t="s">
        <v>566</v>
      </c>
      <c r="C2393" s="1" t="s">
        <v>55</v>
      </c>
      <c r="D2393" s="2">
        <v>0</v>
      </c>
      <c r="E2393" s="2"/>
      <c r="F2393" s="8"/>
      <c r="G2393" s="8"/>
      <c r="H2393" s="8"/>
      <c r="I2393" s="8"/>
      <c r="L2393" s="1" t="s">
        <v>285</v>
      </c>
      <c r="P2393" s="1" t="s">
        <v>285</v>
      </c>
    </row>
    <row r="2394" spans="1:61">
      <c r="A2394" s="6">
        <v>5</v>
      </c>
      <c r="B2394" s="103" t="s">
        <v>566</v>
      </c>
      <c r="C2394" s="1" t="s">
        <v>56</v>
      </c>
      <c r="D2394" s="2">
        <v>0</v>
      </c>
      <c r="E2394" s="2"/>
      <c r="F2394" s="8"/>
      <c r="G2394" s="8"/>
      <c r="H2394" s="8"/>
      <c r="I2394" s="8"/>
      <c r="L2394" s="1" t="s">
        <v>285</v>
      </c>
      <c r="P2394" s="1" t="s">
        <v>285</v>
      </c>
    </row>
    <row r="2395" spans="1:61" ht="9.6" customHeight="1">
      <c r="A2395" s="6">
        <v>2</v>
      </c>
      <c r="B2395" s="103" t="s">
        <v>566</v>
      </c>
      <c r="C2395" s="1" t="s">
        <v>53</v>
      </c>
      <c r="D2395" s="2">
        <v>0</v>
      </c>
      <c r="E2395" s="2"/>
      <c r="F2395" s="8"/>
      <c r="G2395" s="8"/>
      <c r="H2395" s="8"/>
      <c r="I2395" s="8"/>
      <c r="L2395" s="1" t="s">
        <v>285</v>
      </c>
      <c r="P2395" s="1" t="s">
        <v>285</v>
      </c>
    </row>
    <row r="2396" spans="1:61">
      <c r="A2396" s="6">
        <v>12</v>
      </c>
      <c r="B2396" s="103" t="s">
        <v>566</v>
      </c>
      <c r="C2396" s="1" t="s">
        <v>594</v>
      </c>
      <c r="D2396" s="2">
        <v>0</v>
      </c>
      <c r="E2396" s="2"/>
      <c r="F2396" s="8"/>
      <c r="G2396" s="8"/>
      <c r="H2396" s="8"/>
      <c r="I2396" s="8"/>
      <c r="L2396" s="1" t="s">
        <v>285</v>
      </c>
      <c r="P2396" s="1" t="s">
        <v>285</v>
      </c>
      <c r="R2396" s="3">
        <v>20</v>
      </c>
      <c r="T2396" s="3"/>
      <c r="U2396" s="3">
        <v>20</v>
      </c>
      <c r="W2396" s="3">
        <f>U2396-R2396</f>
        <v>0</v>
      </c>
      <c r="X2396" s="3">
        <v>20</v>
      </c>
      <c r="Z2396" s="3">
        <f>X2396-U2396</f>
        <v>0</v>
      </c>
      <c r="AA2396" s="3">
        <v>20</v>
      </c>
      <c r="AC2396" s="3">
        <f>AA2396-X2396</f>
        <v>0</v>
      </c>
      <c r="AD2396" s="24">
        <v>8.1</v>
      </c>
      <c r="AF2396" s="24">
        <f>AD2396-AA2396</f>
        <v>-11.9</v>
      </c>
      <c r="AG2396" s="3">
        <v>5.5</v>
      </c>
      <c r="AI2396" s="3">
        <f>AG2396-AD2396</f>
        <v>-2.5999999999999996</v>
      </c>
      <c r="AM2396" s="3">
        <v>7.92</v>
      </c>
      <c r="AP2396" s="3">
        <v>5.0999999999999996</v>
      </c>
      <c r="AS2396" s="3">
        <v>5.23</v>
      </c>
      <c r="AV2396" s="3">
        <v>5.34</v>
      </c>
      <c r="AZ2396" s="3">
        <v>5.34</v>
      </c>
      <c r="BA2396" s="1" t="s">
        <v>852</v>
      </c>
      <c r="BC2396" s="3">
        <v>5.34</v>
      </c>
      <c r="BD2396" s="3">
        <v>6.9640000000000004</v>
      </c>
      <c r="BE2396" s="1" t="s">
        <v>852</v>
      </c>
    </row>
    <row r="2397" spans="1:61">
      <c r="A2397" s="6">
        <v>14</v>
      </c>
      <c r="B2397" s="103" t="s">
        <v>566</v>
      </c>
      <c r="C2397" s="1" t="s">
        <v>58</v>
      </c>
      <c r="D2397" s="2">
        <v>0</v>
      </c>
      <c r="E2397" s="2"/>
      <c r="F2397" s="8"/>
      <c r="G2397" s="8"/>
      <c r="H2397" s="8"/>
      <c r="I2397" s="8"/>
      <c r="L2397" s="1" t="s">
        <v>285</v>
      </c>
      <c r="P2397" s="1" t="s">
        <v>285</v>
      </c>
      <c r="AG2397" s="3">
        <v>12.22</v>
      </c>
      <c r="AJ2397" s="3">
        <v>14.34</v>
      </c>
      <c r="AL2397" s="3">
        <f>AJ2397-AG2397</f>
        <v>2.1199999999999992</v>
      </c>
      <c r="AM2397" s="3">
        <v>9.48</v>
      </c>
      <c r="AO2397" s="3">
        <f>AM2397-AJ2397</f>
        <v>-4.8599999999999994</v>
      </c>
      <c r="AP2397" s="3">
        <v>7.57</v>
      </c>
      <c r="AS2397" s="3">
        <v>7.87</v>
      </c>
      <c r="AV2397" s="3">
        <v>6.98</v>
      </c>
      <c r="AZ2397" s="3">
        <v>7.63</v>
      </c>
      <c r="BA2397" s="1" t="s">
        <v>852</v>
      </c>
      <c r="BC2397" s="3">
        <v>7.63</v>
      </c>
      <c r="BD2397" s="3">
        <v>7.6779999999999999</v>
      </c>
      <c r="BE2397" s="1" t="s">
        <v>852</v>
      </c>
      <c r="BG2397" s="3">
        <v>7.68</v>
      </c>
      <c r="BH2397" s="3">
        <v>8.19</v>
      </c>
      <c r="BI2397" s="1" t="s">
        <v>852</v>
      </c>
    </row>
    <row r="2398" spans="1:61">
      <c r="B2398" s="103" t="s">
        <v>566</v>
      </c>
      <c r="C2398" s="1" t="s">
        <v>289</v>
      </c>
      <c r="D2398" s="2"/>
      <c r="E2398" s="2"/>
      <c r="F2398" s="8"/>
      <c r="G2398" s="8"/>
      <c r="H2398" s="8"/>
      <c r="I2398" s="8"/>
      <c r="AG2398" s="3">
        <v>11.44</v>
      </c>
      <c r="AJ2398" s="3">
        <v>11.44</v>
      </c>
      <c r="AL2398" s="3">
        <f>AJ2398-AG2398</f>
        <v>0</v>
      </c>
      <c r="AM2398" s="3">
        <v>10.9</v>
      </c>
      <c r="AO2398" s="3">
        <f>AM2398-AJ2398</f>
        <v>-0.53999999999999915</v>
      </c>
      <c r="AP2398" s="3">
        <v>11.05</v>
      </c>
      <c r="AS2398" s="3">
        <v>11.25</v>
      </c>
      <c r="AV2398" s="3">
        <v>20.95</v>
      </c>
      <c r="AZ2398" s="3">
        <v>7.3</v>
      </c>
      <c r="BA2398" s="1" t="s">
        <v>852</v>
      </c>
      <c r="BC2398" s="3">
        <v>7.3</v>
      </c>
      <c r="BD2398" s="3">
        <v>8.3810000000000002</v>
      </c>
      <c r="BE2398" s="1" t="s">
        <v>852</v>
      </c>
    </row>
    <row r="2399" spans="1:61">
      <c r="B2399" s="103" t="s">
        <v>566</v>
      </c>
      <c r="C2399" s="1" t="s">
        <v>857</v>
      </c>
      <c r="D2399" s="2"/>
      <c r="E2399" s="2"/>
      <c r="F2399" s="8"/>
      <c r="G2399" s="8"/>
      <c r="H2399" s="8"/>
      <c r="I2399" s="8"/>
      <c r="AL2399" s="3"/>
      <c r="AO2399" s="3"/>
      <c r="BH2399" s="3">
        <v>7.8</v>
      </c>
      <c r="BI2399" s="1" t="s">
        <v>852</v>
      </c>
    </row>
    <row r="2400" spans="1:61">
      <c r="B2400" s="103" t="s">
        <v>566</v>
      </c>
      <c r="C2400" s="1" t="s">
        <v>64</v>
      </c>
      <c r="D2400" s="2"/>
      <c r="E2400" s="2"/>
      <c r="F2400" s="8"/>
      <c r="G2400" s="8"/>
      <c r="H2400" s="8"/>
      <c r="I2400" s="8"/>
      <c r="AG2400" s="3">
        <v>11.2</v>
      </c>
      <c r="AJ2400" s="3">
        <v>11.2</v>
      </c>
      <c r="AL2400" s="3">
        <f>AJ2400-AG2400</f>
        <v>0</v>
      </c>
      <c r="AM2400" s="3">
        <v>9.7200000000000006</v>
      </c>
      <c r="AO2400" s="3">
        <f>AM2400-AJ2400</f>
        <v>-1.4799999999999986</v>
      </c>
      <c r="AP2400" s="3">
        <v>9.93</v>
      </c>
      <c r="AS2400" s="3">
        <v>10.050000000000001</v>
      </c>
      <c r="AV2400" s="3">
        <v>4.66</v>
      </c>
    </row>
    <row r="2401" spans="1:61">
      <c r="B2401" s="103" t="s">
        <v>566</v>
      </c>
      <c r="C2401" s="1" t="s">
        <v>286</v>
      </c>
      <c r="D2401" s="2"/>
      <c r="E2401" s="2"/>
      <c r="F2401" s="8"/>
      <c r="G2401" s="8"/>
      <c r="H2401" s="8"/>
      <c r="I2401" s="8"/>
      <c r="AL2401" s="3"/>
      <c r="AO2401" s="3"/>
      <c r="AS2401" s="3">
        <v>10.1</v>
      </c>
      <c r="AV2401" s="3">
        <v>4.49</v>
      </c>
    </row>
    <row r="2402" spans="1:61">
      <c r="B2402" s="103" t="s">
        <v>566</v>
      </c>
      <c r="C2402" s="1" t="s">
        <v>288</v>
      </c>
      <c r="D2402" s="2"/>
      <c r="E2402" s="2"/>
      <c r="F2402" s="8"/>
      <c r="G2402" s="8"/>
      <c r="H2402" s="8"/>
      <c r="I2402" s="8"/>
      <c r="AG2402" s="3">
        <v>12.7</v>
      </c>
      <c r="AJ2402" s="3">
        <v>13.57</v>
      </c>
      <c r="AL2402" s="3">
        <f>AJ2402-AG2402</f>
        <v>0.87000000000000099</v>
      </c>
      <c r="AM2402" s="3">
        <v>9.9600000000000009</v>
      </c>
      <c r="AO2402" s="3">
        <f>AM2402-AJ2402</f>
        <v>-3.6099999999999994</v>
      </c>
      <c r="AP2402" s="3">
        <v>9.9600000000000009</v>
      </c>
      <c r="AS2402" s="3">
        <v>8.43</v>
      </c>
      <c r="AV2402" s="3">
        <v>9.1300000000000008</v>
      </c>
      <c r="AZ2402" s="3">
        <v>9.17</v>
      </c>
      <c r="BA2402" s="1" t="s">
        <v>852</v>
      </c>
      <c r="BC2402" s="3">
        <v>9.17</v>
      </c>
      <c r="BD2402" s="3">
        <v>8.3810000000000002</v>
      </c>
      <c r="BE2402" s="1" t="s">
        <v>852</v>
      </c>
      <c r="BG2402" s="3">
        <v>8.3800000000000008</v>
      </c>
      <c r="BH2402" s="3">
        <v>8.11</v>
      </c>
      <c r="BI2402" s="1" t="s">
        <v>852</v>
      </c>
    </row>
    <row r="2403" spans="1:61">
      <c r="A2403" s="6">
        <v>11</v>
      </c>
      <c r="B2403" s="103" t="s">
        <v>566</v>
      </c>
      <c r="C2403" s="1" t="s">
        <v>57</v>
      </c>
      <c r="D2403" s="2">
        <v>0</v>
      </c>
      <c r="E2403" s="2"/>
      <c r="F2403" s="8"/>
      <c r="G2403" s="8"/>
      <c r="H2403" s="8"/>
      <c r="I2403" s="8"/>
      <c r="L2403" s="1" t="s">
        <v>285</v>
      </c>
      <c r="P2403" s="1" t="s">
        <v>285</v>
      </c>
    </row>
    <row r="2404" spans="1:61">
      <c r="B2404" s="103" t="s">
        <v>566</v>
      </c>
      <c r="C2404" s="1" t="s">
        <v>287</v>
      </c>
      <c r="D2404" s="2"/>
      <c r="E2404" s="2"/>
      <c r="F2404" s="8"/>
      <c r="G2404" s="8"/>
      <c r="H2404" s="8"/>
      <c r="I2404" s="8"/>
      <c r="AZ2404" s="3">
        <v>11.25</v>
      </c>
      <c r="BA2404" s="1" t="s">
        <v>852</v>
      </c>
      <c r="BC2404" s="3">
        <v>11.25</v>
      </c>
      <c r="BD2404" s="3">
        <v>10.885999999999999</v>
      </c>
      <c r="BE2404" s="1" t="s">
        <v>852</v>
      </c>
    </row>
    <row r="2405" spans="1:61">
      <c r="A2405" s="6">
        <v>1</v>
      </c>
      <c r="B2405" s="103" t="s">
        <v>567</v>
      </c>
      <c r="C2405" s="1" t="s">
        <v>52</v>
      </c>
      <c r="D2405" s="2"/>
      <c r="E2405" s="2"/>
      <c r="K2405" s="1" t="s">
        <v>284</v>
      </c>
    </row>
    <row r="2406" spans="1:61">
      <c r="A2406" s="6">
        <v>3</v>
      </c>
      <c r="B2406" s="103" t="s">
        <v>567</v>
      </c>
      <c r="C2406" s="1" t="s">
        <v>54</v>
      </c>
      <c r="D2406" s="2"/>
      <c r="E2406" s="2"/>
      <c r="K2406" s="1" t="s">
        <v>284</v>
      </c>
    </row>
    <row r="2407" spans="1:61">
      <c r="A2407" s="6">
        <v>4</v>
      </c>
      <c r="B2407" s="103" t="s">
        <v>567</v>
      </c>
      <c r="C2407" s="1" t="s">
        <v>55</v>
      </c>
      <c r="D2407" s="2"/>
      <c r="E2407" s="2"/>
      <c r="K2407" s="1" t="s">
        <v>284</v>
      </c>
    </row>
    <row r="2408" spans="1:61">
      <c r="A2408" s="6">
        <v>5</v>
      </c>
      <c r="B2408" s="103" t="s">
        <v>567</v>
      </c>
      <c r="C2408" s="1" t="s">
        <v>56</v>
      </c>
      <c r="D2408" s="2"/>
      <c r="E2408" s="2"/>
      <c r="K2408" s="1" t="s">
        <v>284</v>
      </c>
    </row>
    <row r="2409" spans="1:61">
      <c r="A2409" s="6">
        <v>2</v>
      </c>
      <c r="B2409" s="103" t="s">
        <v>567</v>
      </c>
      <c r="C2409" s="1" t="s">
        <v>53</v>
      </c>
      <c r="D2409" s="2"/>
      <c r="E2409" s="2"/>
      <c r="K2409" s="1" t="s">
        <v>284</v>
      </c>
      <c r="M2409" s="3">
        <v>8.52</v>
      </c>
      <c r="O2409" s="3">
        <v>8.52</v>
      </c>
      <c r="Q2409" s="3"/>
      <c r="R2409" s="3">
        <v>7</v>
      </c>
      <c r="T2409" s="3">
        <f>R2409-O2409</f>
        <v>-1.5199999999999996</v>
      </c>
      <c r="U2409" s="3">
        <v>11.1</v>
      </c>
      <c r="X2409" s="3">
        <v>21.4</v>
      </c>
      <c r="AA2409" s="3">
        <v>25.5</v>
      </c>
      <c r="AC2409" s="3">
        <f>AA2409-X2409</f>
        <v>4.1000000000000014</v>
      </c>
    </row>
    <row r="2410" spans="1:61">
      <c r="B2410" s="103" t="s">
        <v>567</v>
      </c>
      <c r="C2410" s="1" t="s">
        <v>597</v>
      </c>
      <c r="D2410" s="2"/>
      <c r="E2410" s="2"/>
      <c r="Q2410" s="3"/>
      <c r="T2410" s="3"/>
      <c r="AC2410" s="3"/>
      <c r="AV2410" s="3">
        <v>20</v>
      </c>
    </row>
    <row r="2411" spans="1:61">
      <c r="A2411" s="6">
        <v>12</v>
      </c>
      <c r="B2411" s="103" t="s">
        <v>567</v>
      </c>
      <c r="C2411" s="1" t="s">
        <v>594</v>
      </c>
      <c r="D2411" s="2"/>
      <c r="E2411" s="2"/>
      <c r="K2411" s="1" t="s">
        <v>284</v>
      </c>
      <c r="M2411" s="3">
        <v>6.25</v>
      </c>
      <c r="O2411" s="3">
        <v>6.25</v>
      </c>
      <c r="Q2411" s="3"/>
      <c r="R2411" s="3">
        <v>7</v>
      </c>
      <c r="T2411" s="3">
        <f>R2411-O2411</f>
        <v>0.75</v>
      </c>
      <c r="U2411" s="3">
        <v>4.8</v>
      </c>
      <c r="X2411" s="3">
        <v>14.2</v>
      </c>
      <c r="AA2411" s="3">
        <v>14.2</v>
      </c>
      <c r="AC2411" s="3">
        <f>AA2411-X2411</f>
        <v>0</v>
      </c>
      <c r="AD2411" s="24">
        <v>14.9</v>
      </c>
      <c r="AG2411" s="3">
        <v>12</v>
      </c>
      <c r="AI2411" s="3">
        <f>AG2411-AD2411</f>
        <v>-2.9000000000000004</v>
      </c>
      <c r="AJ2411" s="3">
        <v>12</v>
      </c>
      <c r="AL2411" s="3">
        <f>AJ2411-AG2411</f>
        <v>0</v>
      </c>
      <c r="AM2411" s="3">
        <v>7.6</v>
      </c>
      <c r="AO2411" s="3">
        <f>AM2411-AJ2411</f>
        <v>-4.4000000000000004</v>
      </c>
      <c r="AP2411" s="3">
        <v>7.3</v>
      </c>
      <c r="AS2411" s="3">
        <v>7.3</v>
      </c>
      <c r="AV2411" s="3">
        <v>9.3000000000000007</v>
      </c>
      <c r="AY2411" s="3">
        <v>8.1</v>
      </c>
      <c r="AZ2411" s="3">
        <v>9.3000000000000007</v>
      </c>
      <c r="BC2411" s="3">
        <v>9.3000000000000007</v>
      </c>
      <c r="BD2411" s="3">
        <v>5.5</v>
      </c>
      <c r="BE2411" s="1" t="s">
        <v>852</v>
      </c>
      <c r="BG2411" s="3">
        <v>5.5</v>
      </c>
      <c r="BH2411" s="3">
        <v>15.4</v>
      </c>
      <c r="BI2411" s="1" t="s">
        <v>852</v>
      </c>
    </row>
    <row r="2412" spans="1:61">
      <c r="A2412" s="6">
        <v>14</v>
      </c>
      <c r="B2412" s="103" t="s">
        <v>567</v>
      </c>
      <c r="C2412" s="1" t="s">
        <v>58</v>
      </c>
      <c r="D2412" s="2"/>
      <c r="E2412" s="2"/>
      <c r="K2412" s="1" t="s">
        <v>284</v>
      </c>
      <c r="M2412" s="3">
        <v>17</v>
      </c>
      <c r="O2412" s="3">
        <v>17</v>
      </c>
      <c r="Q2412" s="3"/>
      <c r="R2412" s="3">
        <v>10</v>
      </c>
      <c r="T2412" s="3">
        <f>R2412-O2412</f>
        <v>-7</v>
      </c>
      <c r="U2412" s="3">
        <v>11.4</v>
      </c>
      <c r="X2412" s="3">
        <v>19.600000000000001</v>
      </c>
      <c r="AA2412" s="3">
        <v>29</v>
      </c>
      <c r="AC2412" s="3">
        <f>AA2412-X2412</f>
        <v>9.3999999999999986</v>
      </c>
      <c r="AG2412" s="3">
        <v>28</v>
      </c>
      <c r="AJ2412" s="3">
        <v>28</v>
      </c>
      <c r="AL2412" s="3">
        <f>AJ2412-AG2412</f>
        <v>0</v>
      </c>
      <c r="AM2412" s="3">
        <v>15.1</v>
      </c>
      <c r="AO2412" s="3">
        <f>AM2412-AJ2412</f>
        <v>-12.9</v>
      </c>
      <c r="AP2412" s="3">
        <v>14.7</v>
      </c>
      <c r="AS2412" s="3">
        <v>14.7</v>
      </c>
      <c r="AV2412" s="3">
        <v>12</v>
      </c>
      <c r="AY2412" s="3">
        <v>12</v>
      </c>
      <c r="AZ2412" s="3">
        <v>14</v>
      </c>
      <c r="BC2412" s="3">
        <v>14</v>
      </c>
      <c r="BD2412" s="3">
        <v>9.4</v>
      </c>
      <c r="BE2412" s="1" t="s">
        <v>852</v>
      </c>
      <c r="BG2412" s="3">
        <v>9.4</v>
      </c>
      <c r="BH2412" s="3">
        <v>11.2</v>
      </c>
      <c r="BI2412" s="1" t="s">
        <v>852</v>
      </c>
    </row>
    <row r="2413" spans="1:61">
      <c r="B2413" s="103" t="s">
        <v>567</v>
      </c>
      <c r="C2413" s="1" t="s">
        <v>857</v>
      </c>
      <c r="D2413" s="2"/>
      <c r="E2413" s="2"/>
      <c r="Q2413" s="3"/>
      <c r="T2413" s="3"/>
      <c r="AC2413" s="3"/>
      <c r="AL2413" s="3"/>
      <c r="AO2413" s="3"/>
      <c r="AY2413" s="3">
        <v>13.3</v>
      </c>
      <c r="AZ2413" s="3">
        <v>23</v>
      </c>
      <c r="BC2413" s="3">
        <v>23</v>
      </c>
      <c r="BD2413" s="3">
        <v>13.4</v>
      </c>
      <c r="BE2413" s="1" t="s">
        <v>852</v>
      </c>
      <c r="BG2413" s="3">
        <v>13.4</v>
      </c>
      <c r="BI2413" s="1" t="s">
        <v>852</v>
      </c>
    </row>
    <row r="2414" spans="1:61">
      <c r="B2414" s="103" t="s">
        <v>567</v>
      </c>
      <c r="C2414" s="1" t="s">
        <v>289</v>
      </c>
      <c r="D2414" s="2"/>
      <c r="E2414" s="2"/>
      <c r="Q2414" s="3"/>
      <c r="R2414" s="3">
        <v>20</v>
      </c>
      <c r="T2414" s="3"/>
      <c r="X2414" s="3">
        <v>16</v>
      </c>
      <c r="AA2414" s="3">
        <v>16</v>
      </c>
      <c r="AC2414" s="3">
        <f>AA2414-X2414</f>
        <v>0</v>
      </c>
      <c r="AD2414" s="24">
        <v>16</v>
      </c>
      <c r="AG2414" s="3">
        <v>14</v>
      </c>
      <c r="AI2414" s="3">
        <f>AG2414-AD2414</f>
        <v>-2</v>
      </c>
      <c r="AJ2414" s="3">
        <v>14</v>
      </c>
      <c r="AL2414" s="3">
        <f>AJ2414-AG2414</f>
        <v>0</v>
      </c>
      <c r="AM2414" s="3">
        <v>16.7</v>
      </c>
      <c r="AO2414" s="3">
        <f>AM2414-AJ2414</f>
        <v>2.6999999999999993</v>
      </c>
      <c r="AP2414" s="3">
        <v>16.2</v>
      </c>
      <c r="AS2414" s="3">
        <v>16.2</v>
      </c>
      <c r="AV2414" s="3">
        <v>9.3000000000000007</v>
      </c>
      <c r="AY2414" s="3">
        <v>9.3000000000000007</v>
      </c>
      <c r="AZ2414" s="3">
        <v>13.3</v>
      </c>
      <c r="BC2414" s="3">
        <v>13.3</v>
      </c>
      <c r="BD2414" s="3">
        <v>6.7</v>
      </c>
      <c r="BE2414" s="1" t="s">
        <v>852</v>
      </c>
      <c r="BG2414" s="3">
        <v>6.7</v>
      </c>
      <c r="BH2414" s="3">
        <v>14</v>
      </c>
      <c r="BI2414" s="1" t="s">
        <v>852</v>
      </c>
    </row>
    <row r="2415" spans="1:61">
      <c r="B2415" s="103" t="s">
        <v>567</v>
      </c>
      <c r="C2415" s="1" t="s">
        <v>290</v>
      </c>
      <c r="D2415" s="2"/>
      <c r="E2415" s="2"/>
      <c r="Q2415" s="3"/>
      <c r="T2415" s="3"/>
      <c r="AC2415" s="3"/>
      <c r="AG2415" s="3">
        <v>19</v>
      </c>
      <c r="AJ2415" s="3">
        <v>19</v>
      </c>
      <c r="AL2415" s="3">
        <f>AJ2415-AG2415</f>
        <v>0</v>
      </c>
      <c r="AM2415" s="3">
        <v>22.7</v>
      </c>
      <c r="AO2415" s="3">
        <f>AM2415-AJ2415</f>
        <v>3.6999999999999993</v>
      </c>
      <c r="AP2415" s="3">
        <v>22</v>
      </c>
      <c r="AS2415" s="3">
        <v>22</v>
      </c>
      <c r="AV2415" s="3">
        <v>21</v>
      </c>
      <c r="AY2415" s="3">
        <v>21.4</v>
      </c>
      <c r="AZ2415" s="3">
        <v>21.3</v>
      </c>
      <c r="BC2415" s="3">
        <v>21.3</v>
      </c>
      <c r="BD2415" s="3">
        <v>10.199999999999999</v>
      </c>
      <c r="BE2415" s="1" t="s">
        <v>852</v>
      </c>
      <c r="BG2415" s="3">
        <v>10.199999999999999</v>
      </c>
      <c r="BH2415" s="3">
        <v>92.3</v>
      </c>
      <c r="BI2415" s="1" t="s">
        <v>852</v>
      </c>
    </row>
    <row r="2416" spans="1:61">
      <c r="B2416" s="103" t="s">
        <v>567</v>
      </c>
      <c r="C2416" s="1" t="s">
        <v>64</v>
      </c>
      <c r="D2416" s="2"/>
      <c r="E2416" s="2"/>
      <c r="Q2416" s="3"/>
      <c r="R2416" s="3">
        <v>17.5</v>
      </c>
      <c r="T2416" s="3"/>
      <c r="U2416" s="3">
        <v>14.6</v>
      </c>
      <c r="X2416" s="3">
        <v>16</v>
      </c>
      <c r="AA2416" s="3">
        <v>21.3</v>
      </c>
      <c r="AC2416" s="3">
        <f>AA2416-X2416</f>
        <v>5.3000000000000007</v>
      </c>
      <c r="AD2416" s="24">
        <v>21.3</v>
      </c>
      <c r="AG2416" s="3">
        <v>38</v>
      </c>
      <c r="AI2416" s="3">
        <f>AG2416-AD2416</f>
        <v>16.7</v>
      </c>
      <c r="AJ2416" s="3">
        <v>38</v>
      </c>
      <c r="AL2416" s="3">
        <f>AJ2416-AG2416</f>
        <v>0</v>
      </c>
      <c r="AM2416" s="3">
        <v>19.7</v>
      </c>
      <c r="AO2416" s="3">
        <f>AM2416-AJ2416</f>
        <v>-18.3</v>
      </c>
      <c r="AP2416" s="3">
        <v>19.100000000000001</v>
      </c>
      <c r="AS2416" s="3">
        <v>19.100000000000001</v>
      </c>
      <c r="AV2416" s="3">
        <v>12</v>
      </c>
      <c r="AY2416" s="3">
        <v>12</v>
      </c>
      <c r="AZ2416" s="3">
        <v>15.6</v>
      </c>
      <c r="BC2416" s="3">
        <v>15.6</v>
      </c>
      <c r="BD2416" s="3">
        <v>10.7</v>
      </c>
      <c r="BE2416" s="1" t="s">
        <v>852</v>
      </c>
      <c r="BG2416" s="3">
        <v>10.7</v>
      </c>
      <c r="BH2416" s="3">
        <v>14</v>
      </c>
      <c r="BI2416" s="1" t="s">
        <v>852</v>
      </c>
    </row>
    <row r="2417" spans="1:61">
      <c r="B2417" s="103" t="s">
        <v>567</v>
      </c>
      <c r="C2417" s="1" t="s">
        <v>855</v>
      </c>
      <c r="D2417" s="2"/>
      <c r="E2417" s="2"/>
      <c r="Q2417" s="3"/>
      <c r="T2417" s="3"/>
      <c r="AC2417" s="3"/>
      <c r="AI2417" s="3"/>
      <c r="AL2417" s="3"/>
      <c r="AO2417" s="3"/>
      <c r="AY2417" s="3">
        <v>10.7</v>
      </c>
      <c r="AZ2417" s="3">
        <v>15.6</v>
      </c>
      <c r="BC2417" s="3">
        <v>15.6</v>
      </c>
      <c r="BD2417" s="3">
        <v>13.4</v>
      </c>
      <c r="BE2417" s="1" t="s">
        <v>852</v>
      </c>
      <c r="BG2417" s="3">
        <v>13.4</v>
      </c>
      <c r="BH2417" s="3">
        <v>14</v>
      </c>
      <c r="BI2417" s="1" t="s">
        <v>852</v>
      </c>
    </row>
    <row r="2418" spans="1:61">
      <c r="B2418" s="103" t="s">
        <v>567</v>
      </c>
      <c r="C2418" s="1" t="s">
        <v>286</v>
      </c>
      <c r="D2418" s="2"/>
      <c r="E2418" s="2"/>
      <c r="Q2418" s="3"/>
      <c r="R2418" s="3">
        <v>17.5</v>
      </c>
      <c r="T2418" s="3"/>
      <c r="U2418" s="3">
        <v>14.6</v>
      </c>
      <c r="X2418" s="3">
        <v>16</v>
      </c>
      <c r="AA2418" s="3">
        <v>34</v>
      </c>
      <c r="AC2418" s="3">
        <f>AA2418-X2418</f>
        <v>18</v>
      </c>
      <c r="AD2418" s="24">
        <v>34</v>
      </c>
      <c r="AG2418" s="3">
        <v>38</v>
      </c>
      <c r="AI2418" s="3">
        <f>AG2418-AD2418</f>
        <v>4</v>
      </c>
      <c r="AJ2418" s="3">
        <v>38</v>
      </c>
      <c r="AL2418" s="3">
        <f>AJ2418-AG2418</f>
        <v>0</v>
      </c>
      <c r="AM2418" s="3">
        <v>19.7</v>
      </c>
      <c r="AO2418" s="3">
        <f>AM2418-AJ2418</f>
        <v>-18.3</v>
      </c>
      <c r="AP2418" s="3">
        <v>19.100000000000001</v>
      </c>
      <c r="AS2418" s="3">
        <v>19.100000000000001</v>
      </c>
      <c r="AV2418" s="3">
        <v>10.7</v>
      </c>
      <c r="AY2418" s="3">
        <v>18</v>
      </c>
      <c r="AZ2418" s="3">
        <v>18</v>
      </c>
      <c r="BC2418" s="3">
        <v>18</v>
      </c>
      <c r="BD2418" s="3">
        <v>13.4</v>
      </c>
      <c r="BE2418" s="1" t="s">
        <v>852</v>
      </c>
      <c r="BG2418" s="3">
        <v>13.4</v>
      </c>
      <c r="BH2418" s="3">
        <v>14</v>
      </c>
      <c r="BI2418" s="1" t="s">
        <v>852</v>
      </c>
    </row>
    <row r="2419" spans="1:61">
      <c r="B2419" s="103" t="s">
        <v>567</v>
      </c>
      <c r="C2419" s="1" t="s">
        <v>288</v>
      </c>
      <c r="D2419" s="2"/>
      <c r="E2419" s="2"/>
      <c r="Q2419" s="3"/>
      <c r="R2419" s="3">
        <v>20</v>
      </c>
      <c r="T2419" s="3"/>
      <c r="U2419" s="3">
        <v>14.6</v>
      </c>
      <c r="X2419" s="3">
        <v>16</v>
      </c>
      <c r="AA2419" s="3">
        <v>34</v>
      </c>
      <c r="AC2419" s="3">
        <f>AA2419-X2419</f>
        <v>18</v>
      </c>
      <c r="AD2419" s="24">
        <v>34</v>
      </c>
      <c r="AG2419" s="3">
        <v>38</v>
      </c>
      <c r="AI2419" s="3">
        <f>AG2419-AD2419</f>
        <v>4</v>
      </c>
      <c r="AJ2419" s="3">
        <v>38</v>
      </c>
      <c r="AL2419" s="3">
        <f>AJ2419-AG2419</f>
        <v>0</v>
      </c>
      <c r="AM2419" s="3">
        <v>22.2</v>
      </c>
      <c r="AO2419" s="3">
        <f>AM2419-AJ2419</f>
        <v>-15.8</v>
      </c>
      <c r="AP2419" s="3">
        <v>20.6</v>
      </c>
      <c r="AS2419" s="3">
        <v>20.5</v>
      </c>
      <c r="AV2419" s="3">
        <v>20</v>
      </c>
      <c r="AY2419" s="3">
        <v>20</v>
      </c>
      <c r="AZ2419" s="3">
        <v>20.6</v>
      </c>
      <c r="BC2419" s="3">
        <v>20.6</v>
      </c>
      <c r="BD2419" s="3">
        <v>10.7</v>
      </c>
      <c r="BE2419" s="1" t="s">
        <v>852</v>
      </c>
      <c r="BG2419" s="3">
        <v>10.7</v>
      </c>
      <c r="BH2419" s="3">
        <v>14</v>
      </c>
      <c r="BI2419" s="1" t="s">
        <v>852</v>
      </c>
    </row>
    <row r="2420" spans="1:61">
      <c r="A2420" s="6">
        <v>11</v>
      </c>
      <c r="B2420" s="103" t="s">
        <v>567</v>
      </c>
      <c r="C2420" s="1" t="s">
        <v>57</v>
      </c>
      <c r="D2420" s="2"/>
      <c r="E2420" s="2"/>
      <c r="K2420" s="1" t="s">
        <v>284</v>
      </c>
      <c r="R2420" s="3">
        <v>17.5</v>
      </c>
      <c r="T2420" s="3"/>
      <c r="U2420" s="3">
        <v>16.3</v>
      </c>
      <c r="X2420" s="3">
        <v>21.4</v>
      </c>
      <c r="AA2420" s="3">
        <v>25.5</v>
      </c>
      <c r="AC2420" s="3">
        <f>AA2420-X2420</f>
        <v>4.1000000000000014</v>
      </c>
    </row>
    <row r="2421" spans="1:61" ht="9.6" customHeight="1">
      <c r="B2421" s="103" t="s">
        <v>567</v>
      </c>
      <c r="C2421" s="1" t="s">
        <v>287</v>
      </c>
      <c r="D2421" s="2"/>
      <c r="E2421" s="2"/>
      <c r="Q2421" s="3"/>
      <c r="T2421" s="3"/>
      <c r="U2421" s="3">
        <v>14.6</v>
      </c>
      <c r="X2421" s="3">
        <v>16</v>
      </c>
      <c r="AG2421" s="3">
        <v>38</v>
      </c>
      <c r="AJ2421" s="3">
        <v>80</v>
      </c>
      <c r="AL2421" s="3">
        <f>AJ2421-AG2421</f>
        <v>42</v>
      </c>
      <c r="AM2421" s="3">
        <v>18.2</v>
      </c>
      <c r="AO2421" s="3">
        <f>AM2421-AJ2421</f>
        <v>-61.8</v>
      </c>
      <c r="AP2421" s="3">
        <v>17.600000000000001</v>
      </c>
      <c r="AS2421" s="3">
        <v>17.600000000000001</v>
      </c>
      <c r="AV2421" s="3">
        <v>16</v>
      </c>
      <c r="AY2421" s="3">
        <v>16</v>
      </c>
      <c r="AZ2421" s="3">
        <v>17</v>
      </c>
      <c r="BC2421" s="3">
        <v>17</v>
      </c>
      <c r="BD2421" s="3">
        <v>10.7</v>
      </c>
      <c r="BE2421" s="1" t="s">
        <v>852</v>
      </c>
      <c r="BG2421" s="3">
        <v>10.7</v>
      </c>
      <c r="BH2421" s="3">
        <v>14</v>
      </c>
      <c r="BI2421" s="1" t="s">
        <v>852</v>
      </c>
    </row>
    <row r="2422" spans="1:61" ht="9.6" customHeight="1">
      <c r="B2422" s="103" t="s">
        <v>567</v>
      </c>
      <c r="C2422" s="1" t="s">
        <v>872</v>
      </c>
      <c r="D2422" s="2"/>
      <c r="E2422" s="2"/>
      <c r="Q2422" s="3"/>
      <c r="T2422" s="3"/>
      <c r="AL2422" s="3"/>
      <c r="AO2422" s="3"/>
      <c r="BD2422" s="3">
        <v>141</v>
      </c>
      <c r="BE2422" s="1" t="s">
        <v>852</v>
      </c>
      <c r="BG2422" s="3">
        <v>141</v>
      </c>
      <c r="BI2422" s="1" t="s">
        <v>852</v>
      </c>
    </row>
    <row r="2423" spans="1:61">
      <c r="B2423" s="103" t="s">
        <v>567</v>
      </c>
      <c r="C2423" s="1" t="s">
        <v>927</v>
      </c>
      <c r="D2423" s="2"/>
      <c r="E2423" s="2"/>
      <c r="Q2423" s="3"/>
      <c r="T2423" s="3"/>
      <c r="AL2423" s="3"/>
      <c r="AO2423" s="3"/>
      <c r="AY2423" s="3">
        <v>7</v>
      </c>
      <c r="AZ2423" s="3">
        <v>7</v>
      </c>
      <c r="BC2423" s="3">
        <v>7</v>
      </c>
      <c r="BD2423" s="3">
        <v>7</v>
      </c>
      <c r="BE2423" s="1" t="s">
        <v>852</v>
      </c>
      <c r="BG2423" s="3">
        <v>7</v>
      </c>
      <c r="BH2423" s="3">
        <v>8.6999999999999993</v>
      </c>
      <c r="BI2423" s="1" t="s">
        <v>852</v>
      </c>
    </row>
    <row r="2424" spans="1:61">
      <c r="B2424" s="103" t="s">
        <v>567</v>
      </c>
      <c r="C2424" s="1" t="s">
        <v>926</v>
      </c>
      <c r="D2424" s="2"/>
      <c r="E2424" s="2"/>
      <c r="Q2424" s="3"/>
      <c r="T2424" s="3"/>
      <c r="AL2424" s="3"/>
      <c r="AO2424" s="3"/>
      <c r="AY2424" s="3">
        <v>2.4</v>
      </c>
      <c r="AZ2424" s="3">
        <v>2.4</v>
      </c>
      <c r="BC2424" s="3">
        <v>2.4</v>
      </c>
      <c r="BD2424" s="3">
        <v>4</v>
      </c>
      <c r="BE2424" s="1" t="s">
        <v>852</v>
      </c>
      <c r="BG2424" s="3">
        <v>4</v>
      </c>
      <c r="BH2424" s="3">
        <v>2</v>
      </c>
      <c r="BI2424" s="1" t="s">
        <v>852</v>
      </c>
    </row>
    <row r="2425" spans="1:61">
      <c r="A2425" s="6">
        <v>1</v>
      </c>
      <c r="B2425" s="1" t="s">
        <v>644</v>
      </c>
      <c r="C2425" s="1" t="s">
        <v>52</v>
      </c>
      <c r="AN2425" s="1" t="s">
        <v>285</v>
      </c>
      <c r="AQ2425" s="1" t="s">
        <v>285</v>
      </c>
      <c r="AT2425" s="1" t="s">
        <v>285</v>
      </c>
      <c r="AW2425" s="1" t="s">
        <v>285</v>
      </c>
      <c r="BA2425" s="1" t="s">
        <v>285</v>
      </c>
    </row>
    <row r="2426" spans="1:61">
      <c r="A2426" s="6">
        <v>3</v>
      </c>
      <c r="B2426" s="1" t="s">
        <v>644</v>
      </c>
      <c r="C2426" s="1" t="s">
        <v>54</v>
      </c>
      <c r="AN2426" s="1" t="s">
        <v>285</v>
      </c>
      <c r="AQ2426" s="1" t="s">
        <v>285</v>
      </c>
      <c r="AT2426" s="1" t="s">
        <v>285</v>
      </c>
      <c r="AW2426" s="1" t="s">
        <v>285</v>
      </c>
      <c r="BA2426" s="1" t="s">
        <v>285</v>
      </c>
    </row>
    <row r="2427" spans="1:61">
      <c r="A2427" s="6">
        <v>4</v>
      </c>
      <c r="B2427" s="1" t="s">
        <v>644</v>
      </c>
      <c r="C2427" s="1" t="s">
        <v>55</v>
      </c>
      <c r="AN2427" s="1" t="s">
        <v>285</v>
      </c>
      <c r="AQ2427" s="1" t="s">
        <v>285</v>
      </c>
      <c r="AT2427" s="1" t="s">
        <v>285</v>
      </c>
      <c r="AW2427" s="1" t="s">
        <v>285</v>
      </c>
      <c r="BA2427" s="1" t="s">
        <v>285</v>
      </c>
    </row>
    <row r="2428" spans="1:61">
      <c r="A2428" s="6">
        <v>5</v>
      </c>
      <c r="B2428" s="1" t="s">
        <v>644</v>
      </c>
      <c r="C2428" s="1" t="s">
        <v>56</v>
      </c>
      <c r="AN2428" s="1" t="s">
        <v>285</v>
      </c>
      <c r="AQ2428" s="1" t="s">
        <v>285</v>
      </c>
      <c r="AT2428" s="1" t="s">
        <v>285</v>
      </c>
      <c r="AW2428" s="1" t="s">
        <v>285</v>
      </c>
      <c r="BA2428" s="1" t="s">
        <v>285</v>
      </c>
    </row>
    <row r="2429" spans="1:61">
      <c r="A2429" s="6">
        <v>2</v>
      </c>
      <c r="B2429" s="1" t="s">
        <v>644</v>
      </c>
      <c r="C2429" s="1" t="s">
        <v>53</v>
      </c>
      <c r="F2429" s="9">
        <v>100</v>
      </c>
      <c r="H2429" s="9">
        <v>100</v>
      </c>
      <c r="M2429" s="3">
        <v>11</v>
      </c>
      <c r="O2429" s="3">
        <v>11</v>
      </c>
      <c r="Q2429" s="3">
        <f>O2429-H2429</f>
        <v>-89</v>
      </c>
      <c r="R2429" s="3">
        <v>11</v>
      </c>
      <c r="T2429" s="3">
        <f>R2429-O2429</f>
        <v>0</v>
      </c>
      <c r="AN2429" s="1" t="s">
        <v>285</v>
      </c>
      <c r="AQ2429" s="1" t="s">
        <v>285</v>
      </c>
      <c r="AT2429" s="1" t="s">
        <v>285</v>
      </c>
      <c r="AW2429" s="1" t="s">
        <v>285</v>
      </c>
      <c r="BA2429" s="1" t="s">
        <v>285</v>
      </c>
    </row>
    <row r="2430" spans="1:61">
      <c r="B2430" s="1" t="s">
        <v>644</v>
      </c>
      <c r="C2430" s="1" t="s">
        <v>595</v>
      </c>
      <c r="Q2430" s="3"/>
      <c r="R2430" s="3">
        <v>21</v>
      </c>
      <c r="T2430" s="3"/>
      <c r="X2430" s="3">
        <v>13.2</v>
      </c>
      <c r="AG2430" s="3">
        <v>21</v>
      </c>
      <c r="AJ2430" s="3">
        <v>21</v>
      </c>
      <c r="AL2430" s="3">
        <f>AJ2430-AG2430</f>
        <v>0</v>
      </c>
      <c r="AN2430" s="1" t="s">
        <v>285</v>
      </c>
      <c r="AQ2430" s="1" t="s">
        <v>285</v>
      </c>
      <c r="AT2430" s="1" t="s">
        <v>285</v>
      </c>
      <c r="AW2430" s="1" t="s">
        <v>285</v>
      </c>
      <c r="BA2430" s="1" t="s">
        <v>285</v>
      </c>
    </row>
    <row r="2431" spans="1:61">
      <c r="B2431" s="1" t="s">
        <v>644</v>
      </c>
      <c r="C2431" s="1" t="s">
        <v>596</v>
      </c>
      <c r="Q2431" s="3"/>
      <c r="T2431" s="3"/>
      <c r="AJ2431" s="3">
        <v>21</v>
      </c>
      <c r="AN2431" s="1" t="s">
        <v>285</v>
      </c>
      <c r="AQ2431" s="1" t="s">
        <v>285</v>
      </c>
      <c r="AT2431" s="1" t="s">
        <v>285</v>
      </c>
      <c r="AW2431" s="1" t="s">
        <v>285</v>
      </c>
      <c r="BA2431" s="1" t="s">
        <v>285</v>
      </c>
    </row>
    <row r="2432" spans="1:61">
      <c r="A2432" s="6">
        <v>12</v>
      </c>
      <c r="B2432" s="1" t="s">
        <v>644</v>
      </c>
      <c r="C2432" s="1" t="s">
        <v>594</v>
      </c>
      <c r="F2432" s="9">
        <v>125</v>
      </c>
      <c r="H2432" s="9">
        <v>125</v>
      </c>
      <c r="M2432" s="3">
        <v>7</v>
      </c>
      <c r="O2432" s="3">
        <v>7</v>
      </c>
      <c r="Q2432" s="3">
        <f>O2432-H2432</f>
        <v>-118</v>
      </c>
      <c r="R2432" s="3">
        <v>7</v>
      </c>
      <c r="T2432" s="3">
        <f>R2432-O2432</f>
        <v>0</v>
      </c>
      <c r="AA2432" s="3">
        <v>12</v>
      </c>
      <c r="AD2432" s="24">
        <v>7.35</v>
      </c>
      <c r="AG2432" s="3">
        <v>7</v>
      </c>
      <c r="AJ2432" s="3">
        <v>12</v>
      </c>
      <c r="AL2432" s="3">
        <f>AJ2432-AG2432</f>
        <v>5</v>
      </c>
      <c r="AN2432" s="1" t="s">
        <v>285</v>
      </c>
      <c r="AQ2432" s="1" t="s">
        <v>285</v>
      </c>
      <c r="AT2432" s="1" t="s">
        <v>285</v>
      </c>
      <c r="AW2432" s="1" t="s">
        <v>285</v>
      </c>
      <c r="BA2432" s="1" t="s">
        <v>285</v>
      </c>
      <c r="BD2432" s="3">
        <v>8</v>
      </c>
      <c r="BE2432" s="1" t="s">
        <v>852</v>
      </c>
      <c r="BH2432" s="3">
        <v>9</v>
      </c>
      <c r="BI2432" s="1" t="s">
        <v>852</v>
      </c>
    </row>
    <row r="2433" spans="1:61">
      <c r="B2433" s="1" t="s">
        <v>644</v>
      </c>
      <c r="C2433" s="1" t="s">
        <v>851</v>
      </c>
      <c r="Q2433" s="3"/>
      <c r="T2433" s="3"/>
      <c r="AL2433" s="3"/>
      <c r="BH2433" s="3">
        <v>10</v>
      </c>
      <c r="BI2433" s="1" t="s">
        <v>852</v>
      </c>
    </row>
    <row r="2434" spans="1:61">
      <c r="A2434" s="6">
        <v>14</v>
      </c>
      <c r="B2434" s="1" t="s">
        <v>644</v>
      </c>
      <c r="C2434" s="1" t="s">
        <v>58</v>
      </c>
      <c r="F2434" s="9">
        <v>177.6</v>
      </c>
      <c r="H2434" s="9">
        <v>177.6</v>
      </c>
      <c r="M2434" s="3">
        <v>21</v>
      </c>
      <c r="O2434" s="3">
        <v>21</v>
      </c>
      <c r="Q2434" s="3">
        <f>O2434-H2434</f>
        <v>-156.6</v>
      </c>
      <c r="AA2434" s="3">
        <v>24</v>
      </c>
      <c r="AD2434" s="24">
        <v>18.48</v>
      </c>
      <c r="AJ2434" s="3">
        <v>24</v>
      </c>
      <c r="AL2434" s="3"/>
      <c r="AN2434" s="1" t="s">
        <v>285</v>
      </c>
      <c r="AQ2434" s="1" t="s">
        <v>285</v>
      </c>
      <c r="AT2434" s="1" t="s">
        <v>285</v>
      </c>
      <c r="AW2434" s="1" t="s">
        <v>285</v>
      </c>
      <c r="BA2434" s="1" t="s">
        <v>285</v>
      </c>
      <c r="BD2434" s="3">
        <v>10</v>
      </c>
      <c r="BE2434" s="1" t="s">
        <v>852</v>
      </c>
    </row>
    <row r="2435" spans="1:61">
      <c r="B2435" s="1" t="s">
        <v>644</v>
      </c>
      <c r="C2435" s="1" t="s">
        <v>289</v>
      </c>
      <c r="Q2435" s="3"/>
      <c r="T2435" s="3"/>
      <c r="AD2435" s="24">
        <v>14.6</v>
      </c>
      <c r="AN2435" s="1" t="s">
        <v>285</v>
      </c>
      <c r="AQ2435" s="1" t="s">
        <v>285</v>
      </c>
      <c r="AT2435" s="1" t="s">
        <v>285</v>
      </c>
      <c r="AW2435" s="1" t="s">
        <v>285</v>
      </c>
      <c r="BA2435" s="1" t="s">
        <v>285</v>
      </c>
      <c r="BD2435" s="3">
        <v>11</v>
      </c>
      <c r="BE2435" s="1" t="s">
        <v>852</v>
      </c>
      <c r="BH2435" s="3">
        <v>11</v>
      </c>
      <c r="BI2435" s="1" t="s">
        <v>852</v>
      </c>
    </row>
    <row r="2436" spans="1:61">
      <c r="B2436" s="1" t="s">
        <v>644</v>
      </c>
      <c r="C2436" s="1" t="s">
        <v>290</v>
      </c>
      <c r="Q2436" s="3"/>
      <c r="T2436" s="3"/>
      <c r="AD2436" s="24">
        <v>14.6</v>
      </c>
      <c r="AN2436" s="1" t="s">
        <v>285</v>
      </c>
      <c r="AQ2436" s="1" t="s">
        <v>285</v>
      </c>
      <c r="AT2436" s="1" t="s">
        <v>285</v>
      </c>
      <c r="AW2436" s="1" t="s">
        <v>285</v>
      </c>
      <c r="BA2436" s="1" t="s">
        <v>285</v>
      </c>
      <c r="BD2436" s="3">
        <v>11</v>
      </c>
      <c r="BE2436" s="1" t="s">
        <v>852</v>
      </c>
      <c r="BH2436" s="3">
        <v>11</v>
      </c>
      <c r="BI2436" s="1" t="s">
        <v>852</v>
      </c>
    </row>
    <row r="2437" spans="1:61">
      <c r="B2437" s="1" t="s">
        <v>644</v>
      </c>
      <c r="C2437" s="1" t="s">
        <v>64</v>
      </c>
      <c r="Q2437" s="3"/>
      <c r="T2437" s="3"/>
      <c r="AA2437" s="3">
        <v>15</v>
      </c>
      <c r="AJ2437" s="3">
        <v>15</v>
      </c>
      <c r="AN2437" s="1" t="s">
        <v>285</v>
      </c>
      <c r="AQ2437" s="1" t="s">
        <v>285</v>
      </c>
      <c r="AT2437" s="1" t="s">
        <v>285</v>
      </c>
      <c r="AW2437" s="1" t="s">
        <v>285</v>
      </c>
      <c r="BA2437" s="1" t="s">
        <v>285</v>
      </c>
      <c r="BD2437" s="3">
        <v>10</v>
      </c>
      <c r="BE2437" s="1" t="s">
        <v>852</v>
      </c>
      <c r="BH2437" s="3">
        <v>10</v>
      </c>
      <c r="BI2437" s="1" t="s">
        <v>852</v>
      </c>
    </row>
    <row r="2438" spans="1:61">
      <c r="B2438" s="1" t="s">
        <v>644</v>
      </c>
      <c r="C2438" s="1" t="s">
        <v>855</v>
      </c>
      <c r="Q2438" s="3"/>
      <c r="T2438" s="3"/>
      <c r="BD2438" s="3">
        <v>10</v>
      </c>
      <c r="BE2438" s="1" t="s">
        <v>852</v>
      </c>
      <c r="BH2438" s="3">
        <v>10</v>
      </c>
      <c r="BI2438" s="1" t="s">
        <v>852</v>
      </c>
    </row>
    <row r="2439" spans="1:61">
      <c r="B2439" s="1" t="s">
        <v>644</v>
      </c>
      <c r="C2439" s="1" t="s">
        <v>286</v>
      </c>
      <c r="Q2439" s="3"/>
      <c r="T2439" s="3"/>
      <c r="AN2439" s="1" t="s">
        <v>285</v>
      </c>
      <c r="AQ2439" s="1" t="s">
        <v>285</v>
      </c>
      <c r="AT2439" s="1" t="s">
        <v>285</v>
      </c>
      <c r="AW2439" s="1" t="s">
        <v>285</v>
      </c>
      <c r="BA2439" s="1" t="s">
        <v>285</v>
      </c>
      <c r="BD2439" s="3">
        <v>10</v>
      </c>
      <c r="BE2439" s="1" t="s">
        <v>852</v>
      </c>
      <c r="BH2439" s="3">
        <v>10</v>
      </c>
      <c r="BI2439" s="1" t="s">
        <v>852</v>
      </c>
    </row>
    <row r="2440" spans="1:61">
      <c r="B2440" s="1" t="s">
        <v>644</v>
      </c>
      <c r="C2440" s="1" t="s">
        <v>288</v>
      </c>
      <c r="Q2440" s="3"/>
      <c r="T2440" s="3"/>
      <c r="AN2440" s="1" t="s">
        <v>285</v>
      </c>
      <c r="AQ2440" s="1" t="s">
        <v>285</v>
      </c>
      <c r="AT2440" s="1" t="s">
        <v>285</v>
      </c>
      <c r="AW2440" s="1" t="s">
        <v>285</v>
      </c>
      <c r="BA2440" s="1" t="s">
        <v>285</v>
      </c>
      <c r="BD2440" s="3">
        <v>11</v>
      </c>
      <c r="BE2440" s="1" t="s">
        <v>852</v>
      </c>
      <c r="BH2440" s="3">
        <v>11</v>
      </c>
      <c r="BI2440" s="1" t="s">
        <v>852</v>
      </c>
    </row>
    <row r="2441" spans="1:61">
      <c r="A2441" s="6">
        <v>11</v>
      </c>
      <c r="B2441" s="1" t="s">
        <v>644</v>
      </c>
      <c r="C2441" s="1" t="s">
        <v>57</v>
      </c>
      <c r="F2441" s="9">
        <v>115</v>
      </c>
      <c r="H2441" s="9">
        <v>115</v>
      </c>
      <c r="M2441" s="3">
        <v>35</v>
      </c>
      <c r="O2441" s="3">
        <v>35</v>
      </c>
      <c r="Q2441" s="3">
        <f>O2441-H2441</f>
        <v>-80</v>
      </c>
      <c r="R2441" s="3">
        <v>35</v>
      </c>
      <c r="T2441" s="3">
        <f>R2441-O2441</f>
        <v>0</v>
      </c>
      <c r="AN2441" s="1" t="s">
        <v>285</v>
      </c>
      <c r="AQ2441" s="1" t="s">
        <v>285</v>
      </c>
      <c r="AT2441" s="1" t="s">
        <v>285</v>
      </c>
      <c r="AW2441" s="1" t="s">
        <v>285</v>
      </c>
      <c r="BA2441" s="1" t="s">
        <v>285</v>
      </c>
    </row>
    <row r="2442" spans="1:61">
      <c r="B2442" s="1" t="s">
        <v>644</v>
      </c>
      <c r="C2442" s="1" t="s">
        <v>287</v>
      </c>
      <c r="Q2442" s="3"/>
      <c r="T2442" s="3"/>
      <c r="AN2442" s="1" t="s">
        <v>285</v>
      </c>
      <c r="AQ2442" s="1" t="s">
        <v>285</v>
      </c>
      <c r="AT2442" s="1" t="s">
        <v>285</v>
      </c>
      <c r="AW2442" s="1" t="s">
        <v>285</v>
      </c>
      <c r="BA2442" s="1" t="s">
        <v>285</v>
      </c>
    </row>
    <row r="2443" spans="1:61">
      <c r="A2443" s="6">
        <v>1</v>
      </c>
      <c r="B2443" s="103" t="s">
        <v>568</v>
      </c>
      <c r="C2443" s="1" t="s">
        <v>52</v>
      </c>
      <c r="D2443" s="2">
        <v>7.13</v>
      </c>
      <c r="E2443" s="2"/>
      <c r="F2443" s="8">
        <v>0</v>
      </c>
      <c r="G2443" s="8"/>
      <c r="H2443" s="8">
        <v>0</v>
      </c>
      <c r="I2443" s="8"/>
      <c r="K2443" s="3"/>
    </row>
    <row r="2444" spans="1:61">
      <c r="A2444" s="6">
        <v>3</v>
      </c>
      <c r="B2444" s="103" t="s">
        <v>568</v>
      </c>
      <c r="C2444" s="1" t="s">
        <v>54</v>
      </c>
      <c r="D2444" s="2" t="s">
        <v>646</v>
      </c>
      <c r="E2444" s="2"/>
      <c r="F2444" s="8">
        <v>0</v>
      </c>
      <c r="G2444" s="8"/>
      <c r="H2444" s="8">
        <v>0</v>
      </c>
      <c r="I2444" s="8"/>
    </row>
    <row r="2445" spans="1:61">
      <c r="A2445" s="6">
        <v>4</v>
      </c>
      <c r="B2445" s="103" t="s">
        <v>568</v>
      </c>
      <c r="C2445" s="1" t="s">
        <v>55</v>
      </c>
      <c r="D2445" s="2" t="s">
        <v>646</v>
      </c>
      <c r="E2445" s="2"/>
      <c r="F2445" s="8">
        <v>0</v>
      </c>
      <c r="G2445" s="8"/>
      <c r="H2445" s="8">
        <v>0</v>
      </c>
      <c r="I2445" s="8"/>
    </row>
    <row r="2446" spans="1:61">
      <c r="A2446" s="6">
        <v>5</v>
      </c>
      <c r="B2446" s="103" t="s">
        <v>568</v>
      </c>
      <c r="C2446" s="1" t="s">
        <v>56</v>
      </c>
      <c r="D2446" s="2" t="s">
        <v>646</v>
      </c>
      <c r="E2446" s="2"/>
      <c r="F2446" s="8">
        <v>0</v>
      </c>
      <c r="G2446" s="8"/>
      <c r="H2446" s="8">
        <v>0</v>
      </c>
      <c r="I2446" s="8"/>
    </row>
    <row r="2447" spans="1:61">
      <c r="A2447" s="6">
        <v>2</v>
      </c>
      <c r="B2447" s="103" t="s">
        <v>568</v>
      </c>
      <c r="C2447" s="1" t="s">
        <v>53</v>
      </c>
      <c r="D2447" s="2">
        <v>12.08</v>
      </c>
      <c r="E2447" s="2"/>
      <c r="F2447" s="8">
        <v>0</v>
      </c>
      <c r="G2447" s="8"/>
      <c r="H2447" s="8">
        <v>0</v>
      </c>
      <c r="I2447" s="8"/>
      <c r="M2447" s="3">
        <v>25</v>
      </c>
      <c r="O2447" s="3">
        <v>25</v>
      </c>
      <c r="Q2447" s="3"/>
      <c r="R2447" s="3">
        <v>31.69</v>
      </c>
      <c r="T2447" s="3">
        <f>R2447-O2447</f>
        <v>6.6900000000000013</v>
      </c>
    </row>
    <row r="2448" spans="1:61">
      <c r="B2448" s="103" t="s">
        <v>568</v>
      </c>
      <c r="C2448" s="1" t="s">
        <v>597</v>
      </c>
      <c r="D2448" s="2"/>
      <c r="E2448" s="2"/>
      <c r="F2448" s="8"/>
      <c r="G2448" s="8"/>
      <c r="H2448" s="8"/>
      <c r="I2448" s="8"/>
      <c r="Q2448" s="3"/>
      <c r="T2448" s="3"/>
      <c r="BD2448" s="3">
        <v>37.93</v>
      </c>
      <c r="BE2448" s="1" t="s">
        <v>852</v>
      </c>
      <c r="BG2448" s="3">
        <v>37.93</v>
      </c>
      <c r="BI2448" s="1" t="s">
        <v>852</v>
      </c>
    </row>
    <row r="2449" spans="1:61">
      <c r="B2449" s="103" t="s">
        <v>568</v>
      </c>
      <c r="C2449" s="1" t="s">
        <v>595</v>
      </c>
      <c r="D2449" s="2"/>
      <c r="E2449" s="2"/>
      <c r="F2449" s="8"/>
      <c r="G2449" s="8"/>
      <c r="H2449" s="8"/>
      <c r="I2449" s="8"/>
      <c r="M2449" s="3">
        <v>6</v>
      </c>
      <c r="O2449" s="3">
        <v>6</v>
      </c>
      <c r="R2449" s="3">
        <v>5.2</v>
      </c>
      <c r="T2449" s="3">
        <f>R2449-O2449</f>
        <v>-0.79999999999999982</v>
      </c>
      <c r="U2449" s="3">
        <v>5</v>
      </c>
      <c r="W2449" s="3">
        <f>U2449-R2449</f>
        <v>-0.20000000000000018</v>
      </c>
      <c r="X2449" s="3">
        <v>11.6</v>
      </c>
      <c r="Z2449" s="3">
        <f>X2449-U2449</f>
        <v>6.6</v>
      </c>
      <c r="AD2449" s="24">
        <v>8.7799999999999994</v>
      </c>
      <c r="AG2449" s="3">
        <v>10.66</v>
      </c>
      <c r="AI2449" s="3">
        <f>AG2449-AD2449</f>
        <v>1.8800000000000008</v>
      </c>
      <c r="AJ2449" s="3">
        <v>5.94</v>
      </c>
      <c r="AL2449" s="3">
        <f>AJ2449-AG2449</f>
        <v>-4.72</v>
      </c>
      <c r="AM2449" s="3">
        <v>5.94</v>
      </c>
      <c r="AO2449" s="3">
        <f>AM2449-AJ2449</f>
        <v>0</v>
      </c>
      <c r="AP2449" s="3">
        <v>7.88</v>
      </c>
      <c r="AS2449" s="3">
        <v>16.34</v>
      </c>
      <c r="AV2449" s="3">
        <v>13.84</v>
      </c>
      <c r="AY2449" s="3">
        <v>13.84</v>
      </c>
      <c r="AZ2449" s="3">
        <v>12.66</v>
      </c>
      <c r="BA2449" s="1" t="s">
        <v>852</v>
      </c>
      <c r="BC2449" s="3">
        <v>12.66</v>
      </c>
      <c r="BD2449" s="3">
        <v>13.2</v>
      </c>
      <c r="BE2449" s="1" t="s">
        <v>852</v>
      </c>
      <c r="BG2449" s="3">
        <v>13.2</v>
      </c>
      <c r="BH2449" s="3">
        <v>17.43</v>
      </c>
      <c r="BI2449" s="1" t="s">
        <v>852</v>
      </c>
    </row>
    <row r="2450" spans="1:61">
      <c r="A2450" s="6">
        <v>12</v>
      </c>
      <c r="B2450" s="103" t="s">
        <v>568</v>
      </c>
      <c r="C2450" s="1" t="s">
        <v>594</v>
      </c>
      <c r="D2450" s="2">
        <v>4.75</v>
      </c>
      <c r="E2450" s="2"/>
      <c r="F2450" s="8">
        <v>0</v>
      </c>
      <c r="G2450" s="8"/>
      <c r="H2450" s="8">
        <v>0</v>
      </c>
      <c r="I2450" s="8"/>
      <c r="M2450" s="3">
        <v>8</v>
      </c>
      <c r="O2450" s="3">
        <v>8</v>
      </c>
      <c r="Q2450" s="3"/>
      <c r="R2450" s="3">
        <v>7.04</v>
      </c>
      <c r="T2450" s="3">
        <f>R2450-O2450</f>
        <v>-0.96</v>
      </c>
      <c r="U2450" s="3">
        <v>5.5</v>
      </c>
      <c r="W2450" s="3">
        <f>U2450-R2450</f>
        <v>-1.54</v>
      </c>
      <c r="X2450" s="3">
        <v>10.7</v>
      </c>
      <c r="Z2450" s="3">
        <f>X2450-U2450</f>
        <v>5.1999999999999993</v>
      </c>
      <c r="AA2450" s="3">
        <v>7</v>
      </c>
      <c r="AC2450" s="3">
        <f>AA2450-X2450</f>
        <v>-3.6999999999999993</v>
      </c>
      <c r="AD2450" s="24">
        <v>5.51</v>
      </c>
      <c r="AF2450" s="24">
        <f>AD2450-AA2450</f>
        <v>-1.4900000000000002</v>
      </c>
      <c r="AG2450" s="3">
        <v>5.15</v>
      </c>
      <c r="AI2450" s="3">
        <f>AG2450-AD2450</f>
        <v>-0.35999999999999943</v>
      </c>
      <c r="AJ2450" s="3">
        <v>5.15</v>
      </c>
      <c r="AL2450" s="3">
        <f>AJ2450-AG2450</f>
        <v>0</v>
      </c>
      <c r="AM2450" s="3">
        <v>5.15</v>
      </c>
      <c r="AO2450" s="3">
        <f>AM2450-AJ2450</f>
        <v>0</v>
      </c>
      <c r="AP2450" s="3">
        <v>6.24</v>
      </c>
      <c r="AS2450" s="3">
        <v>6.65</v>
      </c>
      <c r="AV2450" s="3">
        <v>10.51</v>
      </c>
      <c r="AY2450" s="3">
        <v>10.51</v>
      </c>
      <c r="AZ2450" s="3">
        <v>8.92</v>
      </c>
      <c r="BA2450" s="1" t="s">
        <v>852</v>
      </c>
      <c r="BC2450" s="3">
        <v>8.92</v>
      </c>
      <c r="BD2450" s="3">
        <v>8.1</v>
      </c>
      <c r="BE2450" s="1" t="s">
        <v>852</v>
      </c>
      <c r="BG2450" s="3">
        <v>8.1</v>
      </c>
      <c r="BH2450" s="3">
        <v>12.22</v>
      </c>
      <c r="BI2450" s="1" t="s">
        <v>852</v>
      </c>
    </row>
    <row r="2451" spans="1:61">
      <c r="A2451" s="6">
        <v>14</v>
      </c>
      <c r="B2451" s="103" t="s">
        <v>568</v>
      </c>
      <c r="C2451" s="1" t="s">
        <v>58</v>
      </c>
      <c r="D2451" s="2">
        <v>17.25</v>
      </c>
      <c r="E2451" s="2"/>
      <c r="F2451" s="8">
        <v>0</v>
      </c>
      <c r="G2451" s="8"/>
      <c r="H2451" s="8">
        <v>0</v>
      </c>
      <c r="I2451" s="8"/>
      <c r="M2451" s="3">
        <v>20</v>
      </c>
      <c r="O2451" s="3">
        <v>20</v>
      </c>
      <c r="Q2451" s="3"/>
      <c r="R2451" s="3">
        <v>18.190000000000001</v>
      </c>
      <c r="T2451" s="3">
        <f>R2451-O2451</f>
        <v>-1.8099999999999987</v>
      </c>
      <c r="U2451" s="3">
        <v>15.4</v>
      </c>
      <c r="W2451" s="3">
        <f>U2451-R2451</f>
        <v>-2.7900000000000009</v>
      </c>
      <c r="X2451" s="3">
        <v>23.7</v>
      </c>
      <c r="Z2451" s="3">
        <f>X2451-U2451</f>
        <v>8.2999999999999989</v>
      </c>
      <c r="AA2451" s="3">
        <v>15</v>
      </c>
      <c r="AC2451" s="3">
        <f>AA2451-X2451</f>
        <v>-8.6999999999999993</v>
      </c>
      <c r="AD2451" s="24">
        <v>11.02</v>
      </c>
      <c r="AF2451" s="24">
        <f>AD2451-AA2451</f>
        <v>-3.9800000000000004</v>
      </c>
      <c r="AG2451" s="3">
        <v>7.32</v>
      </c>
      <c r="AI2451" s="3">
        <f>AG2451-AD2451</f>
        <v>-3.6999999999999993</v>
      </c>
      <c r="AJ2451" s="3">
        <v>6.64</v>
      </c>
      <c r="AL2451" s="3">
        <f>AJ2451-AG2451</f>
        <v>-0.6800000000000006</v>
      </c>
      <c r="AM2451" s="3">
        <v>6.64</v>
      </c>
      <c r="AO2451" s="3">
        <f>AM2451-AJ2451</f>
        <v>0</v>
      </c>
      <c r="AP2451" s="3">
        <v>9.82</v>
      </c>
      <c r="AS2451" s="3">
        <v>11.09</v>
      </c>
      <c r="AV2451" s="3">
        <v>13.01</v>
      </c>
      <c r="AY2451" s="3">
        <v>13.01</v>
      </c>
      <c r="AZ2451" s="3">
        <v>11.51</v>
      </c>
      <c r="BA2451" s="1" t="s">
        <v>852</v>
      </c>
      <c r="BC2451" s="3">
        <v>11.51</v>
      </c>
      <c r="BD2451" s="3">
        <v>10.74</v>
      </c>
      <c r="BE2451" s="1" t="s">
        <v>852</v>
      </c>
      <c r="BG2451" s="3">
        <v>10.74</v>
      </c>
      <c r="BH2451" s="3">
        <v>16.420000000000002</v>
      </c>
      <c r="BI2451" s="1" t="s">
        <v>852</v>
      </c>
    </row>
    <row r="2452" spans="1:61">
      <c r="B2452" s="103" t="s">
        <v>568</v>
      </c>
      <c r="C2452" s="1" t="s">
        <v>908</v>
      </c>
      <c r="D2452" s="2"/>
      <c r="E2452" s="2"/>
      <c r="F2452" s="8"/>
      <c r="G2452" s="8"/>
      <c r="H2452" s="8"/>
      <c r="I2452" s="8"/>
      <c r="T2452" s="3"/>
      <c r="W2452" s="3"/>
      <c r="AF2452" s="24"/>
      <c r="AI2452" s="3"/>
      <c r="AL2452" s="3"/>
      <c r="AO2452" s="3"/>
      <c r="BH2452" s="3">
        <v>340</v>
      </c>
      <c r="BI2452" s="1" t="s">
        <v>852</v>
      </c>
    </row>
    <row r="2453" spans="1:61">
      <c r="B2453" s="103" t="s">
        <v>568</v>
      </c>
      <c r="C2453" s="1" t="s">
        <v>289</v>
      </c>
      <c r="D2453" s="2"/>
      <c r="E2453" s="2"/>
      <c r="F2453" s="8"/>
      <c r="G2453" s="8"/>
      <c r="H2453" s="8"/>
      <c r="I2453" s="8"/>
      <c r="T2453" s="3"/>
      <c r="W2453" s="3"/>
      <c r="AF2453" s="24"/>
      <c r="AG2453" s="3">
        <v>8.65</v>
      </c>
      <c r="AJ2453" s="3">
        <v>7.35</v>
      </c>
      <c r="AL2453" s="3">
        <f>AJ2453-AG2453</f>
        <v>-1.3000000000000007</v>
      </c>
      <c r="AM2453" s="3">
        <v>7.35</v>
      </c>
      <c r="AO2453" s="3">
        <f>AM2453-AJ2453</f>
        <v>0</v>
      </c>
      <c r="AP2453" s="3">
        <v>8.7200000000000006</v>
      </c>
      <c r="AS2453" s="3">
        <v>9.84</v>
      </c>
      <c r="AV2453" s="3">
        <v>13.08</v>
      </c>
      <c r="AY2453" s="3">
        <v>13.08</v>
      </c>
      <c r="AZ2453" s="3">
        <v>11.15</v>
      </c>
      <c r="BA2453" s="1" t="s">
        <v>852</v>
      </c>
      <c r="BC2453" s="3">
        <v>11.15</v>
      </c>
      <c r="BD2453" s="3">
        <v>12.1</v>
      </c>
      <c r="BE2453" s="1" t="s">
        <v>852</v>
      </c>
      <c r="BG2453" s="3">
        <v>12.1</v>
      </c>
      <c r="BH2453" s="3">
        <v>14.62</v>
      </c>
      <c r="BI2453" s="1" t="s">
        <v>852</v>
      </c>
    </row>
    <row r="2454" spans="1:61">
      <c r="B2454" s="103" t="s">
        <v>568</v>
      </c>
      <c r="C2454" s="1" t="s">
        <v>290</v>
      </c>
      <c r="D2454" s="2"/>
      <c r="E2454" s="2"/>
      <c r="F2454" s="8"/>
      <c r="G2454" s="8"/>
      <c r="H2454" s="8"/>
      <c r="I2454" s="8"/>
      <c r="T2454" s="3"/>
      <c r="W2454" s="3"/>
      <c r="AF2454" s="24"/>
      <c r="AL2454" s="3"/>
      <c r="AO2454" s="3"/>
      <c r="AV2454" s="3">
        <v>18.05</v>
      </c>
      <c r="AY2454" s="3">
        <v>18.05</v>
      </c>
      <c r="AZ2454" s="3">
        <v>13.38</v>
      </c>
      <c r="BA2454" s="1" t="s">
        <v>852</v>
      </c>
      <c r="BC2454" s="3">
        <v>13.38</v>
      </c>
      <c r="BD2454" s="3">
        <v>13.32</v>
      </c>
      <c r="BE2454" s="1" t="s">
        <v>852</v>
      </c>
      <c r="BG2454" s="3">
        <v>13.32</v>
      </c>
      <c r="BH2454" s="3">
        <v>19</v>
      </c>
      <c r="BI2454" s="1" t="s">
        <v>852</v>
      </c>
    </row>
    <row r="2455" spans="1:61">
      <c r="B2455" s="103" t="s">
        <v>568</v>
      </c>
      <c r="C2455" s="1" t="s">
        <v>64</v>
      </c>
      <c r="D2455" s="2"/>
      <c r="E2455" s="2"/>
      <c r="F2455" s="8"/>
      <c r="G2455" s="8"/>
      <c r="H2455" s="8"/>
      <c r="I2455" s="8"/>
      <c r="M2455" s="3">
        <v>19</v>
      </c>
      <c r="O2455" s="3">
        <v>19</v>
      </c>
      <c r="R2455" s="3">
        <v>19.2</v>
      </c>
      <c r="T2455" s="3">
        <f>R2455-O2455</f>
        <v>0.19999999999999929</v>
      </c>
      <c r="U2455" s="3">
        <v>16.399999999999999</v>
      </c>
      <c r="W2455" s="3">
        <f>U2455-R2455</f>
        <v>-2.8000000000000007</v>
      </c>
      <c r="X2455" s="3">
        <v>36.299999999999997</v>
      </c>
      <c r="Z2455" s="3">
        <f>X2455-U2455</f>
        <v>19.899999999999999</v>
      </c>
      <c r="AA2455" s="3">
        <v>19</v>
      </c>
      <c r="AC2455" s="3">
        <f>AA2455-X2455</f>
        <v>-17.299999999999997</v>
      </c>
      <c r="AD2455" s="24">
        <v>13.3</v>
      </c>
      <c r="AF2455" s="24">
        <f>AD2455-AA2455</f>
        <v>-5.6999999999999993</v>
      </c>
      <c r="AG2455" s="3">
        <v>8.0299999999999994</v>
      </c>
      <c r="AI2455" s="3">
        <f>AG2455-AD2455</f>
        <v>-5.2700000000000014</v>
      </c>
      <c r="AJ2455" s="3">
        <v>8.1999999999999993</v>
      </c>
      <c r="AL2455" s="3">
        <f>AJ2455-AG2455</f>
        <v>0.16999999999999993</v>
      </c>
      <c r="AM2455" s="3">
        <v>8.1999999999999993</v>
      </c>
      <c r="AO2455" s="3">
        <f>AM2455-AJ2455</f>
        <v>0</v>
      </c>
      <c r="AP2455" s="3">
        <v>13.05</v>
      </c>
      <c r="AS2455" s="3">
        <v>18.45</v>
      </c>
      <c r="AV2455" s="3">
        <v>17.22</v>
      </c>
      <c r="AY2455" s="3">
        <v>17.22</v>
      </c>
      <c r="AZ2455" s="3">
        <v>11.64</v>
      </c>
      <c r="BA2455" s="1" t="s">
        <v>852</v>
      </c>
      <c r="BC2455" s="3">
        <v>11.64</v>
      </c>
      <c r="BD2455" s="3">
        <v>10.58</v>
      </c>
      <c r="BE2455" s="1" t="s">
        <v>852</v>
      </c>
      <c r="BG2455" s="3">
        <v>10.58</v>
      </c>
      <c r="BH2455" s="3">
        <v>21.56</v>
      </c>
      <c r="BI2455" s="1" t="s">
        <v>852</v>
      </c>
    </row>
    <row r="2456" spans="1:61">
      <c r="B2456" s="103" t="s">
        <v>568</v>
      </c>
      <c r="C2456" s="1" t="s">
        <v>286</v>
      </c>
      <c r="D2456" s="2"/>
      <c r="E2456" s="2"/>
      <c r="F2456" s="8"/>
      <c r="G2456" s="8"/>
      <c r="H2456" s="8"/>
      <c r="I2456" s="8"/>
      <c r="M2456" s="3">
        <v>21</v>
      </c>
      <c r="O2456" s="3">
        <v>21</v>
      </c>
      <c r="R2456" s="3">
        <v>20.21</v>
      </c>
      <c r="T2456" s="3">
        <f>R2456-O2456</f>
        <v>-0.78999999999999915</v>
      </c>
      <c r="U2456" s="3">
        <v>16</v>
      </c>
      <c r="W2456" s="3">
        <f>U2456-R2456</f>
        <v>-4.2100000000000009</v>
      </c>
      <c r="X2456" s="3">
        <v>26.8</v>
      </c>
      <c r="Z2456" s="3">
        <f>X2456-U2456</f>
        <v>10.8</v>
      </c>
      <c r="AA2456" s="3">
        <v>22</v>
      </c>
      <c r="AC2456" s="3">
        <f>AA2456-X2456</f>
        <v>-4.8000000000000007</v>
      </c>
      <c r="AD2456" s="24">
        <v>14.92</v>
      </c>
      <c r="AF2456" s="24">
        <f>AD2456-AA2456</f>
        <v>-7.08</v>
      </c>
      <c r="AG2456" s="3">
        <v>10.7</v>
      </c>
      <c r="AI2456" s="3">
        <f>AG2456-AD2456</f>
        <v>-4.2200000000000006</v>
      </c>
      <c r="AJ2456" s="3">
        <v>8.17</v>
      </c>
      <c r="AL2456" s="3">
        <f>AJ2456-AG2456</f>
        <v>-2.5299999999999994</v>
      </c>
      <c r="AM2456" s="3">
        <v>8.17</v>
      </c>
      <c r="AO2456" s="3">
        <f>AM2456-AJ2456</f>
        <v>0</v>
      </c>
      <c r="AP2456" s="3">
        <v>7.37</v>
      </c>
      <c r="AS2456" s="3">
        <v>14.96</v>
      </c>
      <c r="AV2456" s="3">
        <v>13.65</v>
      </c>
      <c r="AY2456" s="3">
        <v>13.65</v>
      </c>
      <c r="AZ2456" s="3">
        <v>12.82</v>
      </c>
      <c r="BA2456" s="1" t="s">
        <v>852</v>
      </c>
      <c r="BC2456" s="3">
        <v>12.82</v>
      </c>
      <c r="BD2456" s="3">
        <v>12.78</v>
      </c>
      <c r="BE2456" s="1" t="s">
        <v>852</v>
      </c>
      <c r="BG2456" s="3">
        <v>12.78</v>
      </c>
      <c r="BH2456" s="3">
        <v>20.76</v>
      </c>
      <c r="BI2456" s="1" t="s">
        <v>852</v>
      </c>
    </row>
    <row r="2457" spans="1:61">
      <c r="B2457" s="103" t="s">
        <v>568</v>
      </c>
      <c r="C2457" s="1" t="s">
        <v>288</v>
      </c>
      <c r="D2457" s="2"/>
      <c r="E2457" s="2"/>
      <c r="F2457" s="8"/>
      <c r="G2457" s="8"/>
      <c r="H2457" s="8"/>
      <c r="I2457" s="8"/>
      <c r="M2457" s="3">
        <v>21</v>
      </c>
      <c r="O2457" s="3">
        <v>21</v>
      </c>
      <c r="R2457" s="3">
        <v>20.21</v>
      </c>
      <c r="T2457" s="3">
        <f>R2457-O2457</f>
        <v>-0.78999999999999915</v>
      </c>
      <c r="U2457" s="3">
        <v>15</v>
      </c>
      <c r="W2457" s="3">
        <f>U2457-R2457</f>
        <v>-5.2100000000000009</v>
      </c>
      <c r="X2457" s="3">
        <v>20.399999999999999</v>
      </c>
      <c r="Z2457" s="3">
        <f>X2457-U2457</f>
        <v>5.3999999999999986</v>
      </c>
      <c r="AA2457" s="3">
        <v>20</v>
      </c>
      <c r="AC2457" s="3">
        <f>AA2457-X2457</f>
        <v>-0.39999999999999858</v>
      </c>
      <c r="AD2457" s="24">
        <v>13.27</v>
      </c>
      <c r="AF2457" s="24">
        <f>AD2457-AA2457</f>
        <v>-6.73</v>
      </c>
      <c r="AG2457" s="3">
        <v>8.41</v>
      </c>
      <c r="AI2457" s="3">
        <f>AG2457-AD2457</f>
        <v>-4.8599999999999994</v>
      </c>
      <c r="AJ2457" s="3">
        <v>8.2200000000000006</v>
      </c>
      <c r="AL2457" s="3">
        <f>AJ2457-AG2457</f>
        <v>-0.1899999999999995</v>
      </c>
      <c r="AM2457" s="3">
        <v>8.2200000000000006</v>
      </c>
      <c r="AO2457" s="3">
        <f>AM2457-AJ2457</f>
        <v>0</v>
      </c>
      <c r="AP2457" s="3">
        <v>14.24</v>
      </c>
      <c r="AS2457" s="3">
        <v>20.37</v>
      </c>
      <c r="AV2457" s="3">
        <v>17.329999999999998</v>
      </c>
      <c r="AY2457" s="3">
        <v>17.329999999999998</v>
      </c>
      <c r="AZ2457" s="3">
        <v>11.23</v>
      </c>
      <c r="BA2457" s="1" t="s">
        <v>852</v>
      </c>
      <c r="BC2457" s="3">
        <v>11.23</v>
      </c>
      <c r="BD2457" s="3">
        <v>10.47</v>
      </c>
      <c r="BE2457" s="1" t="s">
        <v>852</v>
      </c>
      <c r="BG2457" s="3">
        <v>10.47</v>
      </c>
      <c r="BH2457" s="3">
        <v>17.38</v>
      </c>
      <c r="BI2457" s="1" t="s">
        <v>852</v>
      </c>
    </row>
    <row r="2458" spans="1:61">
      <c r="A2458" s="6">
        <v>11</v>
      </c>
      <c r="B2458" s="103" t="s">
        <v>568</v>
      </c>
      <c r="C2458" s="1" t="s">
        <v>57</v>
      </c>
      <c r="D2458" s="2" t="s">
        <v>646</v>
      </c>
      <c r="E2458" s="2"/>
      <c r="F2458" s="8">
        <v>0</v>
      </c>
      <c r="G2458" s="8"/>
      <c r="H2458" s="8">
        <v>0</v>
      </c>
      <c r="I2458" s="8"/>
    </row>
    <row r="2459" spans="1:61">
      <c r="B2459" s="103" t="s">
        <v>568</v>
      </c>
      <c r="C2459" s="1" t="s">
        <v>287</v>
      </c>
      <c r="D2459" s="2"/>
      <c r="E2459" s="2"/>
      <c r="F2459" s="8"/>
      <c r="G2459" s="8"/>
      <c r="H2459" s="8"/>
      <c r="I2459" s="8"/>
      <c r="M2459" s="3">
        <v>19</v>
      </c>
      <c r="O2459" s="3">
        <v>19</v>
      </c>
      <c r="R2459" s="3">
        <v>24.21</v>
      </c>
      <c r="T2459" s="3">
        <f>R2459-O2459</f>
        <v>5.2100000000000009</v>
      </c>
      <c r="U2459" s="3">
        <v>15</v>
      </c>
      <c r="W2459" s="3">
        <f>U2459-R2459</f>
        <v>-9.2100000000000009</v>
      </c>
      <c r="AA2459" s="3">
        <v>24</v>
      </c>
      <c r="AD2459" s="24">
        <v>13.71</v>
      </c>
      <c r="AF2459" s="24">
        <f>AD2459-AA2459</f>
        <v>-10.29</v>
      </c>
      <c r="AG2459" s="3">
        <v>9.73</v>
      </c>
      <c r="AI2459" s="3">
        <f>AG2459-AD2459</f>
        <v>-3.9800000000000004</v>
      </c>
      <c r="AJ2459" s="3">
        <v>8.59</v>
      </c>
      <c r="AL2459" s="3">
        <f>AJ2459-AG2459</f>
        <v>-1.1400000000000006</v>
      </c>
      <c r="AM2459" s="3">
        <v>8.59</v>
      </c>
      <c r="AO2459" s="3">
        <f>AM2459-AJ2459</f>
        <v>0</v>
      </c>
      <c r="AP2459" s="3">
        <v>13.83</v>
      </c>
      <c r="AS2459" s="3">
        <v>19.91</v>
      </c>
      <c r="AV2459" s="3">
        <v>18.53</v>
      </c>
      <c r="AY2459" s="3">
        <v>18.53</v>
      </c>
      <c r="AZ2459" s="3">
        <v>13.81</v>
      </c>
      <c r="BA2459" s="1" t="s">
        <v>852</v>
      </c>
      <c r="BC2459" s="3">
        <v>13.81</v>
      </c>
      <c r="BD2459" s="3">
        <v>14.07</v>
      </c>
      <c r="BE2459" s="1" t="s">
        <v>852</v>
      </c>
      <c r="BG2459" s="3">
        <v>14.07</v>
      </c>
      <c r="BH2459" s="3">
        <v>22.71</v>
      </c>
      <c r="BI2459" s="1" t="s">
        <v>852</v>
      </c>
    </row>
    <row r="2460" spans="1:61">
      <c r="A2460" s="6">
        <v>1</v>
      </c>
      <c r="B2460" s="103" t="s">
        <v>569</v>
      </c>
      <c r="C2460" s="1" t="s">
        <v>52</v>
      </c>
      <c r="D2460" s="2"/>
      <c r="E2460" s="2"/>
      <c r="F2460" s="8"/>
      <c r="G2460" s="8"/>
      <c r="H2460" s="8"/>
      <c r="I2460" s="8"/>
      <c r="T2460" s="3"/>
    </row>
    <row r="2461" spans="1:61">
      <c r="A2461" s="6">
        <v>3</v>
      </c>
      <c r="B2461" s="103" t="s">
        <v>569</v>
      </c>
      <c r="C2461" s="1" t="s">
        <v>54</v>
      </c>
      <c r="D2461" s="2"/>
      <c r="E2461" s="2"/>
      <c r="F2461" s="8"/>
      <c r="G2461" s="8"/>
      <c r="H2461" s="8"/>
      <c r="I2461" s="8"/>
      <c r="T2461" s="3"/>
    </row>
    <row r="2462" spans="1:61">
      <c r="A2462" s="6">
        <v>4</v>
      </c>
      <c r="B2462" s="103" t="s">
        <v>569</v>
      </c>
      <c r="C2462" s="1" t="s">
        <v>55</v>
      </c>
      <c r="D2462" s="2"/>
      <c r="E2462" s="2"/>
      <c r="F2462" s="8"/>
      <c r="G2462" s="8"/>
      <c r="H2462" s="8"/>
      <c r="I2462" s="8"/>
      <c r="T2462" s="3"/>
    </row>
    <row r="2463" spans="1:61">
      <c r="A2463" s="6">
        <v>5</v>
      </c>
      <c r="B2463" s="103" t="s">
        <v>569</v>
      </c>
      <c r="C2463" s="1" t="s">
        <v>56</v>
      </c>
      <c r="D2463" s="2"/>
      <c r="E2463" s="2"/>
      <c r="F2463" s="8"/>
      <c r="G2463" s="8"/>
      <c r="H2463" s="8"/>
      <c r="I2463" s="8"/>
      <c r="T2463" s="3"/>
    </row>
    <row r="2464" spans="1:61" ht="9.6" customHeight="1">
      <c r="A2464" s="6">
        <v>2</v>
      </c>
      <c r="B2464" s="103" t="s">
        <v>569</v>
      </c>
      <c r="C2464" s="1" t="s">
        <v>53</v>
      </c>
      <c r="D2464" s="2"/>
      <c r="E2464" s="2"/>
      <c r="F2464" s="8">
        <v>18</v>
      </c>
      <c r="G2464" s="8"/>
      <c r="H2464" s="8">
        <v>18</v>
      </c>
      <c r="I2464" s="8"/>
      <c r="M2464" s="3">
        <v>18</v>
      </c>
      <c r="O2464" s="3">
        <v>18</v>
      </c>
      <c r="R2464" s="3">
        <v>18</v>
      </c>
      <c r="T2464" s="3">
        <f>R2464-O2464</f>
        <v>0</v>
      </c>
    </row>
    <row r="2465" spans="1:61">
      <c r="A2465" s="6">
        <v>12</v>
      </c>
      <c r="B2465" s="103" t="s">
        <v>569</v>
      </c>
      <c r="C2465" s="1" t="s">
        <v>594</v>
      </c>
      <c r="D2465" s="2"/>
      <c r="E2465" s="2"/>
      <c r="F2465" s="8">
        <v>17</v>
      </c>
      <c r="G2465" s="8"/>
      <c r="H2465" s="8">
        <v>17</v>
      </c>
      <c r="I2465" s="8"/>
      <c r="M2465" s="3">
        <v>17</v>
      </c>
      <c r="O2465" s="3">
        <v>17</v>
      </c>
      <c r="R2465" s="3">
        <v>17</v>
      </c>
      <c r="T2465" s="3">
        <f>R2465-O2465</f>
        <v>0</v>
      </c>
      <c r="U2465" s="3">
        <v>11.1935</v>
      </c>
      <c r="W2465" s="3">
        <f>U2465-R2465</f>
        <v>-5.8064999999999998</v>
      </c>
      <c r="X2465" s="3">
        <v>11.1935</v>
      </c>
      <c r="Z2465" s="3">
        <f>X2465-U2465</f>
        <v>0</v>
      </c>
      <c r="AA2465" s="3">
        <v>23.85</v>
      </c>
      <c r="AC2465" s="3">
        <f>AA2465-X2465</f>
        <v>12.656500000000001</v>
      </c>
      <c r="AD2465" s="24">
        <v>21.3</v>
      </c>
      <c r="AG2465" s="3">
        <v>21.3</v>
      </c>
      <c r="AI2465" s="3">
        <f>AG2465-AD2465</f>
        <v>0</v>
      </c>
      <c r="AJ2465" s="3">
        <v>17.47</v>
      </c>
      <c r="AL2465" s="3">
        <f>AJ2465-AG2465</f>
        <v>-3.8300000000000018</v>
      </c>
      <c r="AM2465" s="3">
        <v>17.5</v>
      </c>
      <c r="AO2465" s="3">
        <f>AM2465-AJ2465</f>
        <v>3.0000000000001137E-2</v>
      </c>
      <c r="AS2465" s="3">
        <v>23.57</v>
      </c>
      <c r="AV2465" s="3">
        <v>21.948699999999999</v>
      </c>
      <c r="AZ2465" s="3">
        <v>23</v>
      </c>
      <c r="BA2465" s="1" t="s">
        <v>852</v>
      </c>
      <c r="BH2465" s="3">
        <v>18.05</v>
      </c>
      <c r="BI2465" s="1" t="s">
        <v>852</v>
      </c>
    </row>
    <row r="2466" spans="1:61">
      <c r="A2466" s="6">
        <v>14</v>
      </c>
      <c r="B2466" s="103" t="s">
        <v>569</v>
      </c>
      <c r="C2466" s="1" t="s">
        <v>58</v>
      </c>
      <c r="D2466" s="2"/>
      <c r="E2466" s="2"/>
      <c r="F2466" s="8">
        <v>24</v>
      </c>
      <c r="G2466" s="8"/>
      <c r="H2466" s="8">
        <v>24</v>
      </c>
      <c r="I2466" s="8"/>
      <c r="M2466" s="3">
        <v>24</v>
      </c>
      <c r="O2466" s="3">
        <v>24</v>
      </c>
      <c r="R2466" s="3">
        <v>24</v>
      </c>
      <c r="T2466" s="3">
        <f>R2466-O2466</f>
        <v>0</v>
      </c>
      <c r="U2466" s="3">
        <v>19.343900000000001</v>
      </c>
      <c r="W2466" s="3">
        <f>U2466-R2466</f>
        <v>-4.6560999999999986</v>
      </c>
      <c r="X2466" s="3">
        <v>19.343900000000001</v>
      </c>
      <c r="Z2466" s="3">
        <f>X2466-U2466</f>
        <v>0</v>
      </c>
      <c r="AA2466" s="3">
        <v>31.74</v>
      </c>
      <c r="AC2466" s="3">
        <f>AA2466-X2466</f>
        <v>12.396099999999997</v>
      </c>
      <c r="AD2466" s="24">
        <v>20.2</v>
      </c>
      <c r="AG2466" s="3">
        <v>20.2</v>
      </c>
      <c r="AI2466" s="3">
        <f>AG2466-AD2466</f>
        <v>0</v>
      </c>
      <c r="AJ2466" s="3">
        <v>18.8</v>
      </c>
      <c r="AL2466" s="3">
        <f>AJ2466-AG2466</f>
        <v>-1.3999999999999986</v>
      </c>
      <c r="AM2466" s="3">
        <v>16.05</v>
      </c>
      <c r="AO2466" s="3">
        <f>AM2466-AJ2466</f>
        <v>-2.75</v>
      </c>
      <c r="AP2466" s="3">
        <v>16.3</v>
      </c>
      <c r="AS2466" s="3">
        <v>16.760000000000002</v>
      </c>
      <c r="AV2466" s="3">
        <v>14.096</v>
      </c>
      <c r="AZ2466" s="3">
        <v>23</v>
      </c>
      <c r="BA2466" s="1" t="s">
        <v>852</v>
      </c>
      <c r="BD2466" s="3">
        <v>15</v>
      </c>
      <c r="BE2466" s="1" t="s">
        <v>852</v>
      </c>
      <c r="BG2466" s="3">
        <v>15</v>
      </c>
      <c r="BH2466" s="3">
        <v>21.98</v>
      </c>
      <c r="BI2466" s="1" t="s">
        <v>852</v>
      </c>
    </row>
    <row r="2467" spans="1:61" ht="9" customHeight="1">
      <c r="B2467" s="103" t="s">
        <v>569</v>
      </c>
      <c r="C2467" s="1" t="s">
        <v>857</v>
      </c>
      <c r="D2467" s="2"/>
      <c r="E2467" s="2"/>
      <c r="F2467" s="8"/>
      <c r="G2467" s="8"/>
      <c r="H2467" s="8"/>
      <c r="I2467" s="8"/>
      <c r="T2467" s="3"/>
      <c r="AC2467" s="3"/>
      <c r="AI2467" s="3"/>
      <c r="AL2467" s="3"/>
      <c r="AZ2467" s="3">
        <v>164.5</v>
      </c>
      <c r="BA2467" s="1" t="s">
        <v>852</v>
      </c>
      <c r="BD2467" s="3">
        <v>37.5</v>
      </c>
      <c r="BE2467" s="1" t="s">
        <v>852</v>
      </c>
      <c r="BG2467" s="3">
        <v>37.5</v>
      </c>
      <c r="BH2467" s="3">
        <v>28.27</v>
      </c>
      <c r="BI2467" s="1" t="s">
        <v>852</v>
      </c>
    </row>
    <row r="2468" spans="1:61">
      <c r="B2468" s="103" t="s">
        <v>569</v>
      </c>
      <c r="C2468" s="1" t="s">
        <v>289</v>
      </c>
      <c r="D2468" s="2"/>
      <c r="E2468" s="2"/>
      <c r="F2468" s="8"/>
      <c r="G2468" s="8"/>
      <c r="H2468" s="8"/>
      <c r="I2468" s="8"/>
      <c r="T2468" s="3"/>
      <c r="AC2468" s="3"/>
      <c r="AI2468" s="3"/>
      <c r="AJ2468" s="3">
        <v>108.17</v>
      </c>
      <c r="AV2468" s="3">
        <v>35.938600000000001</v>
      </c>
      <c r="BD2468" s="3">
        <v>40</v>
      </c>
      <c r="BE2468" s="1" t="s">
        <v>852</v>
      </c>
      <c r="BG2468" s="3">
        <v>40</v>
      </c>
      <c r="BH2468" s="3">
        <v>19.48</v>
      </c>
      <c r="BI2468" s="1" t="s">
        <v>852</v>
      </c>
    </row>
    <row r="2469" spans="1:61" ht="9" customHeight="1">
      <c r="B2469" s="103" t="s">
        <v>569</v>
      </c>
      <c r="C2469" s="1" t="s">
        <v>64</v>
      </c>
      <c r="D2469" s="2"/>
      <c r="E2469" s="2"/>
      <c r="F2469" s="8">
        <v>24</v>
      </c>
      <c r="G2469" s="8"/>
      <c r="H2469" s="8">
        <v>24</v>
      </c>
      <c r="I2469" s="8"/>
      <c r="M2469" s="3">
        <v>24</v>
      </c>
      <c r="O2469" s="3">
        <v>24</v>
      </c>
      <c r="R2469" s="3">
        <v>24</v>
      </c>
      <c r="T2469" s="3">
        <f>R2469-O2469</f>
        <v>0</v>
      </c>
      <c r="U2469" s="3">
        <v>24.7759</v>
      </c>
      <c r="W2469" s="3">
        <f>U2469-R2469</f>
        <v>0.77590000000000003</v>
      </c>
      <c r="X2469" s="3">
        <v>24.7759</v>
      </c>
      <c r="Z2469" s="3">
        <f>X2469-U2469</f>
        <v>0</v>
      </c>
      <c r="AA2469" s="3">
        <v>39.04</v>
      </c>
      <c r="AC2469" s="3">
        <f>AA2469-X2469</f>
        <v>14.264099999999999</v>
      </c>
      <c r="AD2469" s="24">
        <v>24</v>
      </c>
      <c r="AG2469" s="3">
        <v>24</v>
      </c>
      <c r="AI2469" s="3">
        <f>AG2469-AD2469</f>
        <v>0</v>
      </c>
      <c r="AJ2469" s="3">
        <v>23.31</v>
      </c>
      <c r="AL2469" s="3">
        <f>AJ2469-AG2469</f>
        <v>-0.69000000000000128</v>
      </c>
      <c r="AM2469" s="3">
        <v>22.21</v>
      </c>
      <c r="AO2469" s="3">
        <f>AM2469-AJ2469</f>
        <v>-1.0999999999999979</v>
      </c>
      <c r="AP2469" s="3">
        <v>18.28</v>
      </c>
      <c r="AS2469" s="3">
        <v>17.47</v>
      </c>
      <c r="AV2469" s="3">
        <v>15.281000000000001</v>
      </c>
      <c r="AZ2469" s="3">
        <v>23</v>
      </c>
      <c r="BA2469" s="1" t="s">
        <v>852</v>
      </c>
      <c r="BD2469" s="3">
        <v>23</v>
      </c>
      <c r="BE2469" s="1" t="s">
        <v>852</v>
      </c>
      <c r="BG2469" s="3">
        <v>23</v>
      </c>
      <c r="BH2469" s="3">
        <v>10.37</v>
      </c>
      <c r="BI2469" s="1" t="s">
        <v>852</v>
      </c>
    </row>
    <row r="2470" spans="1:61" ht="9" customHeight="1">
      <c r="B2470" s="103" t="s">
        <v>569</v>
      </c>
      <c r="C2470" s="1" t="s">
        <v>855</v>
      </c>
      <c r="D2470" s="2"/>
      <c r="E2470" s="2"/>
      <c r="F2470" s="8"/>
      <c r="G2470" s="8"/>
      <c r="H2470" s="8"/>
      <c r="I2470" s="8"/>
      <c r="T2470" s="3"/>
      <c r="W2470" s="3"/>
      <c r="AC2470" s="3"/>
      <c r="AI2470" s="3"/>
      <c r="AL2470" s="3"/>
      <c r="AO2470" s="3"/>
      <c r="BH2470" s="3">
        <v>15.69</v>
      </c>
      <c r="BI2470" s="1" t="s">
        <v>852</v>
      </c>
    </row>
    <row r="2471" spans="1:61">
      <c r="B2471" s="103" t="s">
        <v>569</v>
      </c>
      <c r="C2471" s="1" t="s">
        <v>286</v>
      </c>
      <c r="D2471" s="2"/>
      <c r="E2471" s="2"/>
      <c r="F2471" s="8"/>
      <c r="G2471" s="8"/>
      <c r="H2471" s="8"/>
      <c r="I2471" s="8"/>
      <c r="T2471" s="3"/>
      <c r="U2471" s="3">
        <v>24.7194</v>
      </c>
      <c r="X2471" s="3">
        <v>24.7194</v>
      </c>
      <c r="Z2471" s="3">
        <f>X2471-U2471</f>
        <v>0</v>
      </c>
      <c r="AA2471" s="3">
        <v>33.83</v>
      </c>
      <c r="AC2471" s="3">
        <f>AA2471-X2471</f>
        <v>9.110599999999998</v>
      </c>
      <c r="AD2471" s="24">
        <v>23</v>
      </c>
      <c r="AG2471" s="3">
        <v>23</v>
      </c>
      <c r="AI2471" s="3">
        <f>AG2471-AD2471</f>
        <v>0</v>
      </c>
      <c r="AJ2471" s="3">
        <v>22.69</v>
      </c>
      <c r="AL2471" s="3">
        <f>AJ2471-AG2471</f>
        <v>-0.30999999999999872</v>
      </c>
      <c r="AM2471" s="3">
        <v>18.600000000000001</v>
      </c>
      <c r="AO2471" s="3">
        <f>AM2471-AJ2471</f>
        <v>-4.09</v>
      </c>
      <c r="AP2471" s="3">
        <v>20.16</v>
      </c>
      <c r="AS2471" s="3">
        <v>16.850000000000001</v>
      </c>
      <c r="AV2471" s="3">
        <v>15.767300000000001</v>
      </c>
      <c r="AZ2471" s="3">
        <v>13</v>
      </c>
      <c r="BA2471" s="1" t="s">
        <v>852</v>
      </c>
      <c r="BD2471" s="3">
        <v>13</v>
      </c>
      <c r="BE2471" s="1" t="s">
        <v>852</v>
      </c>
      <c r="BG2471" s="3">
        <v>13</v>
      </c>
    </row>
    <row r="2472" spans="1:61">
      <c r="B2472" s="103" t="s">
        <v>569</v>
      </c>
      <c r="C2472" s="1" t="s">
        <v>288</v>
      </c>
      <c r="D2472" s="2"/>
      <c r="E2472" s="2"/>
      <c r="F2472" s="8">
        <v>36</v>
      </c>
      <c r="G2472" s="8"/>
      <c r="H2472" s="8">
        <v>36</v>
      </c>
      <c r="I2472" s="8"/>
      <c r="M2472" s="3">
        <v>36</v>
      </c>
      <c r="O2472" s="3">
        <v>36</v>
      </c>
      <c r="R2472" s="3">
        <v>36</v>
      </c>
      <c r="T2472" s="3">
        <f>R2472-O2472</f>
        <v>0</v>
      </c>
      <c r="U2472" s="3">
        <v>24.2699</v>
      </c>
      <c r="W2472" s="3">
        <f>U2472-R2472</f>
        <v>-11.7301</v>
      </c>
      <c r="X2472" s="3">
        <v>24.2699</v>
      </c>
      <c r="Z2472" s="3">
        <f>X2472-U2472</f>
        <v>0</v>
      </c>
      <c r="AA2472" s="3">
        <v>41.47</v>
      </c>
      <c r="AC2472" s="3">
        <f>AA2472-X2472</f>
        <v>17.200099999999999</v>
      </c>
      <c r="AD2472" s="24">
        <v>28.3</v>
      </c>
      <c r="AG2472" s="3">
        <v>28.3</v>
      </c>
      <c r="AI2472" s="3">
        <f>AG2472-AD2472</f>
        <v>0</v>
      </c>
      <c r="AJ2472" s="3">
        <v>23.54</v>
      </c>
      <c r="AL2472" s="3">
        <f>AJ2472-AG2472</f>
        <v>-4.7600000000000016</v>
      </c>
      <c r="AM2472" s="3">
        <v>23.54</v>
      </c>
      <c r="AO2472" s="3">
        <f>AM2472-AJ2472</f>
        <v>0</v>
      </c>
      <c r="AP2472" s="3">
        <v>19.420000000000002</v>
      </c>
      <c r="AS2472" s="3">
        <v>19.190000000000001</v>
      </c>
      <c r="AV2472" s="3">
        <v>16.3598</v>
      </c>
      <c r="AZ2472" s="3">
        <v>23</v>
      </c>
      <c r="BA2472" s="1" t="s">
        <v>852</v>
      </c>
      <c r="BD2472" s="3">
        <v>23</v>
      </c>
      <c r="BE2472" s="1" t="s">
        <v>852</v>
      </c>
      <c r="BG2472" s="3">
        <v>23</v>
      </c>
      <c r="BH2472" s="3">
        <v>14.83</v>
      </c>
      <c r="BI2472" s="1" t="s">
        <v>852</v>
      </c>
    </row>
    <row r="2473" spans="1:61">
      <c r="A2473" s="6">
        <v>11</v>
      </c>
      <c r="B2473" s="103" t="s">
        <v>569</v>
      </c>
      <c r="C2473" s="1" t="s">
        <v>57</v>
      </c>
      <c r="D2473" s="2"/>
      <c r="E2473" s="2"/>
      <c r="F2473" s="8"/>
      <c r="G2473" s="8"/>
      <c r="H2473" s="8"/>
      <c r="I2473" s="8"/>
      <c r="T2473" s="3"/>
      <c r="U2473" s="3">
        <v>15.833600000000001</v>
      </c>
      <c r="X2473" s="3">
        <v>15.833600000000001</v>
      </c>
      <c r="Z2473" s="3">
        <f>X2473-U2473</f>
        <v>0</v>
      </c>
      <c r="AA2473" s="3">
        <v>21.74</v>
      </c>
      <c r="AC2473" s="3">
        <f>AA2473-X2473</f>
        <v>5.9063999999999979</v>
      </c>
    </row>
    <row r="2474" spans="1:61" ht="9.6" customHeight="1">
      <c r="B2474" s="103" t="s">
        <v>569</v>
      </c>
      <c r="C2474" s="1" t="s">
        <v>287</v>
      </c>
      <c r="D2474" s="2"/>
      <c r="E2474" s="2"/>
      <c r="F2474" s="8"/>
      <c r="G2474" s="8"/>
      <c r="H2474" s="8"/>
      <c r="I2474" s="8"/>
      <c r="T2474" s="3"/>
      <c r="U2474" s="3">
        <v>22.472200000000001</v>
      </c>
      <c r="X2474" s="3">
        <v>22.472200000000001</v>
      </c>
      <c r="Z2474" s="3">
        <f>X2474-U2474</f>
        <v>0</v>
      </c>
      <c r="AA2474" s="3">
        <v>21.74</v>
      </c>
      <c r="AC2474" s="3">
        <f>AA2474-X2474</f>
        <v>-0.7322000000000024</v>
      </c>
      <c r="AD2474" s="24">
        <v>30</v>
      </c>
      <c r="AG2474" s="3">
        <v>30</v>
      </c>
      <c r="AI2474" s="3">
        <f>AG2474-AD2474</f>
        <v>0</v>
      </c>
      <c r="AJ2474" s="3">
        <v>20.5</v>
      </c>
      <c r="AL2474" s="3">
        <f>AJ2474-AG2474</f>
        <v>-9.5</v>
      </c>
      <c r="BD2474" s="3">
        <v>17</v>
      </c>
      <c r="BE2474" s="1" t="s">
        <v>852</v>
      </c>
      <c r="BG2474" s="3">
        <v>17</v>
      </c>
      <c r="BH2474" s="3">
        <v>10.89</v>
      </c>
      <c r="BI2474" s="1" t="s">
        <v>852</v>
      </c>
    </row>
    <row r="2475" spans="1:61">
      <c r="A2475" s="6">
        <v>1</v>
      </c>
      <c r="B2475" s="103" t="s">
        <v>645</v>
      </c>
      <c r="C2475" s="1" t="s">
        <v>52</v>
      </c>
      <c r="D2475" s="2">
        <v>6</v>
      </c>
      <c r="E2475" s="2"/>
      <c r="F2475" s="8">
        <v>6</v>
      </c>
      <c r="G2475" s="8"/>
      <c r="H2475" s="8">
        <v>6</v>
      </c>
      <c r="I2475" s="8">
        <f>H2475-D2475</f>
        <v>0</v>
      </c>
      <c r="M2475" s="3">
        <v>5</v>
      </c>
      <c r="O2475" s="3">
        <v>5</v>
      </c>
      <c r="Q2475" s="3">
        <f>O2475-H2475</f>
        <v>-1</v>
      </c>
    </row>
    <row r="2476" spans="1:61">
      <c r="A2476" s="6">
        <v>3</v>
      </c>
      <c r="B2476" s="103" t="s">
        <v>645</v>
      </c>
      <c r="C2476" s="1" t="s">
        <v>54</v>
      </c>
      <c r="D2476" s="2"/>
      <c r="E2476" s="2"/>
      <c r="F2476" s="8"/>
      <c r="G2476" s="8"/>
      <c r="H2476" s="8"/>
      <c r="I2476" s="8"/>
      <c r="P2476" s="1" t="s">
        <v>672</v>
      </c>
    </row>
    <row r="2477" spans="1:61">
      <c r="A2477" s="6">
        <v>4</v>
      </c>
      <c r="B2477" s="103" t="s">
        <v>645</v>
      </c>
      <c r="C2477" s="1" t="s">
        <v>55</v>
      </c>
      <c r="D2477" s="2"/>
      <c r="E2477" s="2"/>
      <c r="F2477" s="8"/>
      <c r="G2477" s="8"/>
      <c r="H2477" s="8"/>
      <c r="I2477" s="8"/>
      <c r="P2477" s="1" t="s">
        <v>672</v>
      </c>
    </row>
    <row r="2478" spans="1:61">
      <c r="A2478" s="6">
        <v>5</v>
      </c>
      <c r="B2478" s="103" t="s">
        <v>645</v>
      </c>
      <c r="C2478" s="1" t="s">
        <v>56</v>
      </c>
      <c r="D2478" s="2"/>
      <c r="E2478" s="2"/>
      <c r="F2478" s="8"/>
      <c r="G2478" s="8"/>
      <c r="H2478" s="8"/>
      <c r="I2478" s="8"/>
      <c r="P2478" s="1" t="s">
        <v>672</v>
      </c>
    </row>
    <row r="2479" spans="1:61">
      <c r="A2479" s="6">
        <v>2</v>
      </c>
      <c r="B2479" s="103" t="s">
        <v>645</v>
      </c>
      <c r="C2479" s="1" t="s">
        <v>53</v>
      </c>
      <c r="D2479" s="2">
        <v>10.5</v>
      </c>
      <c r="E2479" s="2"/>
      <c r="F2479" s="8">
        <v>13</v>
      </c>
      <c r="G2479" s="8"/>
      <c r="H2479" s="8">
        <v>13</v>
      </c>
      <c r="I2479" s="10">
        <f>H2479-D2479</f>
        <v>2.5</v>
      </c>
      <c r="M2479" s="3">
        <v>13</v>
      </c>
      <c r="O2479" s="3">
        <v>13</v>
      </c>
      <c r="Q2479" s="3">
        <f>O2479-H2479</f>
        <v>0</v>
      </c>
      <c r="R2479" s="3">
        <v>23</v>
      </c>
      <c r="T2479" s="3">
        <f>R2479-O2479</f>
        <v>10</v>
      </c>
    </row>
    <row r="2480" spans="1:61">
      <c r="B2480" s="103" t="s">
        <v>645</v>
      </c>
      <c r="C2480" s="1" t="s">
        <v>597</v>
      </c>
      <c r="D2480" s="2"/>
      <c r="E2480" s="2"/>
      <c r="F2480" s="8"/>
      <c r="G2480" s="8"/>
      <c r="H2480" s="8"/>
      <c r="I2480" s="8"/>
      <c r="U2480" s="3">
        <v>18</v>
      </c>
      <c r="X2480" s="3">
        <v>22</v>
      </c>
      <c r="Z2480" s="3">
        <f>X2480-U2480</f>
        <v>4</v>
      </c>
      <c r="AA2480" s="3">
        <v>32</v>
      </c>
      <c r="AC2480" s="3">
        <f>AA2480-X2480</f>
        <v>10</v>
      </c>
      <c r="AD2480" s="24">
        <v>23</v>
      </c>
      <c r="AJ2480" s="3">
        <v>21.5</v>
      </c>
    </row>
    <row r="2481" spans="1:60">
      <c r="B2481" s="103" t="s">
        <v>645</v>
      </c>
      <c r="C2481" s="1" t="s">
        <v>600</v>
      </c>
      <c r="D2481" s="2"/>
      <c r="E2481" s="2"/>
      <c r="F2481" s="8"/>
      <c r="G2481" s="8"/>
      <c r="H2481" s="8"/>
      <c r="I2481" s="8"/>
      <c r="U2481" s="3">
        <v>23</v>
      </c>
      <c r="AD2481" s="24">
        <v>16.5</v>
      </c>
      <c r="AJ2481" s="3">
        <v>29.6</v>
      </c>
    </row>
    <row r="2482" spans="1:60">
      <c r="B2482" s="103" t="s">
        <v>645</v>
      </c>
      <c r="C2482" s="1" t="s">
        <v>595</v>
      </c>
      <c r="D2482" s="2"/>
      <c r="E2482" s="2"/>
      <c r="F2482" s="8"/>
      <c r="G2482" s="8"/>
      <c r="H2482" s="8"/>
      <c r="I2482" s="8"/>
      <c r="R2482" s="3">
        <v>12</v>
      </c>
      <c r="T2482" s="3"/>
      <c r="U2482" s="3">
        <v>3.6</v>
      </c>
      <c r="W2482" s="3">
        <f>U2482-R2482</f>
        <v>-8.4</v>
      </c>
      <c r="X2482" s="3">
        <v>5.25</v>
      </c>
      <c r="Z2482" s="3">
        <f>X2482-U2482</f>
        <v>1.65</v>
      </c>
      <c r="AA2482" s="3">
        <v>19</v>
      </c>
      <c r="AC2482" s="3">
        <f>AA2482-X2482</f>
        <v>13.75</v>
      </c>
      <c r="AD2482" s="24">
        <v>16</v>
      </c>
      <c r="AG2482" s="3">
        <v>8</v>
      </c>
      <c r="AI2482" s="3">
        <f>AG2482-AD2482</f>
        <v>-8</v>
      </c>
      <c r="AJ2482" s="3">
        <v>6</v>
      </c>
      <c r="AL2482" s="3">
        <f>AJ2482-AG2482</f>
        <v>-2</v>
      </c>
      <c r="AM2482" s="3">
        <v>3.75</v>
      </c>
      <c r="AO2482" s="3">
        <f>AM2482-AJ2482</f>
        <v>-2.25</v>
      </c>
      <c r="AP2482" s="3">
        <v>3.8</v>
      </c>
      <c r="AS2482" s="3">
        <v>3.5</v>
      </c>
    </row>
    <row r="2483" spans="1:60">
      <c r="B2483" s="103" t="s">
        <v>645</v>
      </c>
      <c r="C2483" s="1" t="s">
        <v>700</v>
      </c>
      <c r="D2483" s="2"/>
      <c r="E2483" s="2"/>
      <c r="F2483" s="8"/>
      <c r="G2483" s="8"/>
      <c r="H2483" s="8"/>
      <c r="I2483" s="8"/>
      <c r="T2483" s="3"/>
      <c r="W2483" s="3"/>
      <c r="AC2483" s="3"/>
      <c r="AI2483" s="3"/>
      <c r="AL2483" s="3"/>
      <c r="AO2483" s="3"/>
      <c r="AP2483" s="3">
        <v>3.8</v>
      </c>
      <c r="AS2483" s="3">
        <v>4.5999999999999996</v>
      </c>
    </row>
    <row r="2484" spans="1:60">
      <c r="B2484" s="103" t="s">
        <v>645</v>
      </c>
      <c r="C2484" s="1" t="s">
        <v>596</v>
      </c>
      <c r="D2484" s="2"/>
      <c r="E2484" s="2"/>
      <c r="F2484" s="8"/>
      <c r="G2484" s="8"/>
      <c r="H2484" s="8"/>
      <c r="I2484" s="8"/>
      <c r="R2484" s="3">
        <v>11</v>
      </c>
      <c r="AD2484" s="24">
        <v>6.7</v>
      </c>
      <c r="AJ2484" s="3">
        <v>8.6999999999999993</v>
      </c>
    </row>
    <row r="2485" spans="1:60">
      <c r="A2485" s="6">
        <v>12</v>
      </c>
      <c r="B2485" s="103" t="s">
        <v>645</v>
      </c>
      <c r="C2485" s="1" t="s">
        <v>594</v>
      </c>
      <c r="D2485" s="2">
        <v>5</v>
      </c>
      <c r="E2485" s="2"/>
      <c r="F2485" s="8">
        <v>5</v>
      </c>
      <c r="G2485" s="8"/>
      <c r="H2485" s="8">
        <v>5</v>
      </c>
      <c r="I2485" s="8">
        <f>H2485-D2485</f>
        <v>0</v>
      </c>
      <c r="M2485" s="3">
        <v>6</v>
      </c>
      <c r="O2485" s="3">
        <v>6</v>
      </c>
      <c r="Q2485" s="3">
        <f>O2485-H2485</f>
        <v>1</v>
      </c>
      <c r="R2485" s="3">
        <v>11</v>
      </c>
      <c r="T2485" s="3">
        <f>R2485-O2485</f>
        <v>5</v>
      </c>
      <c r="U2485" s="3">
        <v>6.65</v>
      </c>
      <c r="W2485" s="3">
        <f>U2485-R2485</f>
        <v>-4.3499999999999996</v>
      </c>
      <c r="X2485" s="3">
        <v>12</v>
      </c>
      <c r="Z2485" s="3">
        <f>X2485-U2485</f>
        <v>5.35</v>
      </c>
      <c r="AA2485" s="3">
        <v>23</v>
      </c>
      <c r="AC2485" s="3">
        <f>AA2485-X2485</f>
        <v>11</v>
      </c>
      <c r="AD2485" s="24">
        <v>25</v>
      </c>
      <c r="AG2485" s="3">
        <v>10</v>
      </c>
      <c r="AI2485" s="3">
        <f>AG2485-AD2485</f>
        <v>-15</v>
      </c>
      <c r="AJ2485" s="3">
        <v>8.5</v>
      </c>
      <c r="AL2485" s="3">
        <f>AJ2485-AG2485</f>
        <v>-1.5</v>
      </c>
      <c r="AM2485" s="3">
        <v>8</v>
      </c>
      <c r="AO2485" s="3">
        <f>AM2485-AJ2485</f>
        <v>-0.5</v>
      </c>
      <c r="AP2485" s="3">
        <v>6.2</v>
      </c>
      <c r="AS2485" s="3">
        <v>11</v>
      </c>
      <c r="AV2485" s="3">
        <v>6</v>
      </c>
      <c r="AZ2485" s="3">
        <v>6.5</v>
      </c>
      <c r="BC2485" s="3">
        <v>6.5</v>
      </c>
      <c r="BD2485" s="3">
        <v>8</v>
      </c>
      <c r="BG2485" s="3">
        <v>8</v>
      </c>
      <c r="BH2485" s="3">
        <v>12</v>
      </c>
    </row>
    <row r="2486" spans="1:60">
      <c r="A2486" s="6">
        <v>14</v>
      </c>
      <c r="B2486" s="103" t="s">
        <v>645</v>
      </c>
      <c r="C2486" s="1" t="s">
        <v>58</v>
      </c>
      <c r="D2486" s="2">
        <v>13</v>
      </c>
      <c r="E2486" s="2"/>
      <c r="F2486" s="8">
        <v>14</v>
      </c>
      <c r="G2486" s="8"/>
      <c r="H2486" s="8">
        <v>14</v>
      </c>
      <c r="I2486" s="8">
        <f>H2486-D2486</f>
        <v>1</v>
      </c>
      <c r="R2486" s="3">
        <v>18</v>
      </c>
      <c r="T2486" s="3"/>
      <c r="U2486" s="3">
        <v>8</v>
      </c>
      <c r="W2486" s="3">
        <f>U2486-R2486</f>
        <v>-10</v>
      </c>
      <c r="X2486" s="3">
        <v>15</v>
      </c>
      <c r="Z2486" s="3">
        <f>X2486-U2486</f>
        <v>7</v>
      </c>
      <c r="AA2486" s="3">
        <v>23</v>
      </c>
      <c r="AC2486" s="3">
        <f>AA2486-X2486</f>
        <v>8</v>
      </c>
      <c r="AD2486" s="24">
        <v>25</v>
      </c>
      <c r="AG2486" s="3">
        <v>10</v>
      </c>
      <c r="AI2486" s="3">
        <f>AG2486-AD2486</f>
        <v>-15</v>
      </c>
      <c r="AJ2486" s="3">
        <v>9</v>
      </c>
      <c r="AL2486" s="3">
        <f>AJ2486-AG2486</f>
        <v>-1</v>
      </c>
      <c r="AM2486" s="3">
        <v>8</v>
      </c>
      <c r="AO2486" s="3">
        <f>AM2486-AJ2486</f>
        <v>-1</v>
      </c>
      <c r="AP2486" s="3">
        <v>8</v>
      </c>
      <c r="AS2486" s="3">
        <v>8.5</v>
      </c>
      <c r="AV2486" s="3">
        <v>8</v>
      </c>
      <c r="AZ2486" s="3">
        <v>5</v>
      </c>
      <c r="BC2486" s="3">
        <v>5</v>
      </c>
      <c r="BD2486" s="3">
        <v>12</v>
      </c>
      <c r="BG2486" s="3">
        <v>12</v>
      </c>
      <c r="BH2486" s="3">
        <v>12</v>
      </c>
    </row>
    <row r="2487" spans="1:60">
      <c r="B2487" s="103" t="s">
        <v>645</v>
      </c>
      <c r="C2487" s="1" t="s">
        <v>289</v>
      </c>
      <c r="D2487" s="2"/>
      <c r="E2487" s="2"/>
      <c r="F2487" s="8"/>
      <c r="G2487" s="8"/>
      <c r="H2487" s="8"/>
      <c r="I2487" s="8"/>
      <c r="AV2487" s="3">
        <v>18</v>
      </c>
      <c r="AZ2487" s="3">
        <v>12.5</v>
      </c>
      <c r="BC2487" s="3">
        <v>12.5</v>
      </c>
      <c r="BD2487" s="3">
        <v>8</v>
      </c>
      <c r="BG2487" s="3">
        <v>8</v>
      </c>
      <c r="BH2487" s="3">
        <v>21.68</v>
      </c>
    </row>
    <row r="2488" spans="1:60">
      <c r="B2488" s="103" t="s">
        <v>645</v>
      </c>
      <c r="C2488" s="1" t="s">
        <v>290</v>
      </c>
      <c r="D2488" s="2"/>
      <c r="E2488" s="2"/>
      <c r="F2488" s="8"/>
      <c r="G2488" s="8"/>
      <c r="H2488" s="8"/>
      <c r="I2488" s="8"/>
      <c r="AS2488" s="3">
        <v>3</v>
      </c>
      <c r="AZ2488" s="3">
        <v>7.8</v>
      </c>
      <c r="BC2488" s="3">
        <v>7.8</v>
      </c>
      <c r="BD2488" s="3">
        <v>9</v>
      </c>
      <c r="BG2488" s="3">
        <v>9</v>
      </c>
      <c r="BH2488" s="3">
        <v>15</v>
      </c>
    </row>
    <row r="2489" spans="1:60">
      <c r="B2489" s="103" t="s">
        <v>645</v>
      </c>
      <c r="C2489" s="1" t="s">
        <v>995</v>
      </c>
      <c r="D2489" s="2"/>
      <c r="E2489" s="2"/>
      <c r="F2489" s="8"/>
      <c r="G2489" s="8"/>
      <c r="H2489" s="8"/>
      <c r="I2489" s="8"/>
      <c r="BD2489" s="3">
        <v>6</v>
      </c>
    </row>
    <row r="2490" spans="1:60">
      <c r="B2490" s="103" t="s">
        <v>645</v>
      </c>
      <c r="C2490" s="1" t="s">
        <v>64</v>
      </c>
      <c r="D2490" s="2"/>
      <c r="E2490" s="2"/>
      <c r="F2490" s="8"/>
      <c r="G2490" s="8"/>
      <c r="H2490" s="8"/>
      <c r="I2490" s="8"/>
      <c r="X2490" s="3">
        <v>20</v>
      </c>
      <c r="AA2490" s="3">
        <v>23</v>
      </c>
      <c r="AC2490" s="3">
        <f>AA2490-X2490</f>
        <v>3</v>
      </c>
      <c r="AD2490" s="24">
        <v>28.5</v>
      </c>
      <c r="AJ2490" s="3">
        <v>12</v>
      </c>
      <c r="AM2490" s="3">
        <v>11</v>
      </c>
      <c r="AO2490" s="3">
        <f>AM2490-AJ2490</f>
        <v>-1</v>
      </c>
      <c r="AP2490" s="3">
        <v>9</v>
      </c>
      <c r="AS2490" s="3">
        <v>12</v>
      </c>
      <c r="AV2490" s="3">
        <v>10</v>
      </c>
      <c r="AZ2490" s="3">
        <v>6.7</v>
      </c>
      <c r="BC2490" s="3">
        <v>6.7</v>
      </c>
      <c r="BD2490" s="3">
        <v>9</v>
      </c>
      <c r="BG2490" s="3">
        <v>9</v>
      </c>
      <c r="BH2490" s="3">
        <v>14.02</v>
      </c>
    </row>
    <row r="2491" spans="1:60">
      <c r="B2491" s="103" t="s">
        <v>645</v>
      </c>
      <c r="C2491" s="1" t="s">
        <v>286</v>
      </c>
      <c r="D2491" s="2"/>
      <c r="E2491" s="2"/>
      <c r="F2491" s="8"/>
      <c r="G2491" s="8"/>
      <c r="H2491" s="8"/>
      <c r="I2491" s="8"/>
      <c r="AS2491" s="3">
        <v>12</v>
      </c>
      <c r="AV2491" s="3">
        <v>8</v>
      </c>
    </row>
    <row r="2492" spans="1:60">
      <c r="B2492" s="103" t="s">
        <v>645</v>
      </c>
      <c r="C2492" s="1" t="s">
        <v>288</v>
      </c>
      <c r="D2492" s="2"/>
      <c r="E2492" s="2"/>
      <c r="F2492" s="8"/>
      <c r="G2492" s="8"/>
      <c r="H2492" s="8"/>
      <c r="I2492" s="8"/>
      <c r="X2492" s="3">
        <v>25</v>
      </c>
      <c r="AA2492" s="3">
        <v>35</v>
      </c>
      <c r="AC2492" s="3">
        <f>AA2492-X2492</f>
        <v>10</v>
      </c>
      <c r="AD2492" s="24">
        <v>43</v>
      </c>
      <c r="AG2492" s="3">
        <v>14</v>
      </c>
      <c r="AI2492" s="3">
        <f>AG2492-AD2492</f>
        <v>-29</v>
      </c>
      <c r="AJ2492" s="3">
        <v>5.5</v>
      </c>
      <c r="AL2492" s="3">
        <f>AJ2492-AG2492</f>
        <v>-8.5</v>
      </c>
      <c r="AM2492" s="3">
        <v>12</v>
      </c>
      <c r="AO2492" s="3">
        <f>AM2492-AJ2492</f>
        <v>6.5</v>
      </c>
      <c r="AP2492" s="3">
        <v>7</v>
      </c>
      <c r="AS2492" s="3">
        <v>12</v>
      </c>
      <c r="AV2492" s="3">
        <v>8</v>
      </c>
      <c r="AZ2492" s="3">
        <v>6.5</v>
      </c>
      <c r="BC2492" s="3">
        <v>6.5</v>
      </c>
      <c r="BD2492" s="3">
        <v>7.5</v>
      </c>
      <c r="BG2492" s="3">
        <v>7.5</v>
      </c>
      <c r="BH2492" s="3">
        <v>10.38</v>
      </c>
    </row>
    <row r="2493" spans="1:60">
      <c r="B2493" s="103" t="s">
        <v>645</v>
      </c>
      <c r="C2493" s="1" t="s">
        <v>873</v>
      </c>
      <c r="D2493" s="2"/>
      <c r="E2493" s="2"/>
      <c r="F2493" s="8"/>
      <c r="G2493" s="8"/>
      <c r="H2493" s="8"/>
      <c r="I2493" s="8"/>
      <c r="BD2493" s="3">
        <v>5</v>
      </c>
    </row>
    <row r="2494" spans="1:60">
      <c r="B2494" s="103" t="s">
        <v>645</v>
      </c>
      <c r="C2494" s="1" t="s">
        <v>877</v>
      </c>
      <c r="D2494" s="2"/>
      <c r="E2494" s="2"/>
      <c r="F2494" s="8"/>
      <c r="G2494" s="8"/>
      <c r="H2494" s="8"/>
      <c r="I2494" s="8"/>
      <c r="BH2494" s="3">
        <v>18.059999999999999</v>
      </c>
    </row>
    <row r="2495" spans="1:60">
      <c r="B2495" s="103" t="s">
        <v>645</v>
      </c>
      <c r="C2495" s="1" t="s">
        <v>994</v>
      </c>
      <c r="D2495" s="2"/>
      <c r="E2495" s="2"/>
      <c r="F2495" s="8"/>
      <c r="G2495" s="8"/>
      <c r="H2495" s="8"/>
      <c r="I2495" s="8"/>
      <c r="BD2495" s="3">
        <v>8</v>
      </c>
    </row>
    <row r="2496" spans="1:60">
      <c r="B2496" s="103" t="s">
        <v>645</v>
      </c>
      <c r="C2496" s="1" t="s">
        <v>875</v>
      </c>
      <c r="D2496" s="2"/>
      <c r="E2496" s="2"/>
      <c r="F2496" s="8"/>
      <c r="G2496" s="8"/>
      <c r="H2496" s="8"/>
      <c r="I2496" s="8"/>
      <c r="BD2496" s="3">
        <v>5</v>
      </c>
      <c r="BG2496" s="3">
        <v>5</v>
      </c>
      <c r="BH2496" s="3">
        <v>19.16</v>
      </c>
    </row>
    <row r="2497" spans="1:61">
      <c r="A2497" s="6">
        <v>11</v>
      </c>
      <c r="B2497" s="103" t="s">
        <v>645</v>
      </c>
      <c r="C2497" s="1" t="s">
        <v>57</v>
      </c>
      <c r="D2497" s="2"/>
      <c r="E2497" s="2"/>
      <c r="F2497" s="8"/>
      <c r="G2497" s="8"/>
      <c r="H2497" s="8"/>
      <c r="I2497" s="8"/>
      <c r="P2497" s="1" t="s">
        <v>672</v>
      </c>
    </row>
    <row r="2498" spans="1:61">
      <c r="B2498" s="103" t="s">
        <v>645</v>
      </c>
      <c r="C2498" s="1" t="s">
        <v>287</v>
      </c>
      <c r="D2498" s="2"/>
      <c r="E2498" s="2"/>
      <c r="F2498" s="8"/>
      <c r="G2498" s="8"/>
      <c r="H2498" s="8"/>
      <c r="I2498" s="8"/>
      <c r="AS2498" s="3">
        <v>12.4</v>
      </c>
      <c r="AZ2498" s="3">
        <v>6.01</v>
      </c>
      <c r="BC2498" s="3">
        <v>6</v>
      </c>
      <c r="BD2498" s="3">
        <v>8</v>
      </c>
      <c r="BG2498" s="3">
        <v>8</v>
      </c>
      <c r="BH2498" s="3">
        <v>15.39</v>
      </c>
    </row>
    <row r="2499" spans="1:61">
      <c r="A2499" s="6">
        <v>1</v>
      </c>
      <c r="B2499" s="103" t="s">
        <v>504</v>
      </c>
      <c r="C2499" s="1" t="s">
        <v>52</v>
      </c>
      <c r="D2499" s="2"/>
      <c r="E2499" s="2"/>
      <c r="F2499" s="8">
        <v>0</v>
      </c>
      <c r="G2499" s="8"/>
      <c r="H2499" s="8">
        <v>0</v>
      </c>
      <c r="I2499" s="8"/>
    </row>
    <row r="2500" spans="1:61">
      <c r="A2500" s="6">
        <v>3</v>
      </c>
      <c r="B2500" s="103" t="s">
        <v>504</v>
      </c>
      <c r="C2500" s="1" t="s">
        <v>54</v>
      </c>
      <c r="D2500" s="2"/>
      <c r="E2500" s="2"/>
      <c r="F2500" s="8">
        <v>0</v>
      </c>
      <c r="G2500" s="8"/>
      <c r="H2500" s="8">
        <v>0</v>
      </c>
      <c r="I2500" s="8"/>
    </row>
    <row r="2501" spans="1:61">
      <c r="A2501" s="6">
        <v>4</v>
      </c>
      <c r="B2501" s="103" t="s">
        <v>504</v>
      </c>
      <c r="C2501" s="1" t="s">
        <v>55</v>
      </c>
      <c r="D2501" s="2"/>
      <c r="E2501" s="2"/>
      <c r="F2501" s="8">
        <v>0</v>
      </c>
      <c r="G2501" s="8"/>
      <c r="H2501" s="8">
        <v>0</v>
      </c>
      <c r="I2501" s="8"/>
    </row>
    <row r="2502" spans="1:61">
      <c r="A2502" s="6">
        <v>5</v>
      </c>
      <c r="B2502" s="103" t="s">
        <v>504</v>
      </c>
      <c r="C2502" s="1" t="s">
        <v>56</v>
      </c>
      <c r="D2502" s="2"/>
      <c r="E2502" s="2"/>
      <c r="F2502" s="8">
        <v>0</v>
      </c>
      <c r="G2502" s="8"/>
      <c r="H2502" s="8">
        <v>0</v>
      </c>
      <c r="I2502" s="8"/>
    </row>
    <row r="2503" spans="1:61">
      <c r="A2503" s="6">
        <v>2</v>
      </c>
      <c r="B2503" s="103" t="s">
        <v>504</v>
      </c>
      <c r="C2503" s="1" t="s">
        <v>53</v>
      </c>
      <c r="D2503" s="2"/>
      <c r="E2503" s="2"/>
      <c r="F2503" s="8">
        <v>6</v>
      </c>
      <c r="G2503" s="8"/>
      <c r="H2503" s="8">
        <v>6</v>
      </c>
      <c r="I2503" s="8"/>
      <c r="M2503" s="3">
        <v>8.5</v>
      </c>
      <c r="O2503" s="3">
        <v>8.5</v>
      </c>
      <c r="Q2503" s="3">
        <f>O2503-H2503</f>
        <v>2.5</v>
      </c>
      <c r="R2503" s="3">
        <v>6</v>
      </c>
      <c r="T2503" s="3">
        <f>R2503-O2503</f>
        <v>-2.5</v>
      </c>
      <c r="U2503" s="3">
        <v>5.4</v>
      </c>
      <c r="W2503" s="3">
        <f>U2503-R2503</f>
        <v>-0.59999999999999964</v>
      </c>
    </row>
    <row r="2504" spans="1:61">
      <c r="B2504" s="103" t="s">
        <v>504</v>
      </c>
      <c r="C2504" s="1" t="s">
        <v>158</v>
      </c>
      <c r="D2504" s="2"/>
      <c r="E2504" s="2"/>
      <c r="F2504" s="8"/>
      <c r="G2504" s="8"/>
      <c r="H2504" s="8"/>
      <c r="I2504" s="8"/>
      <c r="T2504" s="3"/>
      <c r="AG2504" s="3">
        <v>3.85</v>
      </c>
      <c r="AJ2504" s="3">
        <v>3.8</v>
      </c>
      <c r="AP2504" s="3">
        <v>2.2000000000000002</v>
      </c>
      <c r="AS2504" s="3">
        <v>2.1</v>
      </c>
      <c r="AV2504" s="3">
        <v>2.1</v>
      </c>
    </row>
    <row r="2505" spans="1:61">
      <c r="B2505" s="103" t="s">
        <v>504</v>
      </c>
      <c r="C2505" s="1" t="s">
        <v>597</v>
      </c>
      <c r="D2505" s="2"/>
      <c r="E2505" s="2"/>
      <c r="F2505" s="8"/>
      <c r="G2505" s="8"/>
      <c r="H2505" s="8"/>
      <c r="I2505" s="8"/>
      <c r="T2505" s="3"/>
      <c r="AA2505" s="3">
        <v>11.04</v>
      </c>
      <c r="AD2505" s="24">
        <v>10</v>
      </c>
      <c r="AG2505" s="3">
        <v>11.54</v>
      </c>
      <c r="AJ2505" s="3">
        <v>16.670000000000002</v>
      </c>
      <c r="AM2505" s="3">
        <v>16.670000000000002</v>
      </c>
      <c r="AP2505" s="3">
        <v>13.55</v>
      </c>
      <c r="AS2505" s="3">
        <v>13.5</v>
      </c>
      <c r="AV2505" s="3">
        <v>13.5</v>
      </c>
      <c r="AZ2505" s="3">
        <v>5</v>
      </c>
      <c r="BA2505" s="1" t="s">
        <v>862</v>
      </c>
      <c r="BH2505" s="3">
        <v>26</v>
      </c>
      <c r="BI2505" s="1" t="s">
        <v>852</v>
      </c>
    </row>
    <row r="2506" spans="1:61">
      <c r="B2506" s="103" t="s">
        <v>504</v>
      </c>
      <c r="C2506" s="1" t="s">
        <v>595</v>
      </c>
      <c r="D2506" s="2"/>
      <c r="E2506" s="2"/>
      <c r="F2506" s="8"/>
      <c r="G2506" s="8"/>
      <c r="H2506" s="8"/>
      <c r="I2506" s="8"/>
      <c r="R2506" s="3">
        <v>3</v>
      </c>
      <c r="T2506" s="3"/>
      <c r="U2506" s="3">
        <v>2.2999999999999998</v>
      </c>
      <c r="W2506" s="3">
        <f>U2506-R2506</f>
        <v>-0.70000000000000018</v>
      </c>
      <c r="X2506" s="3">
        <v>2.5</v>
      </c>
      <c r="Z2506" s="3">
        <f>X2506-U2506</f>
        <v>0.20000000000000018</v>
      </c>
      <c r="AA2506" s="3">
        <v>3.5</v>
      </c>
      <c r="AC2506" s="3">
        <f>AA2506-X2506</f>
        <v>1</v>
      </c>
      <c r="AD2506" s="24">
        <v>10</v>
      </c>
      <c r="AG2506" s="3">
        <v>2.6</v>
      </c>
      <c r="AI2506" s="3">
        <f>AG2506-AD2506</f>
        <v>-7.4</v>
      </c>
      <c r="AJ2506" s="3">
        <v>2.6</v>
      </c>
      <c r="AL2506" s="3">
        <f>AJ2506-AG2506</f>
        <v>0</v>
      </c>
    </row>
    <row r="2507" spans="1:61">
      <c r="B2507" s="103" t="s">
        <v>504</v>
      </c>
      <c r="C2507" s="1" t="s">
        <v>700</v>
      </c>
      <c r="D2507" s="2"/>
      <c r="E2507" s="2"/>
      <c r="F2507" s="8"/>
      <c r="G2507" s="8"/>
      <c r="H2507" s="8"/>
      <c r="I2507" s="8"/>
      <c r="T2507" s="3"/>
      <c r="U2507" s="3">
        <v>1.5</v>
      </c>
      <c r="X2507" s="3">
        <v>2.4500000000000002</v>
      </c>
      <c r="Z2507" s="3">
        <f>X2507-U2507</f>
        <v>0.95000000000000018</v>
      </c>
      <c r="AD2507" s="24">
        <v>3.4</v>
      </c>
      <c r="AG2507" s="3">
        <v>2.4</v>
      </c>
      <c r="AJ2507" s="3">
        <v>2.99</v>
      </c>
      <c r="AM2507" s="3">
        <v>2.95</v>
      </c>
      <c r="AP2507" s="3">
        <v>3</v>
      </c>
      <c r="AS2507" s="3">
        <v>2.8</v>
      </c>
      <c r="AV2507" s="3">
        <v>2.8</v>
      </c>
      <c r="AZ2507" s="3">
        <v>11.0045</v>
      </c>
      <c r="BA2507" s="1" t="s">
        <v>862</v>
      </c>
      <c r="BD2507" s="3">
        <v>3.11</v>
      </c>
      <c r="BE2507" s="1" t="s">
        <v>852</v>
      </c>
      <c r="BH2507" s="3">
        <v>4.2</v>
      </c>
      <c r="BI2507" s="1" t="s">
        <v>852</v>
      </c>
    </row>
    <row r="2508" spans="1:61">
      <c r="A2508" s="6">
        <v>12</v>
      </c>
      <c r="B2508" s="103" t="s">
        <v>504</v>
      </c>
      <c r="C2508" s="1" t="s">
        <v>594</v>
      </c>
      <c r="D2508" s="2"/>
      <c r="E2508" s="2"/>
      <c r="F2508" s="8">
        <v>2</v>
      </c>
      <c r="G2508" s="8"/>
      <c r="H2508" s="8">
        <v>2</v>
      </c>
      <c r="I2508" s="8"/>
      <c r="R2508" s="3">
        <v>2</v>
      </c>
      <c r="T2508" s="3"/>
      <c r="U2508" s="3">
        <v>2.5</v>
      </c>
      <c r="W2508" s="3">
        <f>U2508-R2508</f>
        <v>0.5</v>
      </c>
      <c r="X2508" s="3">
        <v>5.7</v>
      </c>
      <c r="Z2508" s="3">
        <f>X2508-U2508</f>
        <v>3.2</v>
      </c>
      <c r="AA2508" s="3">
        <v>5.2</v>
      </c>
      <c r="AC2508" s="3">
        <f>AA2508-X2508</f>
        <v>-0.5</v>
      </c>
      <c r="AD2508" s="24">
        <v>3.5</v>
      </c>
      <c r="AG2508" s="3">
        <v>3.68</v>
      </c>
      <c r="AI2508" s="3">
        <f>AG2508-AD2508</f>
        <v>0.18000000000000016</v>
      </c>
      <c r="AJ2508" s="3">
        <v>4.05</v>
      </c>
      <c r="AL2508" s="3">
        <f>AJ2508-AG2508</f>
        <v>0.36999999999999966</v>
      </c>
      <c r="AM2508" s="3">
        <v>4.5</v>
      </c>
      <c r="AO2508" s="3">
        <f>AM2508-AJ2508</f>
        <v>0.45000000000000018</v>
      </c>
      <c r="AP2508" s="3">
        <v>4.5</v>
      </c>
      <c r="AS2508" s="3">
        <v>4.7</v>
      </c>
      <c r="AV2508" s="3">
        <v>4.8</v>
      </c>
      <c r="AZ2508" s="3">
        <v>2.8</v>
      </c>
      <c r="BA2508" s="1" t="s">
        <v>862</v>
      </c>
      <c r="BD2508" s="3">
        <v>5.12</v>
      </c>
      <c r="BE2508" s="1" t="s">
        <v>852</v>
      </c>
      <c r="BH2508" s="3">
        <v>5.65</v>
      </c>
      <c r="BI2508" s="1" t="s">
        <v>852</v>
      </c>
    </row>
    <row r="2509" spans="1:61">
      <c r="B2509" s="103" t="s">
        <v>504</v>
      </c>
      <c r="C2509" s="1" t="s">
        <v>643</v>
      </c>
      <c r="D2509" s="2"/>
      <c r="E2509" s="2"/>
      <c r="F2509" s="8"/>
      <c r="G2509" s="8"/>
      <c r="H2509" s="8"/>
      <c r="I2509" s="8"/>
      <c r="T2509" s="3"/>
      <c r="AD2509" s="24">
        <v>28.16</v>
      </c>
      <c r="AG2509" s="3">
        <v>42</v>
      </c>
      <c r="AJ2509" s="3">
        <v>40.299999999999997</v>
      </c>
      <c r="AM2509" s="3">
        <v>40.799999999999997</v>
      </c>
      <c r="AP2509" s="3">
        <v>23.5</v>
      </c>
      <c r="AS2509" s="3">
        <v>23.5</v>
      </c>
      <c r="AV2509" s="3">
        <v>23.5</v>
      </c>
      <c r="AZ2509" s="3">
        <v>17.46</v>
      </c>
      <c r="BA2509" s="1" t="s">
        <v>862</v>
      </c>
    </row>
    <row r="2510" spans="1:61">
      <c r="B2510" s="103" t="s">
        <v>504</v>
      </c>
      <c r="C2510" s="1" t="s">
        <v>372</v>
      </c>
      <c r="D2510" s="2"/>
      <c r="E2510" s="2"/>
      <c r="F2510" s="8"/>
      <c r="G2510" s="8"/>
      <c r="H2510" s="8"/>
      <c r="I2510" s="8"/>
      <c r="T2510" s="3"/>
      <c r="BD2510" s="3">
        <v>2.6</v>
      </c>
      <c r="BE2510" s="1" t="s">
        <v>971</v>
      </c>
      <c r="BH2510" s="3">
        <v>3.4</v>
      </c>
      <c r="BI2510" s="1" t="s">
        <v>852</v>
      </c>
    </row>
    <row r="2511" spans="1:61">
      <c r="A2511" s="6">
        <v>14</v>
      </c>
      <c r="B2511" s="103" t="s">
        <v>504</v>
      </c>
      <c r="C2511" s="1" t="s">
        <v>58</v>
      </c>
      <c r="D2511" s="2"/>
      <c r="E2511" s="2"/>
      <c r="F2511" s="8">
        <v>7</v>
      </c>
      <c r="G2511" s="8"/>
      <c r="H2511" s="8">
        <v>7</v>
      </c>
      <c r="I2511" s="8"/>
      <c r="M2511" s="3">
        <v>8</v>
      </c>
      <c r="O2511" s="3">
        <v>8</v>
      </c>
      <c r="Q2511" s="3">
        <f>O2511-H2511</f>
        <v>1</v>
      </c>
      <c r="R2511" s="3">
        <v>7</v>
      </c>
      <c r="T2511" s="3">
        <f>R2511-O2511</f>
        <v>-1</v>
      </c>
      <c r="U2511" s="3">
        <v>8.9</v>
      </c>
      <c r="W2511" s="3">
        <f>U2511-R2511</f>
        <v>1.9000000000000004</v>
      </c>
      <c r="X2511" s="3">
        <v>20</v>
      </c>
      <c r="Z2511" s="3">
        <f>X2511-U2511</f>
        <v>11.1</v>
      </c>
      <c r="AA2511" s="3">
        <v>11</v>
      </c>
      <c r="AC2511" s="3">
        <f>AA2511-X2511</f>
        <v>-9</v>
      </c>
      <c r="AD2511" s="24">
        <v>9</v>
      </c>
      <c r="AG2511" s="3">
        <v>6.83</v>
      </c>
      <c r="AI2511" s="3">
        <f>AG2511-AD2511</f>
        <v>-2.17</v>
      </c>
      <c r="AJ2511" s="3">
        <v>12.24</v>
      </c>
      <c r="AL2511" s="3">
        <f>AJ2511-AG2511</f>
        <v>5.41</v>
      </c>
      <c r="AM2511" s="3">
        <v>7.37</v>
      </c>
      <c r="AO2511" s="3">
        <f>AM2511-AJ2511</f>
        <v>-4.87</v>
      </c>
      <c r="AP2511" s="3">
        <v>6.7</v>
      </c>
      <c r="AS2511" s="3">
        <v>6.8</v>
      </c>
      <c r="AV2511" s="3">
        <v>6.9</v>
      </c>
      <c r="AZ2511" s="3">
        <v>4.76</v>
      </c>
      <c r="BA2511" s="1" t="s">
        <v>862</v>
      </c>
      <c r="BD2511" s="3">
        <v>6.4</v>
      </c>
      <c r="BE2511" s="1" t="s">
        <v>852</v>
      </c>
      <c r="BH2511" s="3">
        <v>5</v>
      </c>
      <c r="BI2511" s="1" t="s">
        <v>852</v>
      </c>
    </row>
    <row r="2512" spans="1:61">
      <c r="B2512" s="103" t="s">
        <v>504</v>
      </c>
      <c r="C2512" s="1" t="s">
        <v>868</v>
      </c>
      <c r="D2512" s="2"/>
      <c r="E2512" s="2"/>
      <c r="F2512" s="8"/>
      <c r="G2512" s="8"/>
      <c r="H2512" s="8"/>
      <c r="I2512" s="8"/>
      <c r="T2512" s="3"/>
      <c r="AZ2512" s="3">
        <v>20.64</v>
      </c>
      <c r="BA2512" s="1" t="s">
        <v>862</v>
      </c>
      <c r="BD2512" s="3">
        <v>6</v>
      </c>
      <c r="BE2512" s="1" t="s">
        <v>852</v>
      </c>
    </row>
    <row r="2513" spans="1:61">
      <c r="B2513" s="103" t="s">
        <v>504</v>
      </c>
      <c r="C2513" s="1" t="s">
        <v>607</v>
      </c>
      <c r="D2513" s="2"/>
      <c r="E2513" s="2"/>
      <c r="F2513" s="8"/>
      <c r="G2513" s="8"/>
      <c r="H2513" s="8"/>
      <c r="I2513" s="8"/>
      <c r="T2513" s="3"/>
      <c r="AZ2513" s="3">
        <v>9.9499999999999993</v>
      </c>
      <c r="BA2513" s="1" t="s">
        <v>862</v>
      </c>
      <c r="BD2513" s="3">
        <v>6</v>
      </c>
      <c r="BE2513" s="1" t="s">
        <v>852</v>
      </c>
      <c r="BH2513" s="3">
        <v>6</v>
      </c>
      <c r="BI2513" s="1" t="s">
        <v>852</v>
      </c>
    </row>
    <row r="2514" spans="1:61">
      <c r="B2514" s="103" t="s">
        <v>504</v>
      </c>
      <c r="C2514" s="1" t="s">
        <v>854</v>
      </c>
      <c r="D2514" s="2"/>
      <c r="E2514" s="2"/>
      <c r="F2514" s="8"/>
      <c r="G2514" s="8"/>
      <c r="H2514" s="8"/>
      <c r="I2514" s="8"/>
      <c r="T2514" s="3"/>
      <c r="AZ2514" s="3">
        <v>70.599999999999994</v>
      </c>
      <c r="BA2514" s="1" t="s">
        <v>862</v>
      </c>
      <c r="BD2514" s="3">
        <v>58</v>
      </c>
      <c r="BE2514" s="1" t="s">
        <v>852</v>
      </c>
      <c r="BH2514" s="3">
        <v>44</v>
      </c>
      <c r="BI2514" s="1" t="s">
        <v>852</v>
      </c>
    </row>
    <row r="2515" spans="1:61">
      <c r="B2515" s="103" t="s">
        <v>504</v>
      </c>
      <c r="C2515" s="1" t="s">
        <v>857</v>
      </c>
      <c r="D2515" s="2"/>
      <c r="E2515" s="2"/>
      <c r="F2515" s="8"/>
      <c r="G2515" s="8"/>
      <c r="H2515" s="8"/>
      <c r="I2515" s="8"/>
      <c r="T2515" s="3"/>
      <c r="AZ2515" s="3">
        <v>3.2</v>
      </c>
      <c r="BA2515" s="1" t="s">
        <v>862</v>
      </c>
      <c r="BD2515" s="3">
        <v>4.6500000000000004</v>
      </c>
      <c r="BE2515" s="1" t="s">
        <v>852</v>
      </c>
      <c r="BH2515" s="3">
        <v>4</v>
      </c>
      <c r="BI2515" s="1" t="s">
        <v>852</v>
      </c>
    </row>
    <row r="2516" spans="1:61">
      <c r="B2516" s="103" t="s">
        <v>504</v>
      </c>
      <c r="C2516" s="1" t="s">
        <v>386</v>
      </c>
      <c r="D2516" s="2"/>
      <c r="E2516" s="2"/>
      <c r="F2516" s="8"/>
      <c r="G2516" s="8"/>
      <c r="H2516" s="8"/>
      <c r="I2516" s="8"/>
      <c r="T2516" s="3"/>
      <c r="AZ2516" s="3">
        <v>24.9</v>
      </c>
      <c r="BA2516" s="1" t="s">
        <v>862</v>
      </c>
    </row>
    <row r="2517" spans="1:61">
      <c r="B2517" s="103" t="s">
        <v>504</v>
      </c>
      <c r="C2517" s="1" t="s">
        <v>160</v>
      </c>
      <c r="D2517" s="2"/>
      <c r="E2517" s="2"/>
      <c r="F2517" s="8"/>
      <c r="G2517" s="8"/>
      <c r="H2517" s="8"/>
      <c r="I2517" s="8"/>
      <c r="T2517" s="3"/>
      <c r="U2517" s="3">
        <v>2.2000000000000002</v>
      </c>
      <c r="X2517" s="3">
        <v>2.4</v>
      </c>
      <c r="Z2517" s="3">
        <f>X2517-U2517</f>
        <v>0.19999999999999973</v>
      </c>
      <c r="AG2517" s="3">
        <v>2.9</v>
      </c>
      <c r="AJ2517" s="3">
        <v>2.9</v>
      </c>
      <c r="AM2517" s="3">
        <v>2.93</v>
      </c>
      <c r="AP2517" s="3">
        <v>2.4</v>
      </c>
      <c r="AS2517" s="3">
        <v>2.4</v>
      </c>
      <c r="AV2517" s="3">
        <v>2.5</v>
      </c>
    </row>
    <row r="2518" spans="1:61" ht="9.6" customHeight="1">
      <c r="B2518" s="103" t="s">
        <v>504</v>
      </c>
      <c r="C2518" s="1" t="s">
        <v>64</v>
      </c>
      <c r="D2518" s="2"/>
      <c r="E2518" s="2"/>
      <c r="F2518" s="8"/>
      <c r="G2518" s="8"/>
      <c r="H2518" s="8"/>
      <c r="I2518" s="8"/>
      <c r="M2518" s="3">
        <v>20</v>
      </c>
      <c r="O2518" s="3">
        <v>20</v>
      </c>
      <c r="R2518" s="3">
        <v>12</v>
      </c>
      <c r="T2518" s="3">
        <f>R2518-O2518</f>
        <v>-8</v>
      </c>
      <c r="U2518" s="3">
        <v>14.2</v>
      </c>
      <c r="W2518" s="3">
        <f>U2518-R2518</f>
        <v>2.1999999999999993</v>
      </c>
      <c r="X2518" s="3">
        <v>20.100000000000001</v>
      </c>
      <c r="Z2518" s="3">
        <f>X2518-U2518</f>
        <v>5.9000000000000021</v>
      </c>
      <c r="AA2518" s="3">
        <v>12</v>
      </c>
      <c r="AC2518" s="3">
        <f>AA2518-X2518</f>
        <v>-8.1000000000000014</v>
      </c>
      <c r="AD2518" s="24">
        <v>10</v>
      </c>
      <c r="AG2518" s="3">
        <v>7.86</v>
      </c>
      <c r="AI2518" s="3">
        <f>AG2518-AD2518</f>
        <v>-2.1399999999999997</v>
      </c>
      <c r="AJ2518" s="3">
        <v>9.52</v>
      </c>
      <c r="AL2518" s="3">
        <f>AJ2518-AG2518</f>
        <v>1.6599999999999993</v>
      </c>
      <c r="AM2518" s="3">
        <v>9.68</v>
      </c>
      <c r="AO2518" s="3">
        <f>AM2518-AJ2518</f>
        <v>0.16000000000000014</v>
      </c>
      <c r="AP2518" s="3">
        <v>5.4</v>
      </c>
      <c r="AS2518" s="3">
        <v>5.5</v>
      </c>
      <c r="AV2518" s="3">
        <v>5.6</v>
      </c>
      <c r="AZ2518" s="3">
        <v>3.76</v>
      </c>
      <c r="BA2518" s="1" t="s">
        <v>862</v>
      </c>
      <c r="BD2518" s="3">
        <v>7.6</v>
      </c>
      <c r="BE2518" s="1" t="s">
        <v>852</v>
      </c>
      <c r="BH2518" s="3">
        <v>6.7</v>
      </c>
      <c r="BI2518" s="1" t="s">
        <v>852</v>
      </c>
    </row>
    <row r="2519" spans="1:61" ht="9.6" customHeight="1">
      <c r="B2519" s="103" t="s">
        <v>504</v>
      </c>
      <c r="C2519" s="1" t="s">
        <v>855</v>
      </c>
      <c r="D2519" s="2"/>
      <c r="E2519" s="2"/>
      <c r="F2519" s="8"/>
      <c r="G2519" s="8"/>
      <c r="H2519" s="8"/>
      <c r="I2519" s="8"/>
      <c r="T2519" s="3"/>
      <c r="W2519" s="3"/>
      <c r="AC2519" s="3"/>
      <c r="AI2519" s="3"/>
      <c r="AL2519" s="3"/>
      <c r="AO2519" s="3"/>
      <c r="BH2519" s="3">
        <v>6.7</v>
      </c>
      <c r="BI2519" s="1" t="s">
        <v>852</v>
      </c>
    </row>
    <row r="2520" spans="1:61">
      <c r="B2520" s="103" t="s">
        <v>504</v>
      </c>
      <c r="C2520" s="1" t="s">
        <v>286</v>
      </c>
      <c r="D2520" s="2"/>
      <c r="E2520" s="2"/>
      <c r="F2520" s="8"/>
      <c r="G2520" s="8"/>
      <c r="H2520" s="8"/>
      <c r="I2520" s="8"/>
      <c r="M2520" s="3">
        <v>20</v>
      </c>
      <c r="O2520" s="3">
        <v>20</v>
      </c>
      <c r="R2520" s="3">
        <v>12</v>
      </c>
      <c r="T2520" s="3">
        <f>R2520-O2520</f>
        <v>-8</v>
      </c>
      <c r="U2520" s="3">
        <v>14</v>
      </c>
      <c r="W2520" s="3">
        <f>U2520-R2520</f>
        <v>2</v>
      </c>
      <c r="X2520" s="3">
        <v>19.77</v>
      </c>
      <c r="Z2520" s="3">
        <f>X2520-U2520</f>
        <v>5.77</v>
      </c>
      <c r="AA2520" s="3">
        <v>12</v>
      </c>
      <c r="AC2520" s="3">
        <f>AA2520-X2520</f>
        <v>-7.77</v>
      </c>
      <c r="AD2520" s="24">
        <v>10</v>
      </c>
      <c r="AG2520" s="3">
        <v>7.86</v>
      </c>
      <c r="AI2520" s="3">
        <f>AG2520-AD2520</f>
        <v>-2.1399999999999997</v>
      </c>
      <c r="AJ2520" s="3">
        <v>9.52</v>
      </c>
      <c r="AL2520" s="3">
        <f>AJ2520-AG2520</f>
        <v>1.6599999999999993</v>
      </c>
      <c r="AM2520" s="3">
        <v>9.68</v>
      </c>
      <c r="AO2520" s="3">
        <f>AM2520-AJ2520</f>
        <v>0.16000000000000014</v>
      </c>
      <c r="AP2520" s="3">
        <v>19.989999999999998</v>
      </c>
      <c r="AS2520" s="3">
        <v>19.5</v>
      </c>
      <c r="AV2520" s="3">
        <v>19.5</v>
      </c>
      <c r="AZ2520" s="3">
        <v>5</v>
      </c>
      <c r="BA2520" s="1" t="s">
        <v>862</v>
      </c>
      <c r="BD2520" s="3">
        <v>7.3</v>
      </c>
      <c r="BE2520" s="1" t="s">
        <v>852</v>
      </c>
      <c r="BH2520" s="3">
        <v>6.7</v>
      </c>
      <c r="BI2520" s="1" t="s">
        <v>852</v>
      </c>
    </row>
    <row r="2521" spans="1:61">
      <c r="B2521" s="103" t="s">
        <v>504</v>
      </c>
      <c r="C2521" s="1" t="s">
        <v>288</v>
      </c>
      <c r="D2521" s="2"/>
      <c r="E2521" s="2"/>
      <c r="F2521" s="8"/>
      <c r="G2521" s="8"/>
      <c r="H2521" s="8"/>
      <c r="I2521" s="8"/>
      <c r="M2521" s="3">
        <v>16</v>
      </c>
      <c r="O2521" s="3">
        <v>16</v>
      </c>
      <c r="R2521" s="3">
        <v>12</v>
      </c>
      <c r="T2521" s="3">
        <f>R2521-O2521</f>
        <v>-4</v>
      </c>
      <c r="U2521" s="3">
        <v>14.2</v>
      </c>
      <c r="W2521" s="3">
        <f>U2521-R2521</f>
        <v>2.1999999999999993</v>
      </c>
      <c r="X2521" s="3">
        <v>20.62</v>
      </c>
      <c r="Z2521" s="3">
        <f>X2521-U2521</f>
        <v>6.4200000000000017</v>
      </c>
      <c r="AA2521" s="3">
        <v>12</v>
      </c>
      <c r="AC2521" s="3">
        <f>AA2521-X2521</f>
        <v>-8.620000000000001</v>
      </c>
      <c r="AD2521" s="24">
        <v>9</v>
      </c>
      <c r="AG2521" s="3">
        <v>7.37</v>
      </c>
      <c r="AI2521" s="3">
        <f>AG2521-AD2521</f>
        <v>-1.63</v>
      </c>
      <c r="AJ2521" s="3">
        <v>7.86</v>
      </c>
      <c r="AL2521" s="3">
        <f>AJ2521-AG2521</f>
        <v>0.49000000000000021</v>
      </c>
      <c r="AM2521" s="3">
        <v>9</v>
      </c>
      <c r="AO2521" s="3">
        <f>AM2521-AJ2521</f>
        <v>1.1399999999999997</v>
      </c>
      <c r="AP2521" s="3">
        <v>4.4000000000000004</v>
      </c>
      <c r="AS2521" s="3">
        <v>4.4000000000000004</v>
      </c>
      <c r="AV2521" s="3">
        <v>4.5</v>
      </c>
      <c r="AZ2521" s="3">
        <v>3.26</v>
      </c>
      <c r="BA2521" s="1" t="s">
        <v>862</v>
      </c>
      <c r="BD2521" s="3">
        <v>6.9</v>
      </c>
      <c r="BE2521" s="1" t="s">
        <v>852</v>
      </c>
      <c r="BH2521" s="3">
        <v>5</v>
      </c>
      <c r="BI2521" s="1" t="s">
        <v>852</v>
      </c>
    </row>
    <row r="2522" spans="1:61">
      <c r="B2522" s="103" t="s">
        <v>504</v>
      </c>
      <c r="C2522" s="1" t="s">
        <v>1016</v>
      </c>
      <c r="D2522" s="2"/>
      <c r="E2522" s="2"/>
      <c r="F2522" s="8"/>
      <c r="G2522" s="8"/>
      <c r="H2522" s="8"/>
      <c r="I2522" s="8"/>
      <c r="T2522" s="3"/>
      <c r="W2522" s="3"/>
      <c r="AC2522" s="3"/>
      <c r="AI2522" s="3"/>
      <c r="AL2522" s="3"/>
      <c r="AO2522" s="3"/>
      <c r="BH2522" s="3">
        <v>18</v>
      </c>
      <c r="BI2522" s="1" t="s">
        <v>852</v>
      </c>
    </row>
    <row r="2523" spans="1:61">
      <c r="B2523" s="103" t="s">
        <v>504</v>
      </c>
      <c r="C2523" s="1" t="s">
        <v>1018</v>
      </c>
      <c r="D2523" s="2"/>
      <c r="E2523" s="2"/>
      <c r="F2523" s="8"/>
      <c r="G2523" s="8"/>
      <c r="H2523" s="8"/>
      <c r="I2523" s="8"/>
      <c r="T2523" s="3"/>
      <c r="W2523" s="3"/>
      <c r="AC2523" s="3"/>
      <c r="AI2523" s="3"/>
      <c r="AL2523" s="3"/>
      <c r="AO2523" s="3"/>
      <c r="BH2523" s="3">
        <v>24</v>
      </c>
      <c r="BI2523" s="1" t="s">
        <v>852</v>
      </c>
    </row>
    <row r="2524" spans="1:61">
      <c r="B2524" s="103" t="s">
        <v>504</v>
      </c>
      <c r="C2524" s="1" t="s">
        <v>1032</v>
      </c>
      <c r="D2524" s="2"/>
      <c r="E2524" s="2"/>
      <c r="F2524" s="8"/>
      <c r="G2524" s="8"/>
      <c r="H2524" s="8"/>
      <c r="I2524" s="8"/>
      <c r="T2524" s="3"/>
      <c r="W2524" s="3"/>
      <c r="AC2524" s="3"/>
      <c r="AI2524" s="3"/>
      <c r="AL2524" s="3"/>
      <c r="AO2524" s="3"/>
      <c r="BH2524" s="3">
        <v>9</v>
      </c>
      <c r="BI2524" s="1" t="s">
        <v>852</v>
      </c>
    </row>
    <row r="2525" spans="1:61">
      <c r="A2525" s="6">
        <v>11</v>
      </c>
      <c r="B2525" s="103" t="s">
        <v>504</v>
      </c>
      <c r="C2525" s="1" t="s">
        <v>57</v>
      </c>
      <c r="D2525" s="2"/>
      <c r="E2525" s="2"/>
      <c r="F2525" s="8">
        <v>0</v>
      </c>
      <c r="G2525" s="8"/>
      <c r="H2525" s="8">
        <v>0</v>
      </c>
      <c r="I2525" s="8"/>
      <c r="R2525" s="3">
        <v>12</v>
      </c>
      <c r="T2525" s="3"/>
    </row>
    <row r="2526" spans="1:61">
      <c r="B2526" s="103" t="s">
        <v>504</v>
      </c>
      <c r="C2526" s="1" t="s">
        <v>287</v>
      </c>
      <c r="D2526" s="2"/>
      <c r="E2526" s="2"/>
      <c r="F2526" s="8"/>
      <c r="G2526" s="8"/>
      <c r="H2526" s="8"/>
      <c r="I2526" s="8"/>
      <c r="R2526" s="3">
        <v>12</v>
      </c>
      <c r="T2526" s="3"/>
      <c r="AA2526" s="3">
        <v>12</v>
      </c>
      <c r="AD2526" s="24">
        <v>12</v>
      </c>
      <c r="AM2526" s="3">
        <v>11.87</v>
      </c>
      <c r="BD2526" s="3">
        <v>8.5</v>
      </c>
      <c r="BE2526" s="1" t="s">
        <v>852</v>
      </c>
      <c r="BH2526" s="3">
        <v>6.7</v>
      </c>
      <c r="BI2526" s="1" t="s">
        <v>852</v>
      </c>
    </row>
    <row r="2527" spans="1:61">
      <c r="B2527" s="103" t="s">
        <v>504</v>
      </c>
      <c r="C2527" s="1" t="s">
        <v>872</v>
      </c>
      <c r="D2527" s="2"/>
      <c r="E2527" s="2"/>
      <c r="F2527" s="8"/>
      <c r="G2527" s="8"/>
      <c r="H2527" s="8"/>
      <c r="I2527" s="8"/>
      <c r="T2527" s="3"/>
      <c r="W2527" s="3"/>
      <c r="AC2527" s="3"/>
      <c r="AI2527" s="3"/>
      <c r="AL2527" s="3"/>
      <c r="AO2527" s="3"/>
      <c r="BH2527" s="3">
        <v>278</v>
      </c>
      <c r="BI2527" s="1" t="s">
        <v>852</v>
      </c>
    </row>
    <row r="2528" spans="1:61">
      <c r="B2528" s="103" t="s">
        <v>504</v>
      </c>
      <c r="C2528" s="1" t="s">
        <v>1033</v>
      </c>
      <c r="D2528" s="2"/>
      <c r="E2528" s="2"/>
      <c r="F2528" s="8"/>
      <c r="G2528" s="8"/>
      <c r="H2528" s="8"/>
      <c r="I2528" s="8"/>
      <c r="T2528" s="3"/>
      <c r="W2528" s="3"/>
      <c r="AC2528" s="3"/>
      <c r="AI2528" s="3"/>
      <c r="AL2528" s="3"/>
      <c r="AO2528" s="3"/>
      <c r="BH2528" s="3">
        <v>25</v>
      </c>
      <c r="BI2528" s="1" t="s">
        <v>852</v>
      </c>
    </row>
    <row r="2529" spans="1:61">
      <c r="A2529" s="6">
        <v>1</v>
      </c>
      <c r="B2529" s="103" t="s">
        <v>571</v>
      </c>
      <c r="C2529" s="1" t="s">
        <v>52</v>
      </c>
      <c r="D2529" s="2">
        <v>0</v>
      </c>
      <c r="E2529" s="2"/>
      <c r="F2529" s="9">
        <v>3.9</v>
      </c>
      <c r="H2529" s="9">
        <v>3.9</v>
      </c>
      <c r="I2529" s="8">
        <f>H2529-D2529</f>
        <v>3.9</v>
      </c>
      <c r="M2529" s="3">
        <v>4</v>
      </c>
      <c r="O2529" s="3">
        <v>4</v>
      </c>
      <c r="Q2529" s="3">
        <f>O2529-H2529</f>
        <v>0.10000000000000009</v>
      </c>
      <c r="R2529" s="3">
        <v>5</v>
      </c>
      <c r="T2529" s="2">
        <f>R2529-O2529</f>
        <v>1</v>
      </c>
      <c r="U2529" s="3">
        <v>5</v>
      </c>
      <c r="W2529" s="3">
        <f>U2529-R2529</f>
        <v>0</v>
      </c>
      <c r="AK2529" s="1" t="s">
        <v>285</v>
      </c>
      <c r="AN2529" s="1" t="s">
        <v>285</v>
      </c>
      <c r="AQ2529" s="1" t="s">
        <v>285</v>
      </c>
      <c r="AT2529" s="1" t="s">
        <v>285</v>
      </c>
      <c r="AW2529" s="1" t="s">
        <v>285</v>
      </c>
      <c r="BA2529" s="1" t="s">
        <v>285</v>
      </c>
      <c r="BE2529" s="1" t="s">
        <v>285</v>
      </c>
    </row>
    <row r="2530" spans="1:61">
      <c r="A2530" s="6">
        <v>3</v>
      </c>
      <c r="B2530" s="103" t="s">
        <v>571</v>
      </c>
      <c r="C2530" s="1" t="s">
        <v>54</v>
      </c>
      <c r="D2530" s="2">
        <v>0</v>
      </c>
      <c r="E2530" s="2"/>
      <c r="F2530" s="9">
        <v>0</v>
      </c>
      <c r="H2530" s="9">
        <v>0</v>
      </c>
      <c r="M2530" s="2" t="s">
        <v>648</v>
      </c>
      <c r="N2530" s="2"/>
      <c r="O2530" s="2" t="s">
        <v>648</v>
      </c>
      <c r="R2530" s="2" t="s">
        <v>648</v>
      </c>
      <c r="AK2530" s="1" t="s">
        <v>285</v>
      </c>
      <c r="AN2530" s="1" t="s">
        <v>285</v>
      </c>
      <c r="AQ2530" s="1" t="s">
        <v>285</v>
      </c>
      <c r="AT2530" s="1" t="s">
        <v>285</v>
      </c>
      <c r="AW2530" s="1" t="s">
        <v>285</v>
      </c>
      <c r="BA2530" s="1" t="s">
        <v>285</v>
      </c>
      <c r="BE2530" s="1" t="s">
        <v>285</v>
      </c>
    </row>
    <row r="2531" spans="1:61">
      <c r="A2531" s="6">
        <v>4</v>
      </c>
      <c r="B2531" s="103" t="s">
        <v>571</v>
      </c>
      <c r="C2531" s="1" t="s">
        <v>55</v>
      </c>
      <c r="D2531" s="2">
        <v>0</v>
      </c>
      <c r="E2531" s="2"/>
      <c r="F2531" s="9">
        <v>0</v>
      </c>
      <c r="H2531" s="9">
        <v>0</v>
      </c>
      <c r="M2531" s="2" t="s">
        <v>648</v>
      </c>
      <c r="N2531" s="2"/>
      <c r="O2531" s="2" t="s">
        <v>648</v>
      </c>
      <c r="R2531" s="2" t="s">
        <v>648</v>
      </c>
      <c r="AK2531" s="1" t="s">
        <v>285</v>
      </c>
      <c r="AN2531" s="1" t="s">
        <v>285</v>
      </c>
      <c r="AQ2531" s="1" t="s">
        <v>285</v>
      </c>
      <c r="AT2531" s="1" t="s">
        <v>285</v>
      </c>
      <c r="AW2531" s="1" t="s">
        <v>285</v>
      </c>
      <c r="BA2531" s="1" t="s">
        <v>285</v>
      </c>
      <c r="BE2531" s="1" t="s">
        <v>285</v>
      </c>
    </row>
    <row r="2532" spans="1:61">
      <c r="A2532" s="6">
        <v>5</v>
      </c>
      <c r="B2532" s="103" t="s">
        <v>571</v>
      </c>
      <c r="C2532" s="1" t="s">
        <v>56</v>
      </c>
      <c r="D2532" s="2">
        <v>0</v>
      </c>
      <c r="E2532" s="2"/>
      <c r="F2532" s="9">
        <v>0</v>
      </c>
      <c r="H2532" s="9">
        <v>0</v>
      </c>
      <c r="M2532" s="2" t="s">
        <v>648</v>
      </c>
      <c r="N2532" s="2"/>
      <c r="O2532" s="2" t="s">
        <v>648</v>
      </c>
      <c r="R2532" s="2" t="s">
        <v>648</v>
      </c>
      <c r="AK2532" s="1" t="s">
        <v>285</v>
      </c>
      <c r="AN2532" s="1" t="s">
        <v>285</v>
      </c>
      <c r="AQ2532" s="1" t="s">
        <v>285</v>
      </c>
      <c r="AT2532" s="1" t="s">
        <v>285</v>
      </c>
      <c r="AW2532" s="1" t="s">
        <v>285</v>
      </c>
      <c r="BA2532" s="1" t="s">
        <v>285</v>
      </c>
      <c r="BE2532" s="1" t="s">
        <v>285</v>
      </c>
    </row>
    <row r="2533" spans="1:61">
      <c r="A2533" s="6">
        <v>2</v>
      </c>
      <c r="B2533" s="103" t="s">
        <v>571</v>
      </c>
      <c r="C2533" s="1" t="s">
        <v>53</v>
      </c>
      <c r="D2533" s="2">
        <v>0</v>
      </c>
      <c r="E2533" s="2"/>
      <c r="F2533" s="9">
        <v>4.5999999999999996</v>
      </c>
      <c r="H2533" s="9">
        <v>4.5999999999999996</v>
      </c>
      <c r="M2533" s="3">
        <v>7.6</v>
      </c>
      <c r="O2533" s="3">
        <v>7.6</v>
      </c>
      <c r="Q2533" s="3">
        <f>O2533-H2533</f>
        <v>3</v>
      </c>
      <c r="R2533" s="3">
        <v>8.16</v>
      </c>
      <c r="T2533" s="3">
        <f>R2533-O2533</f>
        <v>0.5600000000000005</v>
      </c>
      <c r="U2533" s="3">
        <v>10</v>
      </c>
      <c r="W2533" s="3">
        <f>U2533-R2533</f>
        <v>1.8399999999999999</v>
      </c>
      <c r="AK2533" s="1" t="s">
        <v>285</v>
      </c>
      <c r="AN2533" s="1" t="s">
        <v>285</v>
      </c>
      <c r="AQ2533" s="1" t="s">
        <v>285</v>
      </c>
      <c r="AT2533" s="1" t="s">
        <v>285</v>
      </c>
      <c r="AW2533" s="1" t="s">
        <v>285</v>
      </c>
      <c r="BA2533" s="1" t="s">
        <v>285</v>
      </c>
      <c r="BE2533" s="1" t="s">
        <v>285</v>
      </c>
    </row>
    <row r="2534" spans="1:61">
      <c r="B2534" s="103" t="s">
        <v>571</v>
      </c>
      <c r="C2534" s="1" t="s">
        <v>595</v>
      </c>
      <c r="D2534" s="2"/>
      <c r="E2534" s="2"/>
      <c r="Q2534" s="3"/>
      <c r="T2534" s="3"/>
      <c r="W2534" s="3"/>
      <c r="X2534" s="3">
        <v>5.5</v>
      </c>
      <c r="AA2534" s="3">
        <v>4</v>
      </c>
      <c r="AC2534" s="3">
        <f>AA2534-X2534</f>
        <v>-1.5</v>
      </c>
      <c r="AD2534" s="24">
        <v>4.3</v>
      </c>
      <c r="AG2534" s="3">
        <v>4.3</v>
      </c>
      <c r="AI2534" s="3">
        <f>AG2534-AD2534</f>
        <v>0</v>
      </c>
      <c r="AK2534" s="1" t="s">
        <v>285</v>
      </c>
      <c r="AN2534" s="1" t="s">
        <v>285</v>
      </c>
      <c r="AQ2534" s="1" t="s">
        <v>285</v>
      </c>
      <c r="AT2534" s="1" t="s">
        <v>285</v>
      </c>
      <c r="AW2534" s="1" t="s">
        <v>285</v>
      </c>
      <c r="BA2534" s="1" t="s">
        <v>285</v>
      </c>
      <c r="BE2534" s="1" t="s">
        <v>285</v>
      </c>
      <c r="BH2534" s="3">
        <v>5.88</v>
      </c>
      <c r="BI2534" s="1" t="s">
        <v>852</v>
      </c>
    </row>
    <row r="2535" spans="1:61">
      <c r="B2535" s="103" t="s">
        <v>571</v>
      </c>
      <c r="C2535" s="1" t="s">
        <v>700</v>
      </c>
      <c r="D2535" s="2"/>
      <c r="E2535" s="2"/>
      <c r="Q2535" s="3"/>
      <c r="T2535" s="3"/>
      <c r="W2535" s="3"/>
      <c r="AC2535" s="3"/>
      <c r="AI2535" s="3"/>
      <c r="BH2535" s="3">
        <v>12</v>
      </c>
      <c r="BI2535" s="1" t="s">
        <v>852</v>
      </c>
    </row>
    <row r="2536" spans="1:61">
      <c r="A2536" s="6">
        <v>12</v>
      </c>
      <c r="B2536" s="103" t="s">
        <v>571</v>
      </c>
      <c r="C2536" s="1" t="s">
        <v>594</v>
      </c>
      <c r="D2536" s="2">
        <v>0</v>
      </c>
      <c r="E2536" s="2"/>
      <c r="F2536" s="9">
        <v>3.1</v>
      </c>
      <c r="H2536" s="9">
        <v>3.1</v>
      </c>
      <c r="M2536" s="3">
        <v>6.82</v>
      </c>
      <c r="O2536" s="3">
        <v>6.82</v>
      </c>
      <c r="Q2536" s="3">
        <f>O2536-H2536</f>
        <v>3.72</v>
      </c>
      <c r="R2536" s="3">
        <v>5</v>
      </c>
      <c r="T2536" s="3">
        <f>R2536-O2536</f>
        <v>-1.8200000000000003</v>
      </c>
      <c r="U2536" s="3">
        <v>7</v>
      </c>
      <c r="W2536" s="3">
        <f>U2536-R2536</f>
        <v>2</v>
      </c>
      <c r="X2536" s="3">
        <v>6</v>
      </c>
      <c r="AA2536" s="3">
        <v>4</v>
      </c>
      <c r="AC2536" s="3">
        <f>AA2536-X2536</f>
        <v>-2</v>
      </c>
      <c r="AD2536" s="24">
        <v>3.8</v>
      </c>
      <c r="AG2536" s="3">
        <v>4.7</v>
      </c>
      <c r="AI2536" s="3">
        <f>AG2536-AD2536</f>
        <v>0.90000000000000036</v>
      </c>
      <c r="AK2536" s="1" t="s">
        <v>285</v>
      </c>
      <c r="AN2536" s="1" t="s">
        <v>285</v>
      </c>
      <c r="AQ2536" s="1" t="s">
        <v>285</v>
      </c>
      <c r="AT2536" s="1" t="s">
        <v>285</v>
      </c>
      <c r="AW2536" s="1" t="s">
        <v>285</v>
      </c>
      <c r="BA2536" s="1" t="s">
        <v>285</v>
      </c>
      <c r="BE2536" s="1" t="s">
        <v>285</v>
      </c>
      <c r="BH2536" s="3">
        <v>5.19</v>
      </c>
      <c r="BI2536" s="1" t="s">
        <v>852</v>
      </c>
    </row>
    <row r="2537" spans="1:61">
      <c r="A2537" s="6">
        <v>14</v>
      </c>
      <c r="B2537" s="103" t="s">
        <v>571</v>
      </c>
      <c r="C2537" s="1" t="s">
        <v>58</v>
      </c>
      <c r="D2537" s="2">
        <v>0</v>
      </c>
      <c r="E2537" s="2"/>
      <c r="F2537" s="9">
        <v>5.0999999999999996</v>
      </c>
      <c r="H2537" s="9">
        <v>5.0999999999999996</v>
      </c>
      <c r="M2537" s="3">
        <v>11.6</v>
      </c>
      <c r="O2537" s="3">
        <v>11.6</v>
      </c>
      <c r="Q2537" s="3">
        <f>O2537-H2537</f>
        <v>6.5</v>
      </c>
      <c r="R2537" s="3">
        <v>7.9</v>
      </c>
      <c r="T2537" s="3">
        <f>R2537-O2537</f>
        <v>-3.6999999999999993</v>
      </c>
      <c r="U2537" s="3">
        <v>11</v>
      </c>
      <c r="W2537" s="3">
        <f>U2537-R2537</f>
        <v>3.0999999999999996</v>
      </c>
      <c r="X2537" s="3">
        <v>7</v>
      </c>
      <c r="AA2537" s="3">
        <v>15</v>
      </c>
      <c r="AC2537" s="3">
        <f>AA2537-X2537</f>
        <v>8</v>
      </c>
      <c r="AD2537" s="24">
        <v>15.4</v>
      </c>
      <c r="AG2537" s="3">
        <v>12</v>
      </c>
      <c r="AI2537" s="3">
        <f>AG2537-AD2537</f>
        <v>-3.4000000000000004</v>
      </c>
      <c r="AK2537" s="1" t="s">
        <v>285</v>
      </c>
      <c r="AN2537" s="1" t="s">
        <v>285</v>
      </c>
      <c r="AQ2537" s="1" t="s">
        <v>285</v>
      </c>
      <c r="AT2537" s="1" t="s">
        <v>285</v>
      </c>
      <c r="AW2537" s="1" t="s">
        <v>285</v>
      </c>
      <c r="BA2537" s="1" t="s">
        <v>285</v>
      </c>
      <c r="BE2537" s="1" t="s">
        <v>285</v>
      </c>
      <c r="BH2537" s="3">
        <v>6.81</v>
      </c>
      <c r="BI2537" s="1" t="s">
        <v>852</v>
      </c>
    </row>
    <row r="2538" spans="1:61">
      <c r="B2538" s="103" t="s">
        <v>571</v>
      </c>
      <c r="C2538" s="1" t="s">
        <v>289</v>
      </c>
      <c r="D2538" s="2"/>
      <c r="E2538" s="2"/>
      <c r="Q2538" s="3"/>
      <c r="T2538" s="3"/>
      <c r="W2538" s="3"/>
      <c r="X2538" s="3">
        <v>18.2</v>
      </c>
      <c r="AA2538" s="3">
        <v>17</v>
      </c>
      <c r="AC2538" s="3">
        <f>AA2538-X2538</f>
        <v>-1.1999999999999993</v>
      </c>
      <c r="AD2538" s="24">
        <v>16.8</v>
      </c>
      <c r="AG2538" s="3">
        <v>11</v>
      </c>
      <c r="AI2538" s="3">
        <f>AG2538-AD2538</f>
        <v>-5.8000000000000007</v>
      </c>
      <c r="AK2538" s="1" t="s">
        <v>285</v>
      </c>
      <c r="AN2538" s="1" t="s">
        <v>285</v>
      </c>
      <c r="AQ2538" s="1" t="s">
        <v>285</v>
      </c>
      <c r="AT2538" s="1" t="s">
        <v>285</v>
      </c>
      <c r="AW2538" s="1" t="s">
        <v>285</v>
      </c>
      <c r="BA2538" s="1" t="s">
        <v>285</v>
      </c>
      <c r="BE2538" s="1" t="s">
        <v>285</v>
      </c>
      <c r="BH2538" s="3">
        <v>5.88</v>
      </c>
      <c r="BI2538" s="1" t="s">
        <v>852</v>
      </c>
    </row>
    <row r="2539" spans="1:61">
      <c r="B2539" s="103" t="s">
        <v>571</v>
      </c>
      <c r="C2539" s="1" t="s">
        <v>290</v>
      </c>
      <c r="D2539" s="2"/>
      <c r="E2539" s="2"/>
      <c r="Q2539" s="3"/>
      <c r="T2539" s="3"/>
      <c r="W2539" s="3"/>
      <c r="AC2539" s="3"/>
      <c r="AI2539" s="3"/>
      <c r="BH2539" s="3">
        <v>8.82</v>
      </c>
      <c r="BI2539" s="1" t="s">
        <v>852</v>
      </c>
    </row>
    <row r="2540" spans="1:61">
      <c r="B2540" s="103" t="s">
        <v>571</v>
      </c>
      <c r="C2540" s="1" t="s">
        <v>64</v>
      </c>
      <c r="D2540" s="2"/>
      <c r="E2540" s="2"/>
      <c r="Q2540" s="3"/>
      <c r="T2540" s="3"/>
      <c r="W2540" s="3"/>
      <c r="X2540" s="3">
        <v>22.3</v>
      </c>
      <c r="AA2540" s="3">
        <v>21</v>
      </c>
      <c r="AC2540" s="3">
        <f>AA2540-X2540</f>
        <v>-1.3000000000000007</v>
      </c>
      <c r="AD2540" s="24">
        <v>22</v>
      </c>
      <c r="AG2540" s="3">
        <v>13.6</v>
      </c>
      <c r="AI2540" s="3">
        <f>AG2540-AD2540</f>
        <v>-8.4</v>
      </c>
      <c r="AK2540" s="1" t="s">
        <v>285</v>
      </c>
      <c r="AN2540" s="1" t="s">
        <v>285</v>
      </c>
      <c r="AQ2540" s="1" t="s">
        <v>285</v>
      </c>
      <c r="AT2540" s="1" t="s">
        <v>285</v>
      </c>
      <c r="AW2540" s="1" t="s">
        <v>285</v>
      </c>
      <c r="BA2540" s="1" t="s">
        <v>285</v>
      </c>
      <c r="BE2540" s="1" t="s">
        <v>285</v>
      </c>
      <c r="BH2540" s="3">
        <v>10.42</v>
      </c>
      <c r="BI2540" s="1" t="s">
        <v>852</v>
      </c>
    </row>
    <row r="2541" spans="1:61">
      <c r="B2541" s="103" t="s">
        <v>571</v>
      </c>
      <c r="C2541" s="1" t="s">
        <v>286</v>
      </c>
      <c r="D2541" s="2"/>
      <c r="E2541" s="2"/>
      <c r="Q2541" s="3"/>
      <c r="T2541" s="3"/>
      <c r="W2541" s="3"/>
      <c r="X2541" s="3">
        <v>24</v>
      </c>
      <c r="AA2541" s="3">
        <v>21</v>
      </c>
      <c r="AC2541" s="3">
        <f>AA2541-X2541</f>
        <v>-3</v>
      </c>
      <c r="AD2541" s="24">
        <v>21.5</v>
      </c>
      <c r="AG2541" s="3">
        <v>14.4</v>
      </c>
      <c r="AI2541" s="3">
        <f>AG2541-AD2541</f>
        <v>-7.1</v>
      </c>
      <c r="AK2541" s="1" t="s">
        <v>285</v>
      </c>
      <c r="AN2541" s="1" t="s">
        <v>285</v>
      </c>
      <c r="AQ2541" s="1" t="s">
        <v>285</v>
      </c>
      <c r="AT2541" s="1" t="s">
        <v>285</v>
      </c>
      <c r="AW2541" s="1" t="s">
        <v>285</v>
      </c>
      <c r="BA2541" s="1" t="s">
        <v>285</v>
      </c>
      <c r="BE2541" s="1" t="s">
        <v>285</v>
      </c>
      <c r="BH2541" s="3">
        <v>7.66</v>
      </c>
      <c r="BI2541" s="1" t="s">
        <v>852</v>
      </c>
    </row>
    <row r="2542" spans="1:61">
      <c r="B2542" s="103" t="s">
        <v>571</v>
      </c>
      <c r="C2542" s="1" t="s">
        <v>288</v>
      </c>
      <c r="D2542" s="2"/>
      <c r="E2542" s="2"/>
      <c r="Q2542" s="3"/>
      <c r="T2542" s="3"/>
      <c r="W2542" s="3"/>
      <c r="X2542" s="3">
        <v>24.6</v>
      </c>
      <c r="AA2542" s="3">
        <v>22</v>
      </c>
      <c r="AC2542" s="3">
        <f>AA2542-X2542</f>
        <v>-2.6000000000000014</v>
      </c>
      <c r="AD2542" s="24">
        <v>22.5</v>
      </c>
      <c r="AG2542" s="3">
        <v>13.6</v>
      </c>
      <c r="AI2542" s="3">
        <f>AG2542-AD2542</f>
        <v>-8.9</v>
      </c>
      <c r="AK2542" s="1" t="s">
        <v>285</v>
      </c>
      <c r="AN2542" s="1" t="s">
        <v>285</v>
      </c>
      <c r="AQ2542" s="1" t="s">
        <v>285</v>
      </c>
      <c r="AT2542" s="1" t="s">
        <v>285</v>
      </c>
      <c r="AW2542" s="1" t="s">
        <v>285</v>
      </c>
      <c r="BA2542" s="1" t="s">
        <v>285</v>
      </c>
      <c r="BE2542" s="1" t="s">
        <v>285</v>
      </c>
      <c r="BH2542" s="3">
        <v>7.82</v>
      </c>
      <c r="BI2542" s="1" t="s">
        <v>852</v>
      </c>
    </row>
    <row r="2543" spans="1:61">
      <c r="A2543" s="6">
        <v>11</v>
      </c>
      <c r="B2543" s="103" t="s">
        <v>571</v>
      </c>
      <c r="C2543" s="1" t="s">
        <v>57</v>
      </c>
      <c r="D2543" s="2">
        <v>0</v>
      </c>
      <c r="E2543" s="2"/>
      <c r="F2543" s="9">
        <v>5.4</v>
      </c>
      <c r="H2543" s="9">
        <v>5.4</v>
      </c>
      <c r="M2543" s="3">
        <v>15.5</v>
      </c>
      <c r="O2543" s="3">
        <v>15.5</v>
      </c>
      <c r="Q2543" s="3">
        <f>O2543-H2543</f>
        <v>10.1</v>
      </c>
      <c r="R2543" s="3">
        <v>7</v>
      </c>
      <c r="T2543" s="3">
        <f>R2543-O2543</f>
        <v>-8.5</v>
      </c>
      <c r="U2543" s="3">
        <v>6.5</v>
      </c>
      <c r="W2543" s="3">
        <f>U2543-R2543</f>
        <v>-0.5</v>
      </c>
      <c r="AK2543" s="1" t="s">
        <v>285</v>
      </c>
      <c r="AN2543" s="1" t="s">
        <v>285</v>
      </c>
      <c r="AQ2543" s="1" t="s">
        <v>285</v>
      </c>
      <c r="AT2543" s="1" t="s">
        <v>285</v>
      </c>
      <c r="AW2543" s="1" t="s">
        <v>285</v>
      </c>
      <c r="BA2543" s="1" t="s">
        <v>285</v>
      </c>
      <c r="BE2543" s="1" t="s">
        <v>285</v>
      </c>
    </row>
    <row r="2544" spans="1:61">
      <c r="A2544" s="6">
        <v>1</v>
      </c>
      <c r="B2544" s="1" t="s">
        <v>572</v>
      </c>
      <c r="C2544" s="1" t="s">
        <v>52</v>
      </c>
      <c r="D2544" s="2"/>
      <c r="E2544" s="2"/>
      <c r="F2544" s="8">
        <v>0</v>
      </c>
      <c r="G2544" s="8"/>
      <c r="H2544" s="8">
        <v>0</v>
      </c>
      <c r="I2544" s="8"/>
    </row>
    <row r="2545" spans="1:61">
      <c r="A2545" s="6">
        <v>3</v>
      </c>
      <c r="B2545" s="1" t="s">
        <v>572</v>
      </c>
      <c r="C2545" s="1" t="s">
        <v>54</v>
      </c>
      <c r="D2545" s="2"/>
      <c r="E2545" s="2"/>
      <c r="F2545" s="8">
        <v>0</v>
      </c>
      <c r="G2545" s="8"/>
      <c r="H2545" s="8">
        <v>0</v>
      </c>
      <c r="I2545" s="8"/>
    </row>
    <row r="2546" spans="1:61">
      <c r="A2546" s="6">
        <v>4</v>
      </c>
      <c r="B2546" s="1" t="s">
        <v>572</v>
      </c>
      <c r="C2546" s="1" t="s">
        <v>55</v>
      </c>
      <c r="D2546" s="2"/>
      <c r="E2546" s="2"/>
      <c r="F2546" s="8">
        <v>0</v>
      </c>
      <c r="G2546" s="8"/>
      <c r="H2546" s="8">
        <v>0</v>
      </c>
      <c r="I2546" s="8"/>
    </row>
    <row r="2547" spans="1:61">
      <c r="A2547" s="6">
        <v>5</v>
      </c>
      <c r="B2547" s="1" t="s">
        <v>572</v>
      </c>
      <c r="C2547" s="1" t="s">
        <v>56</v>
      </c>
      <c r="D2547" s="2"/>
      <c r="E2547" s="2"/>
      <c r="F2547" s="8">
        <v>0</v>
      </c>
      <c r="G2547" s="8"/>
      <c r="H2547" s="8">
        <v>0</v>
      </c>
      <c r="I2547" s="8"/>
    </row>
    <row r="2548" spans="1:61">
      <c r="A2548" s="6">
        <v>2</v>
      </c>
      <c r="B2548" s="1" t="s">
        <v>572</v>
      </c>
      <c r="C2548" s="1" t="s">
        <v>53</v>
      </c>
      <c r="D2548" s="2"/>
      <c r="E2548" s="2"/>
      <c r="F2548" s="8">
        <v>11</v>
      </c>
      <c r="G2548" s="8"/>
      <c r="H2548" s="8">
        <v>11</v>
      </c>
      <c r="I2548" s="8"/>
      <c r="J2548" s="1" t="s">
        <v>200</v>
      </c>
      <c r="L2548" s="1" t="s">
        <v>233</v>
      </c>
      <c r="M2548" s="3">
        <v>6.94</v>
      </c>
      <c r="O2548" s="3">
        <v>6.94</v>
      </c>
      <c r="Q2548" s="3">
        <f>O2548-H2548</f>
        <v>-4.0599999999999996</v>
      </c>
      <c r="R2548" s="3">
        <v>1.25</v>
      </c>
      <c r="T2548" s="3">
        <f>R2548-O2548</f>
        <v>-5.69</v>
      </c>
      <c r="U2548" s="3">
        <v>7.9000000000000001E-2</v>
      </c>
      <c r="W2548" s="3">
        <f>U2548-R2548</f>
        <v>-1.171</v>
      </c>
    </row>
    <row r="2549" spans="1:61">
      <c r="B2549" s="1" t="s">
        <v>572</v>
      </c>
      <c r="C2549" s="1" t="s">
        <v>595</v>
      </c>
      <c r="D2549" s="2"/>
      <c r="E2549" s="2"/>
      <c r="F2549" s="8"/>
      <c r="G2549" s="8"/>
      <c r="H2549" s="8"/>
      <c r="I2549" s="8"/>
      <c r="Q2549" s="3"/>
      <c r="T2549" s="3"/>
      <c r="W2549" s="3"/>
      <c r="AC2549" s="3"/>
      <c r="AI2549" s="3"/>
      <c r="AL2549" s="3"/>
      <c r="AO2549" s="3"/>
      <c r="AV2549" s="3">
        <v>20.100000000000001</v>
      </c>
      <c r="AY2549" s="3">
        <v>20.100000000000001</v>
      </c>
    </row>
    <row r="2550" spans="1:61">
      <c r="A2550" s="6">
        <v>12</v>
      </c>
      <c r="B2550" s="1" t="s">
        <v>572</v>
      </c>
      <c r="C2550" s="1" t="s">
        <v>594</v>
      </c>
      <c r="D2550" s="2"/>
      <c r="E2550" s="2"/>
      <c r="F2550" s="8">
        <v>9</v>
      </c>
      <c r="G2550" s="8"/>
      <c r="H2550" s="8">
        <v>9</v>
      </c>
      <c r="I2550" s="8"/>
      <c r="J2550" s="1" t="s">
        <v>201</v>
      </c>
      <c r="M2550" s="3">
        <v>4.1500000000000004</v>
      </c>
      <c r="O2550" s="3">
        <v>4.1500000000000004</v>
      </c>
      <c r="Q2550" s="3">
        <f>O2550-H2550</f>
        <v>-4.8499999999999996</v>
      </c>
      <c r="R2550" s="3">
        <v>0.67</v>
      </c>
      <c r="T2550" s="3">
        <f>R2550-O2550</f>
        <v>-3.4800000000000004</v>
      </c>
      <c r="U2550" s="3">
        <v>4.2000000000000003E-2</v>
      </c>
      <c r="W2550" s="3">
        <f>U2550-R2550</f>
        <v>-0.628</v>
      </c>
      <c r="X2550" s="3">
        <v>4.5999999999999996</v>
      </c>
      <c r="Z2550" s="3">
        <f>X2550-U2550</f>
        <v>4.5579999999999998</v>
      </c>
      <c r="AA2550" s="3">
        <v>4.5999999999999996</v>
      </c>
      <c r="AC2550" s="3">
        <f>AA2550-X2550</f>
        <v>0</v>
      </c>
      <c r="AD2550" s="24">
        <v>8</v>
      </c>
      <c r="AG2550" s="3">
        <v>4.6500000000000004</v>
      </c>
      <c r="AI2550" s="3">
        <f>AG2550-AD2550</f>
        <v>-3.3499999999999996</v>
      </c>
      <c r="AJ2550" s="3">
        <v>8</v>
      </c>
      <c r="AL2550" s="3">
        <f>AJ2550-AG2550</f>
        <v>3.3499999999999996</v>
      </c>
      <c r="AM2550" s="3">
        <v>6.32</v>
      </c>
      <c r="AO2550" s="3">
        <f>AM2550-AJ2550</f>
        <v>-1.6799999999999997</v>
      </c>
      <c r="AP2550" s="3">
        <v>6.32</v>
      </c>
      <c r="AS2550" s="3">
        <v>7.5</v>
      </c>
      <c r="AV2550" s="3">
        <v>7.6</v>
      </c>
      <c r="AY2550" s="3">
        <v>7.6</v>
      </c>
      <c r="BC2550" s="3">
        <v>7.81</v>
      </c>
      <c r="BD2550" s="3">
        <v>8.34</v>
      </c>
      <c r="BG2550" s="3">
        <v>8.32</v>
      </c>
      <c r="BH2550" s="3">
        <v>9.52</v>
      </c>
      <c r="BI2550" s="1" t="s">
        <v>852</v>
      </c>
    </row>
    <row r="2551" spans="1:61">
      <c r="A2551" s="6">
        <v>14</v>
      </c>
      <c r="B2551" s="1" t="s">
        <v>572</v>
      </c>
      <c r="C2551" s="1" t="s">
        <v>58</v>
      </c>
      <c r="D2551" s="2"/>
      <c r="E2551" s="2"/>
      <c r="F2551" s="8">
        <v>28</v>
      </c>
      <c r="G2551" s="8"/>
      <c r="H2551" s="8">
        <v>28</v>
      </c>
      <c r="I2551" s="8"/>
      <c r="J2551" s="1" t="s">
        <v>62</v>
      </c>
      <c r="L2551" s="1" t="s">
        <v>109</v>
      </c>
      <c r="M2551" s="3">
        <v>14.45</v>
      </c>
      <c r="O2551" s="3">
        <v>14.45</v>
      </c>
      <c r="Q2551" s="3">
        <f>O2551-H2551</f>
        <v>-13.55</v>
      </c>
      <c r="R2551" s="3">
        <v>1.61</v>
      </c>
      <c r="T2551" s="3">
        <f>R2551-O2551</f>
        <v>-12.84</v>
      </c>
      <c r="U2551" s="3">
        <v>0.115</v>
      </c>
      <c r="W2551" s="3">
        <f>U2551-R2551</f>
        <v>-1.4950000000000001</v>
      </c>
      <c r="X2551" s="3">
        <v>0.93</v>
      </c>
      <c r="Z2551" s="3">
        <f>X2551-U2551</f>
        <v>0.81500000000000006</v>
      </c>
      <c r="AA2551" s="3">
        <v>0.93</v>
      </c>
      <c r="AC2551" s="3">
        <f>AA2551-X2551</f>
        <v>0</v>
      </c>
      <c r="AG2551" s="3">
        <v>0.96</v>
      </c>
      <c r="AI2551" s="3">
        <f>AG2551-AD2551</f>
        <v>0.96</v>
      </c>
      <c r="AJ2551" s="3">
        <v>13.3</v>
      </c>
      <c r="AL2551" s="3">
        <f>AJ2551-AG2551</f>
        <v>12.34</v>
      </c>
      <c r="AM2551" s="3">
        <v>9.48</v>
      </c>
      <c r="AO2551" s="3">
        <f>AM2551-AJ2551</f>
        <v>-3.8200000000000003</v>
      </c>
      <c r="AP2551" s="3">
        <v>7.5</v>
      </c>
      <c r="AS2551" s="3">
        <v>7.6</v>
      </c>
      <c r="AV2551" s="3">
        <v>10.3</v>
      </c>
      <c r="AY2551" s="3">
        <v>10.3</v>
      </c>
      <c r="BC2551" s="3">
        <v>10.41</v>
      </c>
      <c r="BD2551" s="3">
        <v>11.36</v>
      </c>
      <c r="BG2551" s="3">
        <v>11.36</v>
      </c>
      <c r="BH2551" s="3">
        <v>13.5</v>
      </c>
      <c r="BI2551" s="1" t="s">
        <v>852</v>
      </c>
    </row>
    <row r="2552" spans="1:61">
      <c r="B2552" s="1" t="s">
        <v>572</v>
      </c>
      <c r="C2552" s="1" t="s">
        <v>607</v>
      </c>
      <c r="D2552" s="2"/>
      <c r="E2552" s="2"/>
      <c r="F2552" s="8"/>
      <c r="G2552" s="8"/>
      <c r="H2552" s="8"/>
      <c r="I2552" s="8"/>
      <c r="Q2552" s="3"/>
      <c r="T2552" s="3"/>
      <c r="W2552" s="3"/>
      <c r="AA2552" s="3">
        <v>2.2599999999999998</v>
      </c>
    </row>
    <row r="2553" spans="1:61">
      <c r="B2553" s="1" t="s">
        <v>572</v>
      </c>
      <c r="C2553" s="1" t="s">
        <v>289</v>
      </c>
      <c r="D2553" s="2"/>
      <c r="E2553" s="2"/>
      <c r="F2553" s="8"/>
      <c r="G2553" s="8"/>
      <c r="H2553" s="8"/>
      <c r="I2553" s="8"/>
      <c r="Q2553" s="3"/>
      <c r="T2553" s="3"/>
      <c r="W2553" s="3"/>
      <c r="X2553" s="3">
        <v>2.2599999999999998</v>
      </c>
      <c r="AG2553" s="3">
        <v>8.64</v>
      </c>
      <c r="AI2553" s="3">
        <f>AG2553-AD2553</f>
        <v>8.64</v>
      </c>
      <c r="AJ2553" s="3">
        <v>4.9000000000000004</v>
      </c>
      <c r="AL2553" s="3">
        <f>AJ2553-AG2553</f>
        <v>-3.74</v>
      </c>
      <c r="AM2553" s="3">
        <v>7.11</v>
      </c>
      <c r="AO2553" s="3">
        <f>AM2553-AJ2553</f>
        <v>2.21</v>
      </c>
      <c r="AP2553" s="3">
        <v>6.3</v>
      </c>
      <c r="AS2553" s="3">
        <v>9.1999999999999993</v>
      </c>
      <c r="AV2553" s="3">
        <v>7.6</v>
      </c>
      <c r="AY2553" s="3">
        <v>7.6</v>
      </c>
      <c r="BC2553" s="3">
        <v>7.55</v>
      </c>
      <c r="BD2553" s="3">
        <v>5.21</v>
      </c>
      <c r="BG2553" s="3">
        <v>5.21</v>
      </c>
      <c r="BH2553" s="3">
        <v>7.55</v>
      </c>
      <c r="BI2553" s="1" t="s">
        <v>852</v>
      </c>
    </row>
    <row r="2554" spans="1:61">
      <c r="B2554" s="1" t="s">
        <v>572</v>
      </c>
      <c r="C2554" s="1" t="s">
        <v>290</v>
      </c>
      <c r="D2554" s="2"/>
      <c r="E2554" s="2"/>
      <c r="F2554" s="8"/>
      <c r="G2554" s="8"/>
      <c r="H2554" s="8"/>
      <c r="I2554" s="8"/>
      <c r="Q2554" s="3"/>
      <c r="T2554" s="3"/>
      <c r="W2554" s="3"/>
      <c r="AG2554" s="3">
        <v>5.81</v>
      </c>
      <c r="AI2554" s="3">
        <f>AG2554-AD2554</f>
        <v>5.81</v>
      </c>
      <c r="AJ2554" s="3">
        <v>4.9000000000000004</v>
      </c>
      <c r="AL2554" s="3">
        <f>AJ2554-AG2554</f>
        <v>-0.90999999999999925</v>
      </c>
      <c r="AM2554" s="3">
        <v>7.11</v>
      </c>
      <c r="AO2554" s="3">
        <f>AM2554-AJ2554</f>
        <v>2.21</v>
      </c>
      <c r="AP2554" s="3">
        <v>6.3</v>
      </c>
      <c r="AS2554" s="3">
        <v>9.1999999999999993</v>
      </c>
      <c r="AV2554" s="3">
        <v>3.6</v>
      </c>
      <c r="AY2554" s="3">
        <v>3.6</v>
      </c>
      <c r="BC2554" s="3">
        <v>3.56</v>
      </c>
      <c r="BD2554" s="3">
        <v>5.21</v>
      </c>
      <c r="BG2554" s="3">
        <v>5.21</v>
      </c>
      <c r="BH2554" s="3">
        <v>7.55</v>
      </c>
      <c r="BI2554" s="1" t="s">
        <v>852</v>
      </c>
    </row>
    <row r="2555" spans="1:61">
      <c r="B2555" s="1" t="s">
        <v>572</v>
      </c>
      <c r="C2555" s="1" t="s">
        <v>64</v>
      </c>
      <c r="D2555" s="2"/>
      <c r="E2555" s="2"/>
      <c r="F2555" s="8"/>
      <c r="G2555" s="8"/>
      <c r="H2555" s="8"/>
      <c r="I2555" s="8"/>
      <c r="Q2555" s="3"/>
      <c r="T2555" s="3"/>
      <c r="W2555" s="3"/>
      <c r="X2555" s="3">
        <v>1.42</v>
      </c>
      <c r="AA2555" s="3">
        <v>1.42</v>
      </c>
      <c r="AC2555" s="3">
        <f>AA2555-X2555</f>
        <v>0</v>
      </c>
      <c r="AG2555" s="3">
        <v>1.53</v>
      </c>
      <c r="AI2555" s="3">
        <f>AG2555-AD2555</f>
        <v>1.53</v>
      </c>
      <c r="AJ2555" s="3">
        <v>8.82</v>
      </c>
      <c r="AL2555" s="3">
        <f>AJ2555-AG2555</f>
        <v>7.29</v>
      </c>
      <c r="AM2555" s="3">
        <v>9.48</v>
      </c>
      <c r="AO2555" s="3">
        <f>AM2555-AJ2555</f>
        <v>0.66000000000000014</v>
      </c>
      <c r="AP2555" s="3">
        <v>8.8000000000000007</v>
      </c>
      <c r="AS2555" s="3">
        <v>8.9</v>
      </c>
      <c r="AV2555" s="3">
        <v>10.3</v>
      </c>
      <c r="AY2555" s="3">
        <v>10.3</v>
      </c>
      <c r="BG2555" s="3">
        <v>15.9</v>
      </c>
      <c r="BH2555" s="3">
        <v>16.829999999999998</v>
      </c>
      <c r="BI2555" s="1" t="s">
        <v>852</v>
      </c>
    </row>
    <row r="2556" spans="1:61">
      <c r="B2556" s="1" t="s">
        <v>572</v>
      </c>
      <c r="C2556" s="1" t="s">
        <v>855</v>
      </c>
      <c r="D2556" s="2"/>
      <c r="E2556" s="2"/>
      <c r="F2556" s="8"/>
      <c r="G2556" s="8"/>
      <c r="H2556" s="8"/>
      <c r="I2556" s="8"/>
      <c r="Q2556" s="3"/>
      <c r="T2556" s="3"/>
      <c r="W2556" s="3"/>
      <c r="AC2556" s="3"/>
      <c r="AI2556" s="3"/>
      <c r="AL2556" s="3"/>
      <c r="AO2556" s="3"/>
      <c r="AY2556" s="3">
        <v>10.3</v>
      </c>
      <c r="BC2556" s="3">
        <v>10.41</v>
      </c>
      <c r="BD2556" s="3">
        <v>15.9</v>
      </c>
      <c r="BG2556" s="3">
        <v>15.9</v>
      </c>
      <c r="BH2556" s="3">
        <v>16.829999999999998</v>
      </c>
      <c r="BI2556" s="1" t="s">
        <v>852</v>
      </c>
    </row>
    <row r="2557" spans="1:61">
      <c r="B2557" s="1" t="s">
        <v>572</v>
      </c>
      <c r="C2557" s="1" t="s">
        <v>286</v>
      </c>
      <c r="D2557" s="2"/>
      <c r="E2557" s="2"/>
      <c r="F2557" s="8"/>
      <c r="G2557" s="8"/>
      <c r="H2557" s="8"/>
      <c r="I2557" s="8"/>
      <c r="Q2557" s="3"/>
      <c r="T2557" s="3"/>
      <c r="W2557" s="3"/>
      <c r="X2557" s="3">
        <v>1.42</v>
      </c>
      <c r="AA2557" s="3">
        <v>1.42</v>
      </c>
      <c r="AC2557" s="3">
        <f>AA2557-X2557</f>
        <v>0</v>
      </c>
      <c r="AP2557" s="3">
        <v>8.4</v>
      </c>
      <c r="AS2557" s="3">
        <v>8.5</v>
      </c>
      <c r="AV2557" s="3">
        <v>10.3</v>
      </c>
      <c r="AY2557" s="3">
        <v>10.3</v>
      </c>
      <c r="BC2557" s="3">
        <v>10.41</v>
      </c>
      <c r="BD2557" s="3">
        <v>15.9</v>
      </c>
      <c r="BG2557" s="3">
        <v>15.9</v>
      </c>
      <c r="BH2557" s="3">
        <v>16.829999999999998</v>
      </c>
      <c r="BI2557" s="1" t="s">
        <v>852</v>
      </c>
    </row>
    <row r="2558" spans="1:61">
      <c r="B2558" s="1" t="s">
        <v>572</v>
      </c>
      <c r="C2558" s="1" t="s">
        <v>288</v>
      </c>
      <c r="D2558" s="2"/>
      <c r="E2558" s="2"/>
      <c r="F2558" s="8"/>
      <c r="G2558" s="8"/>
      <c r="H2558" s="8"/>
      <c r="I2558" s="8"/>
      <c r="AP2558" s="3">
        <v>8.4</v>
      </c>
      <c r="AS2558" s="3">
        <v>8.5</v>
      </c>
      <c r="AV2558" s="3">
        <v>10.3</v>
      </c>
      <c r="AY2558" s="3">
        <v>10.3</v>
      </c>
      <c r="BC2558" s="3">
        <v>10.41</v>
      </c>
      <c r="BD2558" s="3">
        <v>15.9</v>
      </c>
      <c r="BG2558" s="3">
        <v>15.9</v>
      </c>
      <c r="BH2558" s="3">
        <v>16.829999999999998</v>
      </c>
      <c r="BI2558" s="1" t="s">
        <v>852</v>
      </c>
    </row>
    <row r="2559" spans="1:61">
      <c r="A2559" s="6">
        <v>11</v>
      </c>
      <c r="B2559" s="1" t="s">
        <v>572</v>
      </c>
      <c r="C2559" s="1" t="s">
        <v>57</v>
      </c>
      <c r="D2559" s="2"/>
      <c r="E2559" s="2"/>
      <c r="F2559" s="8">
        <v>0</v>
      </c>
      <c r="G2559" s="8"/>
      <c r="H2559" s="8">
        <v>0</v>
      </c>
      <c r="I2559" s="8"/>
    </row>
    <row r="2560" spans="1:61">
      <c r="B2560" s="1" t="s">
        <v>572</v>
      </c>
      <c r="C2560" s="1" t="s">
        <v>287</v>
      </c>
      <c r="D2560" s="2"/>
      <c r="E2560" s="2"/>
      <c r="F2560" s="8"/>
      <c r="G2560" s="8"/>
      <c r="H2560" s="8"/>
      <c r="I2560" s="8"/>
      <c r="AV2560" s="3">
        <v>10.3</v>
      </c>
      <c r="BC2560" s="3">
        <v>10.41</v>
      </c>
      <c r="BD2560" s="3">
        <v>15.9</v>
      </c>
      <c r="BG2560" s="3">
        <v>15.9</v>
      </c>
      <c r="BH2560" s="3">
        <v>16.829999999999998</v>
      </c>
      <c r="BI2560" s="1" t="s">
        <v>852</v>
      </c>
    </row>
    <row r="2561" spans="1:61">
      <c r="A2561" s="6">
        <v>1</v>
      </c>
      <c r="B2561" s="103" t="s">
        <v>573</v>
      </c>
      <c r="C2561" s="1" t="s">
        <v>52</v>
      </c>
      <c r="D2561" s="2" t="s">
        <v>685</v>
      </c>
      <c r="E2561" s="2"/>
      <c r="F2561" s="9">
        <v>18.5</v>
      </c>
      <c r="H2561" s="9">
        <v>18.5</v>
      </c>
      <c r="M2561" s="3">
        <v>20</v>
      </c>
      <c r="O2561" s="3">
        <v>20</v>
      </c>
      <c r="Q2561" s="3">
        <f>O2561-H2561</f>
        <v>1.5</v>
      </c>
      <c r="R2561" s="3">
        <v>20</v>
      </c>
      <c r="T2561" s="2">
        <f>R2561-O2561</f>
        <v>0</v>
      </c>
      <c r="Y2561" s="1" t="s">
        <v>285</v>
      </c>
    </row>
    <row r="2562" spans="1:61">
      <c r="A2562" s="6">
        <v>3</v>
      </c>
      <c r="B2562" s="103" t="s">
        <v>573</v>
      </c>
      <c r="C2562" s="1" t="s">
        <v>54</v>
      </c>
      <c r="D2562" s="2" t="s">
        <v>685</v>
      </c>
      <c r="E2562" s="2"/>
      <c r="F2562" s="9" t="s">
        <v>685</v>
      </c>
      <c r="H2562" s="9" t="s">
        <v>685</v>
      </c>
      <c r="M2562" s="9" t="s">
        <v>685</v>
      </c>
      <c r="N2562" s="9"/>
      <c r="O2562" s="9" t="s">
        <v>685</v>
      </c>
      <c r="R2562" s="2" t="s">
        <v>685</v>
      </c>
      <c r="Y2562" s="1" t="s">
        <v>285</v>
      </c>
    </row>
    <row r="2563" spans="1:61">
      <c r="A2563" s="6">
        <v>4</v>
      </c>
      <c r="B2563" s="103" t="s">
        <v>573</v>
      </c>
      <c r="C2563" s="1" t="s">
        <v>55</v>
      </c>
      <c r="D2563" s="2" t="s">
        <v>685</v>
      </c>
      <c r="E2563" s="2"/>
      <c r="F2563" s="9" t="s">
        <v>685</v>
      </c>
      <c r="H2563" s="9" t="s">
        <v>685</v>
      </c>
      <c r="M2563" s="9" t="s">
        <v>685</v>
      </c>
      <c r="N2563" s="9"/>
      <c r="O2563" s="9" t="s">
        <v>685</v>
      </c>
      <c r="R2563" s="2" t="s">
        <v>685</v>
      </c>
      <c r="Y2563" s="1" t="s">
        <v>285</v>
      </c>
    </row>
    <row r="2564" spans="1:61">
      <c r="A2564" s="6">
        <v>5</v>
      </c>
      <c r="B2564" s="103" t="s">
        <v>573</v>
      </c>
      <c r="C2564" s="1" t="s">
        <v>56</v>
      </c>
      <c r="D2564" s="2" t="s">
        <v>685</v>
      </c>
      <c r="E2564" s="2"/>
      <c r="F2564" s="9" t="s">
        <v>685</v>
      </c>
      <c r="H2564" s="9" t="s">
        <v>685</v>
      </c>
      <c r="M2564" s="9" t="s">
        <v>685</v>
      </c>
      <c r="N2564" s="9"/>
      <c r="O2564" s="9" t="s">
        <v>685</v>
      </c>
      <c r="R2564" s="2" t="s">
        <v>685</v>
      </c>
      <c r="Y2564" s="1" t="s">
        <v>285</v>
      </c>
    </row>
    <row r="2565" spans="1:61">
      <c r="A2565" s="6">
        <v>2</v>
      </c>
      <c r="B2565" s="103" t="s">
        <v>573</v>
      </c>
      <c r="C2565" s="1" t="s">
        <v>53</v>
      </c>
      <c r="D2565" s="2">
        <v>23.5</v>
      </c>
      <c r="E2565" s="2"/>
      <c r="F2565" s="9">
        <v>20.6</v>
      </c>
      <c r="H2565" s="9">
        <v>20.6</v>
      </c>
      <c r="I2565" s="10">
        <f>H2565-D2565</f>
        <v>-2.8999999999999986</v>
      </c>
      <c r="M2565" s="3">
        <v>20</v>
      </c>
      <c r="O2565" s="3">
        <v>20</v>
      </c>
      <c r="Q2565" s="3">
        <f>O2565-H2565</f>
        <v>-0.60000000000000142</v>
      </c>
      <c r="R2565" s="3">
        <v>20</v>
      </c>
      <c r="T2565" s="3">
        <f>R2565-O2565</f>
        <v>0</v>
      </c>
      <c r="U2565" s="3">
        <v>21</v>
      </c>
      <c r="W2565" s="3">
        <f>U2565-R2565</f>
        <v>1</v>
      </c>
      <c r="Y2565" s="1" t="s">
        <v>285</v>
      </c>
    </row>
    <row r="2566" spans="1:61">
      <c r="B2566" s="103" t="s">
        <v>573</v>
      </c>
      <c r="C2566" s="1" t="s">
        <v>158</v>
      </c>
      <c r="AS2566" s="3">
        <v>45</v>
      </c>
      <c r="AV2566" s="3">
        <v>45</v>
      </c>
    </row>
    <row r="2567" spans="1:61">
      <c r="B2567" s="103" t="s">
        <v>573</v>
      </c>
      <c r="C2567" s="1" t="s">
        <v>595</v>
      </c>
      <c r="AA2567" s="3">
        <v>25</v>
      </c>
      <c r="AD2567" s="24">
        <v>35</v>
      </c>
      <c r="AF2567" s="24">
        <f>AD2567-AA2567</f>
        <v>10</v>
      </c>
      <c r="AG2567" s="3">
        <v>15</v>
      </c>
      <c r="AI2567" s="3">
        <f>AG2567-AD2567</f>
        <v>-20</v>
      </c>
      <c r="AJ2567" s="3">
        <v>4.41</v>
      </c>
      <c r="AL2567" s="3">
        <f>AJ2567-AG2567</f>
        <v>-10.59</v>
      </c>
    </row>
    <row r="2568" spans="1:61">
      <c r="B2568" s="103" t="s">
        <v>573</v>
      </c>
      <c r="C2568" s="1" t="s">
        <v>700</v>
      </c>
      <c r="AA2568" s="3">
        <v>32</v>
      </c>
      <c r="AG2568" s="3">
        <v>5</v>
      </c>
    </row>
    <row r="2569" spans="1:61">
      <c r="A2569" s="6">
        <v>12</v>
      </c>
      <c r="B2569" s="103" t="s">
        <v>573</v>
      </c>
      <c r="C2569" s="1" t="s">
        <v>594</v>
      </c>
      <c r="D2569" s="2">
        <v>14.7</v>
      </c>
      <c r="E2569" s="2"/>
      <c r="F2569" s="9">
        <v>15.8</v>
      </c>
      <c r="H2569" s="9">
        <v>15.8</v>
      </c>
      <c r="I2569" s="8">
        <f>H2569-D2569</f>
        <v>1.1000000000000014</v>
      </c>
      <c r="M2569" s="3">
        <v>8</v>
      </c>
      <c r="O2569" s="3">
        <v>8</v>
      </c>
      <c r="Q2569" s="3">
        <f>O2569-H2569</f>
        <v>-7.8000000000000007</v>
      </c>
      <c r="R2569" s="3">
        <v>18</v>
      </c>
      <c r="T2569" s="3">
        <f>R2569-O2569</f>
        <v>10</v>
      </c>
      <c r="U2569" s="3">
        <v>13</v>
      </c>
      <c r="W2569" s="3">
        <f>U2569-R2569</f>
        <v>-5</v>
      </c>
      <c r="Y2569" s="1" t="s">
        <v>285</v>
      </c>
      <c r="AA2569" s="3">
        <v>21</v>
      </c>
      <c r="AD2569" s="24">
        <v>36</v>
      </c>
      <c r="AF2569" s="24">
        <f>AD2569-AA2569</f>
        <v>15</v>
      </c>
      <c r="AG2569" s="3">
        <v>8</v>
      </c>
      <c r="AI2569" s="3">
        <f>AG2569-AD2569</f>
        <v>-28</v>
      </c>
      <c r="AJ2569" s="3">
        <v>5.88</v>
      </c>
      <c r="AL2569" s="3">
        <f>AJ2569-AG2569</f>
        <v>-2.12</v>
      </c>
      <c r="AM2569" s="3">
        <v>5.14</v>
      </c>
      <c r="AO2569" s="3">
        <f>AM2569-AJ2569</f>
        <v>-0.74000000000000021</v>
      </c>
      <c r="AP2569" s="3">
        <v>5</v>
      </c>
      <c r="AS2569" s="3">
        <v>8</v>
      </c>
      <c r="AV2569" s="3">
        <v>7.5</v>
      </c>
      <c r="AY2569" s="3">
        <v>7.5</v>
      </c>
      <c r="AZ2569" s="3">
        <v>6</v>
      </c>
      <c r="BA2569" s="1" t="s">
        <v>862</v>
      </c>
      <c r="BD2569" s="3">
        <v>5.5</v>
      </c>
      <c r="BE2569" s="1" t="s">
        <v>862</v>
      </c>
      <c r="BG2569" s="3">
        <v>5.5</v>
      </c>
      <c r="BH2569" s="3">
        <v>6.5</v>
      </c>
      <c r="BI2569" s="1" t="s">
        <v>862</v>
      </c>
    </row>
    <row r="2570" spans="1:61">
      <c r="B2570" s="103" t="s">
        <v>573</v>
      </c>
      <c r="C2570" s="1" t="s">
        <v>372</v>
      </c>
      <c r="BD2570" s="3">
        <v>7.85</v>
      </c>
      <c r="BE2570" s="1" t="s">
        <v>862</v>
      </c>
      <c r="BG2570" s="3">
        <v>7.85</v>
      </c>
      <c r="BH2570" s="3">
        <v>7.5</v>
      </c>
      <c r="BI2570" s="1" t="s">
        <v>862</v>
      </c>
    </row>
    <row r="2571" spans="1:61">
      <c r="A2571" s="6">
        <v>14</v>
      </c>
      <c r="B2571" s="103" t="s">
        <v>573</v>
      </c>
      <c r="C2571" s="1" t="s">
        <v>58</v>
      </c>
      <c r="D2571" s="2">
        <v>25.74</v>
      </c>
      <c r="E2571" s="2"/>
      <c r="F2571" s="9">
        <v>22.9</v>
      </c>
      <c r="H2571" s="9">
        <v>22.9</v>
      </c>
      <c r="I2571" s="8">
        <f>H2571-D2571</f>
        <v>-2.84</v>
      </c>
      <c r="M2571" s="3">
        <v>22</v>
      </c>
      <c r="O2571" s="3">
        <v>22</v>
      </c>
      <c r="Q2571" s="3">
        <f>O2571-H2571</f>
        <v>-0.89999999999999858</v>
      </c>
      <c r="R2571" s="3">
        <v>15</v>
      </c>
      <c r="T2571" s="3">
        <f>R2571-O2571</f>
        <v>-7</v>
      </c>
      <c r="U2571" s="3">
        <v>13</v>
      </c>
      <c r="W2571" s="3">
        <f>U2571-R2571</f>
        <v>-2</v>
      </c>
      <c r="Y2571" s="1" t="s">
        <v>285</v>
      </c>
      <c r="AA2571" s="3">
        <v>18</v>
      </c>
      <c r="AD2571" s="24">
        <v>22</v>
      </c>
      <c r="AF2571" s="24">
        <f>AD2571-AA2571</f>
        <v>4</v>
      </c>
      <c r="AG2571" s="3">
        <v>15</v>
      </c>
      <c r="AI2571" s="3">
        <f>AG2571-AD2571</f>
        <v>-7</v>
      </c>
      <c r="AJ2571" s="3">
        <v>9.6</v>
      </c>
      <c r="AL2571" s="3">
        <f>AJ2571-AG2571</f>
        <v>-5.4</v>
      </c>
      <c r="AM2571" s="3">
        <v>8.82</v>
      </c>
      <c r="AO2571" s="3">
        <f>AM2571-AJ2571</f>
        <v>-0.77999999999999936</v>
      </c>
      <c r="AP2571" s="3">
        <v>8.5</v>
      </c>
      <c r="AS2571" s="3">
        <v>12</v>
      </c>
      <c r="AV2571" s="3">
        <v>13</v>
      </c>
      <c r="AY2571" s="3">
        <v>13</v>
      </c>
      <c r="AZ2571" s="3">
        <v>9.5</v>
      </c>
      <c r="BA2571" s="1" t="s">
        <v>862</v>
      </c>
      <c r="BD2571" s="3">
        <v>6.23</v>
      </c>
      <c r="BE2571" s="1" t="s">
        <v>862</v>
      </c>
      <c r="BG2571" s="3">
        <v>6.23</v>
      </c>
      <c r="BH2571" s="3">
        <v>6</v>
      </c>
      <c r="BI2571" s="1" t="s">
        <v>862</v>
      </c>
    </row>
    <row r="2572" spans="1:61">
      <c r="B2572" s="103" t="s">
        <v>573</v>
      </c>
      <c r="C2572" s="1" t="s">
        <v>607</v>
      </c>
      <c r="D2572" s="2"/>
      <c r="E2572" s="2"/>
      <c r="I2572" s="8"/>
      <c r="Q2572" s="3"/>
      <c r="T2572" s="3"/>
      <c r="W2572" s="3"/>
      <c r="AF2572" s="24"/>
      <c r="AI2572" s="3"/>
      <c r="AL2572" s="3"/>
      <c r="AO2572" s="3"/>
      <c r="AS2572" s="3">
        <v>38</v>
      </c>
      <c r="AV2572" s="3">
        <v>35</v>
      </c>
      <c r="AY2572" s="3">
        <v>35</v>
      </c>
      <c r="AZ2572" s="3">
        <v>23</v>
      </c>
      <c r="BA2572" s="1" t="s">
        <v>909</v>
      </c>
      <c r="BD2572" s="3">
        <v>18.5</v>
      </c>
      <c r="BG2572" s="3">
        <v>18.5</v>
      </c>
      <c r="BH2572" s="3">
        <v>20</v>
      </c>
      <c r="BI2572" s="1" t="s">
        <v>862</v>
      </c>
    </row>
    <row r="2573" spans="1:61">
      <c r="B2573" s="103" t="s">
        <v>573</v>
      </c>
      <c r="C2573" s="1" t="s">
        <v>857</v>
      </c>
      <c r="AZ2573" s="3">
        <v>12</v>
      </c>
      <c r="BA2573" s="1" t="s">
        <v>862</v>
      </c>
      <c r="BD2573" s="3">
        <v>7.6</v>
      </c>
      <c r="BE2573" s="1" t="s">
        <v>862</v>
      </c>
      <c r="BG2573" s="3">
        <v>7.5</v>
      </c>
      <c r="BH2573" s="3">
        <v>7.5</v>
      </c>
      <c r="BI2573" s="1" t="s">
        <v>862</v>
      </c>
    </row>
    <row r="2574" spans="1:61">
      <c r="B2574" s="103" t="s">
        <v>573</v>
      </c>
      <c r="C2574" s="1" t="s">
        <v>289</v>
      </c>
      <c r="AA2574" s="3">
        <v>30</v>
      </c>
      <c r="AD2574" s="24">
        <v>105</v>
      </c>
      <c r="AF2574" s="24">
        <f>AD2574-AA2574</f>
        <v>75</v>
      </c>
      <c r="AG2574" s="3">
        <v>80</v>
      </c>
      <c r="AI2574" s="3">
        <f>AG2574-AD2574</f>
        <v>-25</v>
      </c>
      <c r="AJ2574" s="3">
        <v>35.700000000000003</v>
      </c>
      <c r="AL2574" s="3">
        <f>AJ2574-AG2574</f>
        <v>-44.3</v>
      </c>
      <c r="AM2574" s="3">
        <v>10.9</v>
      </c>
      <c r="AO2574" s="3">
        <f>AM2574-AJ2574</f>
        <v>-24.800000000000004</v>
      </c>
      <c r="AP2574" s="3">
        <v>3</v>
      </c>
      <c r="AS2574" s="3">
        <v>6</v>
      </c>
      <c r="AV2574" s="3">
        <v>6</v>
      </c>
      <c r="AY2574" s="3">
        <v>6</v>
      </c>
      <c r="AZ2574" s="3">
        <v>6</v>
      </c>
      <c r="BA2574" s="1" t="s">
        <v>862</v>
      </c>
      <c r="BD2574" s="3">
        <v>5.8</v>
      </c>
      <c r="BG2574" s="3">
        <v>5.8</v>
      </c>
      <c r="BH2574" s="3">
        <v>5.5</v>
      </c>
      <c r="BI2574" s="1" t="s">
        <v>862</v>
      </c>
    </row>
    <row r="2575" spans="1:61">
      <c r="B2575" s="103" t="s">
        <v>573</v>
      </c>
      <c r="C2575" s="1" t="s">
        <v>160</v>
      </c>
      <c r="AV2575" s="3">
        <v>30</v>
      </c>
      <c r="BD2575" s="1"/>
    </row>
    <row r="2576" spans="1:61">
      <c r="B2576" s="103" t="s">
        <v>573</v>
      </c>
      <c r="C2576" s="1" t="s">
        <v>238</v>
      </c>
      <c r="AV2576" s="3">
        <v>20</v>
      </c>
    </row>
    <row r="2577" spans="1:61" ht="9.6" customHeight="1">
      <c r="B2577" s="103" t="s">
        <v>573</v>
      </c>
      <c r="C2577" s="1" t="s">
        <v>290</v>
      </c>
      <c r="AA2577" s="3">
        <v>35</v>
      </c>
      <c r="AD2577" s="24">
        <v>120</v>
      </c>
      <c r="AF2577" s="24">
        <f>AD2577-AA2577</f>
        <v>85</v>
      </c>
      <c r="AG2577" s="3">
        <v>95</v>
      </c>
      <c r="AI2577" s="3">
        <f>AG2577-AD2577</f>
        <v>-25</v>
      </c>
      <c r="AJ2577" s="3">
        <v>139.5</v>
      </c>
      <c r="AL2577" s="3">
        <f>AJ2577-AG2577</f>
        <v>44.5</v>
      </c>
      <c r="AM2577" s="3">
        <v>13.65</v>
      </c>
      <c r="AO2577" s="3">
        <f>AM2577-AJ2577</f>
        <v>-125.85</v>
      </c>
      <c r="AP2577" s="3">
        <v>4</v>
      </c>
      <c r="AS2577" s="3">
        <v>8</v>
      </c>
      <c r="AV2577" s="3">
        <v>7</v>
      </c>
      <c r="AY2577" s="3">
        <v>7</v>
      </c>
      <c r="AZ2577" s="3">
        <v>7</v>
      </c>
      <c r="BA2577" s="1" t="s">
        <v>862</v>
      </c>
      <c r="BD2577" s="3">
        <v>7</v>
      </c>
      <c r="BG2577" s="3">
        <v>7</v>
      </c>
      <c r="BH2577" s="3">
        <v>7</v>
      </c>
      <c r="BI2577" s="1" t="s">
        <v>862</v>
      </c>
    </row>
    <row r="2578" spans="1:61">
      <c r="B2578" s="103" t="s">
        <v>573</v>
      </c>
      <c r="C2578" s="1" t="s">
        <v>64</v>
      </c>
      <c r="U2578" s="3">
        <v>13</v>
      </c>
      <c r="Y2578" s="1" t="s">
        <v>285</v>
      </c>
      <c r="AA2578" s="3">
        <v>26</v>
      </c>
      <c r="AD2578" s="24">
        <v>26</v>
      </c>
      <c r="AF2578" s="24">
        <f>AD2578-AA2578</f>
        <v>0</v>
      </c>
      <c r="AG2578" s="3">
        <v>18</v>
      </c>
      <c r="AI2578" s="3">
        <f>AG2578-AD2578</f>
        <v>-8</v>
      </c>
      <c r="AJ2578" s="3">
        <v>18.5</v>
      </c>
      <c r="AL2578" s="3">
        <f>AJ2578-AG2578</f>
        <v>0.5</v>
      </c>
      <c r="AM2578" s="3">
        <v>10.35</v>
      </c>
      <c r="AO2578" s="3">
        <f>AM2578-AJ2578</f>
        <v>-8.15</v>
      </c>
      <c r="AP2578" s="3">
        <v>9</v>
      </c>
      <c r="AS2578" s="3">
        <v>18</v>
      </c>
      <c r="AV2578" s="3">
        <v>18</v>
      </c>
      <c r="AY2578" s="3">
        <v>18</v>
      </c>
      <c r="AZ2578" s="3">
        <v>8</v>
      </c>
      <c r="BA2578" s="1" t="s">
        <v>909</v>
      </c>
      <c r="BD2578" s="3">
        <v>6.5</v>
      </c>
      <c r="BG2578" s="3">
        <v>6.5</v>
      </c>
      <c r="BH2578" s="3">
        <v>6.5</v>
      </c>
      <c r="BI2578" s="1" t="s">
        <v>862</v>
      </c>
    </row>
    <row r="2579" spans="1:61">
      <c r="B2579" s="103" t="s">
        <v>573</v>
      </c>
      <c r="C2579" s="1" t="s">
        <v>286</v>
      </c>
      <c r="U2579" s="3">
        <v>15</v>
      </c>
      <c r="Y2579" s="1" t="s">
        <v>285</v>
      </c>
      <c r="AA2579" s="3">
        <v>22</v>
      </c>
      <c r="AD2579" s="24">
        <v>28</v>
      </c>
      <c r="AF2579" s="24">
        <f>AD2579-AA2579</f>
        <v>6</v>
      </c>
      <c r="AG2579" s="3">
        <v>25</v>
      </c>
      <c r="AI2579" s="3">
        <f>AG2579-AD2579</f>
        <v>-3</v>
      </c>
      <c r="AJ2579" s="3">
        <v>11.5</v>
      </c>
      <c r="AL2579" s="3">
        <f>AJ2579-AG2579</f>
        <v>-13.5</v>
      </c>
      <c r="AM2579" s="3">
        <v>9.5</v>
      </c>
      <c r="AO2579" s="3">
        <f>AM2579-AJ2579</f>
        <v>-2</v>
      </c>
      <c r="AP2579" s="3">
        <v>9</v>
      </c>
      <c r="AS2579" s="3">
        <v>16</v>
      </c>
      <c r="AV2579" s="3">
        <v>16</v>
      </c>
      <c r="AY2579" s="3">
        <v>16</v>
      </c>
      <c r="AZ2579" s="3">
        <v>7</v>
      </c>
      <c r="BA2579" s="1" t="s">
        <v>909</v>
      </c>
      <c r="BD2579" s="3">
        <v>6.5</v>
      </c>
      <c r="BG2579" s="3">
        <v>6.5</v>
      </c>
      <c r="BH2579" s="3">
        <v>6.5</v>
      </c>
      <c r="BI2579" s="1" t="s">
        <v>862</v>
      </c>
    </row>
    <row r="2580" spans="1:61">
      <c r="B2580" s="103" t="s">
        <v>573</v>
      </c>
      <c r="C2580" s="1" t="s">
        <v>288</v>
      </c>
      <c r="U2580" s="3">
        <v>15</v>
      </c>
      <c r="Y2580" s="1" t="s">
        <v>285</v>
      </c>
      <c r="AA2580" s="3">
        <v>25</v>
      </c>
      <c r="AD2580" s="24">
        <v>28</v>
      </c>
      <c r="AF2580" s="24">
        <f>AD2580-AA2580</f>
        <v>3</v>
      </c>
      <c r="AG2580" s="3">
        <v>25</v>
      </c>
      <c r="AI2580" s="3">
        <f>AG2580-AD2580</f>
        <v>-3</v>
      </c>
      <c r="AJ2580" s="3">
        <v>11.5</v>
      </c>
      <c r="AL2580" s="3">
        <f>AJ2580-AG2580</f>
        <v>-13.5</v>
      </c>
      <c r="AM2580" s="3">
        <v>9.5</v>
      </c>
      <c r="AO2580" s="3">
        <f>AM2580-AJ2580</f>
        <v>-2</v>
      </c>
      <c r="AP2580" s="3">
        <v>8.5</v>
      </c>
      <c r="AS2580" s="3">
        <v>14</v>
      </c>
      <c r="AV2580" s="3">
        <v>14</v>
      </c>
      <c r="AY2580" s="3">
        <v>14</v>
      </c>
      <c r="AZ2580" s="3">
        <v>7</v>
      </c>
      <c r="BD2580" s="3">
        <v>6.5</v>
      </c>
      <c r="BG2580" s="3">
        <v>6.5</v>
      </c>
      <c r="BH2580" s="3">
        <v>6.5</v>
      </c>
      <c r="BI2580" s="1" t="s">
        <v>862</v>
      </c>
    </row>
    <row r="2581" spans="1:61">
      <c r="A2581" s="6">
        <v>11</v>
      </c>
      <c r="B2581" s="103" t="s">
        <v>573</v>
      </c>
      <c r="C2581" s="1" t="s">
        <v>57</v>
      </c>
      <c r="D2581" s="2">
        <v>14.7</v>
      </c>
      <c r="E2581" s="2"/>
      <c r="F2581" s="9">
        <v>20.2</v>
      </c>
      <c r="H2581" s="9">
        <v>20.2</v>
      </c>
      <c r="I2581" s="8">
        <f>H2581-D2581</f>
        <v>5.5</v>
      </c>
      <c r="M2581" s="3">
        <v>22</v>
      </c>
      <c r="O2581" s="3">
        <v>22</v>
      </c>
      <c r="Q2581" s="3">
        <f>O2581-H2581</f>
        <v>1.8000000000000007</v>
      </c>
      <c r="R2581" s="2" t="s">
        <v>685</v>
      </c>
      <c r="Y2581" s="1" t="s">
        <v>285</v>
      </c>
    </row>
    <row r="2582" spans="1:61" ht="9.6" customHeight="1">
      <c r="B2582" s="103" t="s">
        <v>573</v>
      </c>
      <c r="C2582" s="1" t="s">
        <v>287</v>
      </c>
      <c r="AP2582" s="3">
        <v>10</v>
      </c>
      <c r="AS2582" s="3">
        <v>15</v>
      </c>
      <c r="AV2582" s="3">
        <v>15</v>
      </c>
      <c r="AY2582" s="3">
        <v>10</v>
      </c>
      <c r="AZ2582" s="3">
        <v>8.5</v>
      </c>
      <c r="BA2582" s="1" t="s">
        <v>862</v>
      </c>
      <c r="BD2582" s="3">
        <v>6</v>
      </c>
      <c r="BG2582" s="3">
        <v>6</v>
      </c>
      <c r="BH2582" s="3">
        <v>6</v>
      </c>
      <c r="BI2582" s="1" t="s">
        <v>862</v>
      </c>
    </row>
    <row r="2583" spans="1:61">
      <c r="B2583" s="103" t="s">
        <v>573</v>
      </c>
      <c r="C2583" s="1" t="s">
        <v>872</v>
      </c>
      <c r="AY2583" s="3">
        <v>11</v>
      </c>
      <c r="AZ2583" s="3">
        <v>8.5</v>
      </c>
      <c r="BA2583" s="1" t="s">
        <v>862</v>
      </c>
    </row>
  </sheetData>
  <sortState xmlns:xlrd2="http://schemas.microsoft.com/office/spreadsheetml/2017/richdata2" ref="A2:BJ2583">
    <sortCondition ref="B2:B2583"/>
    <sortCondition ref="C2:C2583"/>
  </sortState>
  <phoneticPr fontId="6" type="noConversion"/>
  <printOptions gridLines="1"/>
  <pageMargins left="0.55118110236220474" right="0.27559055118110237" top="0.82677165354330717" bottom="0.70866141732283472" header="0.51181102362204722" footer="0.2755905511811023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AD950"/>
  <sheetViews>
    <sheetView zoomScaleNormal="100" workbookViewId="0">
      <pane ySplit="468" topLeftCell="A113"/>
      <selection activeCell="T131" sqref="T131"/>
      <selection pane="bottomLeft" activeCell="A127" sqref="A127:XFD127"/>
    </sheetView>
  </sheetViews>
  <sheetFormatPr defaultColWidth="13.109375" defaultRowHeight="12"/>
  <cols>
    <col min="1" max="1" width="37.33203125" style="92" customWidth="1"/>
    <col min="2" max="2" width="13.109375" style="86" customWidth="1"/>
    <col min="3" max="11" width="10.44140625" style="102" customWidth="1"/>
    <col min="12" max="18" width="10.109375" style="102" customWidth="1"/>
    <col min="19" max="30" width="8.21875" style="102" customWidth="1"/>
    <col min="31" max="16384" width="13.109375" style="86"/>
  </cols>
  <sheetData>
    <row r="1" spans="1:30" s="81" customFormat="1" ht="11.4">
      <c r="A1" s="79" t="s">
        <v>757</v>
      </c>
      <c r="B1" s="80" t="s">
        <v>761</v>
      </c>
      <c r="C1" s="80">
        <v>1995</v>
      </c>
      <c r="D1" s="80">
        <v>1996</v>
      </c>
      <c r="E1" s="80">
        <v>1997</v>
      </c>
      <c r="F1" s="80">
        <v>1998</v>
      </c>
      <c r="G1" s="80">
        <v>1999</v>
      </c>
      <c r="H1" s="80">
        <v>2000</v>
      </c>
      <c r="I1" s="80">
        <v>2001</v>
      </c>
      <c r="J1" s="80">
        <v>2002</v>
      </c>
      <c r="K1" s="80">
        <v>2003</v>
      </c>
      <c r="L1" s="80">
        <v>2004</v>
      </c>
      <c r="M1" s="80">
        <v>2005</v>
      </c>
      <c r="N1" s="80">
        <v>2006</v>
      </c>
      <c r="O1" s="80">
        <v>2007</v>
      </c>
      <c r="P1" s="80">
        <v>2008</v>
      </c>
      <c r="Q1" s="80">
        <v>2009</v>
      </c>
      <c r="R1" s="80">
        <v>2010</v>
      </c>
      <c r="S1" s="80">
        <v>2011</v>
      </c>
      <c r="T1" s="80">
        <v>2012</v>
      </c>
      <c r="U1" s="80">
        <v>2013</v>
      </c>
      <c r="V1" s="80">
        <v>2014</v>
      </c>
      <c r="W1" s="80">
        <v>2015</v>
      </c>
      <c r="X1" s="80">
        <v>2016</v>
      </c>
      <c r="Y1" s="80">
        <v>2017</v>
      </c>
      <c r="Z1" s="80">
        <v>2018</v>
      </c>
      <c r="AA1" s="80">
        <v>2019</v>
      </c>
      <c r="AB1" s="80">
        <v>2020</v>
      </c>
      <c r="AC1" s="80">
        <v>2021</v>
      </c>
      <c r="AD1" s="80">
        <v>2022</v>
      </c>
    </row>
    <row r="2" spans="1:30">
      <c r="A2" s="82" t="s">
        <v>510</v>
      </c>
      <c r="B2" s="83" t="s">
        <v>597</v>
      </c>
      <c r="C2" s="84"/>
      <c r="D2" s="84"/>
      <c r="E2" s="84"/>
      <c r="F2" s="84"/>
      <c r="G2" s="84"/>
      <c r="H2" s="84"/>
      <c r="I2" s="84"/>
      <c r="J2" s="84"/>
      <c r="K2" s="84"/>
      <c r="L2" s="85"/>
      <c r="M2" s="85"/>
      <c r="N2" s="85">
        <v>0</v>
      </c>
      <c r="O2" s="85">
        <v>0</v>
      </c>
      <c r="P2" s="85">
        <v>0</v>
      </c>
      <c r="Q2" s="85">
        <v>0</v>
      </c>
      <c r="R2" s="85">
        <v>0</v>
      </c>
      <c r="S2" s="85">
        <v>0</v>
      </c>
      <c r="T2" s="85">
        <v>0</v>
      </c>
      <c r="U2" s="85">
        <v>0</v>
      </c>
      <c r="V2" s="85">
        <v>0</v>
      </c>
      <c r="W2" s="85">
        <v>0</v>
      </c>
      <c r="X2" s="85">
        <v>0</v>
      </c>
      <c r="Y2" s="85">
        <v>0</v>
      </c>
      <c r="Z2" s="85">
        <v>0</v>
      </c>
      <c r="AA2" s="85">
        <v>0</v>
      </c>
      <c r="AB2" s="85">
        <v>0</v>
      </c>
      <c r="AC2" s="85">
        <v>0</v>
      </c>
      <c r="AD2" s="85"/>
    </row>
    <row r="3" spans="1:30">
      <c r="A3" s="82" t="s">
        <v>510</v>
      </c>
      <c r="B3" s="83" t="s">
        <v>600</v>
      </c>
      <c r="C3" s="84"/>
      <c r="D3" s="84"/>
      <c r="E3" s="84"/>
      <c r="F3" s="84"/>
      <c r="G3" s="84"/>
      <c r="H3" s="84"/>
      <c r="I3" s="84"/>
      <c r="J3" s="84"/>
      <c r="K3" s="84"/>
      <c r="L3" s="85"/>
      <c r="M3" s="85"/>
      <c r="N3" s="85">
        <v>0</v>
      </c>
      <c r="O3" s="85">
        <v>0</v>
      </c>
      <c r="P3" s="85">
        <v>0</v>
      </c>
      <c r="Q3" s="85">
        <v>0</v>
      </c>
      <c r="R3" s="85">
        <v>0</v>
      </c>
      <c r="S3" s="85">
        <v>0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0</v>
      </c>
      <c r="AD3" s="85"/>
    </row>
    <row r="4" spans="1:30">
      <c r="A4" s="82" t="s">
        <v>510</v>
      </c>
      <c r="B4" s="83" t="s">
        <v>595</v>
      </c>
      <c r="C4" s="84"/>
      <c r="D4" s="84"/>
      <c r="E4" s="84"/>
      <c r="F4" s="84"/>
      <c r="G4" s="84"/>
      <c r="H4" s="84"/>
      <c r="I4" s="84"/>
      <c r="J4" s="84"/>
      <c r="K4" s="84"/>
      <c r="L4" s="85"/>
      <c r="M4" s="85"/>
      <c r="N4" s="85">
        <v>0</v>
      </c>
      <c r="O4" s="85">
        <v>0</v>
      </c>
      <c r="P4" s="85">
        <v>0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0</v>
      </c>
      <c r="W4" s="85">
        <v>0</v>
      </c>
      <c r="X4" s="85">
        <v>0</v>
      </c>
      <c r="Y4" s="85">
        <v>0</v>
      </c>
      <c r="Z4" s="85">
        <v>0</v>
      </c>
      <c r="AA4" s="85">
        <v>0</v>
      </c>
      <c r="AB4" s="85">
        <v>0</v>
      </c>
      <c r="AC4" s="85">
        <v>0</v>
      </c>
      <c r="AD4" s="85"/>
    </row>
    <row r="5" spans="1:30">
      <c r="A5" s="82" t="s">
        <v>510</v>
      </c>
      <c r="B5" s="83" t="s">
        <v>596</v>
      </c>
      <c r="C5" s="84"/>
      <c r="D5" s="84"/>
      <c r="E5" s="84"/>
      <c r="F5" s="84"/>
      <c r="G5" s="84"/>
      <c r="H5" s="84"/>
      <c r="I5" s="84"/>
      <c r="J5" s="84"/>
      <c r="K5" s="84"/>
      <c r="L5" s="85"/>
      <c r="M5" s="85"/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0</v>
      </c>
      <c r="AD5" s="85"/>
    </row>
    <row r="6" spans="1:30">
      <c r="A6" s="82" t="s">
        <v>510</v>
      </c>
      <c r="B6" s="83" t="s">
        <v>594</v>
      </c>
      <c r="C6" s="84"/>
      <c r="D6" s="84"/>
      <c r="E6" s="84"/>
      <c r="F6" s="84"/>
      <c r="G6" s="84"/>
      <c r="H6" s="84"/>
      <c r="I6" s="84"/>
      <c r="J6" s="84"/>
      <c r="K6" s="84"/>
      <c r="L6" s="85"/>
      <c r="M6" s="85"/>
      <c r="N6" s="85">
        <f>87.5*0.055</f>
        <v>4.8125</v>
      </c>
      <c r="O6" s="85">
        <f>110*0.055</f>
        <v>6.05</v>
      </c>
      <c r="P6" s="85">
        <f>143*0.055</f>
        <v>7.8650000000000002</v>
      </c>
      <c r="Q6" s="85">
        <f>403.5*0.055</f>
        <v>22.192499999999999</v>
      </c>
      <c r="R6" s="85">
        <f>440*0.055</f>
        <v>24.2</v>
      </c>
      <c r="S6" s="85">
        <f>437.06*0.055</f>
        <v>24.0383</v>
      </c>
      <c r="T6" s="85">
        <f>315.22*0.055</f>
        <v>17.337100000000003</v>
      </c>
      <c r="U6" s="85">
        <f>321.8*0.055</f>
        <v>17.699000000000002</v>
      </c>
      <c r="V6" s="85">
        <f>372*0.055</f>
        <v>20.46</v>
      </c>
      <c r="W6" s="85">
        <f>368*0.055</f>
        <v>20.239999999999998</v>
      </c>
      <c r="X6" s="85">
        <f>364*0.055</f>
        <v>20.02</v>
      </c>
      <c r="Y6" s="85">
        <f>337*0.055</f>
        <v>18.535</v>
      </c>
      <c r="Z6" s="85">
        <f>328*0.055</f>
        <v>18.04</v>
      </c>
      <c r="AA6" s="85">
        <f>323*0.055</f>
        <v>17.765000000000001</v>
      </c>
      <c r="AB6" s="85">
        <f>110*0.055</f>
        <v>6.05</v>
      </c>
      <c r="AC6" s="85">
        <f>60*0.055</f>
        <v>3.3</v>
      </c>
      <c r="AD6" s="85"/>
    </row>
    <row r="7" spans="1:30">
      <c r="A7" s="82" t="s">
        <v>510</v>
      </c>
      <c r="B7" s="87" t="s">
        <v>643</v>
      </c>
      <c r="C7" s="84"/>
      <c r="D7" s="84"/>
      <c r="E7" s="84"/>
      <c r="F7" s="84"/>
      <c r="G7" s="84"/>
      <c r="H7" s="84"/>
      <c r="I7" s="84"/>
      <c r="J7" s="84"/>
      <c r="K7" s="84"/>
      <c r="L7" s="85"/>
      <c r="M7" s="85"/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/>
    </row>
    <row r="8" spans="1:30">
      <c r="A8" s="82" t="s">
        <v>738</v>
      </c>
      <c r="B8" s="83" t="s">
        <v>597</v>
      </c>
      <c r="C8" s="84" t="s">
        <v>680</v>
      </c>
      <c r="D8" s="84" t="s">
        <v>680</v>
      </c>
      <c r="E8" s="84" t="s">
        <v>680</v>
      </c>
      <c r="F8" s="84" t="s">
        <v>680</v>
      </c>
      <c r="G8" s="84" t="s">
        <v>680</v>
      </c>
      <c r="H8" s="84" t="s">
        <v>680</v>
      </c>
      <c r="I8" s="84" t="s">
        <v>680</v>
      </c>
      <c r="J8" s="84" t="s">
        <v>680</v>
      </c>
      <c r="K8" s="84" t="s">
        <v>680</v>
      </c>
      <c r="L8" s="85">
        <v>0</v>
      </c>
      <c r="M8" s="85">
        <v>0</v>
      </c>
      <c r="N8" s="85">
        <v>0</v>
      </c>
      <c r="O8" s="85">
        <v>0</v>
      </c>
      <c r="P8" s="85">
        <v>0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/>
    </row>
    <row r="9" spans="1:30">
      <c r="A9" s="82" t="s">
        <v>738</v>
      </c>
      <c r="B9" s="83" t="s">
        <v>600</v>
      </c>
      <c r="C9" s="84" t="s">
        <v>680</v>
      </c>
      <c r="D9" s="84" t="s">
        <v>680</v>
      </c>
      <c r="E9" s="84" t="s">
        <v>680</v>
      </c>
      <c r="F9" s="84" t="s">
        <v>680</v>
      </c>
      <c r="G9" s="84" t="s">
        <v>680</v>
      </c>
      <c r="H9" s="84" t="s">
        <v>680</v>
      </c>
      <c r="I9" s="84" t="s">
        <v>680</v>
      </c>
      <c r="J9" s="84" t="s">
        <v>680</v>
      </c>
      <c r="K9" s="84" t="s">
        <v>680</v>
      </c>
      <c r="L9" s="85">
        <v>0</v>
      </c>
      <c r="M9" s="85">
        <v>0</v>
      </c>
      <c r="N9" s="85">
        <v>0</v>
      </c>
      <c r="O9" s="85">
        <v>0</v>
      </c>
      <c r="P9" s="85">
        <v>0</v>
      </c>
      <c r="Q9" s="85">
        <v>0</v>
      </c>
      <c r="R9" s="85">
        <f>1.08*0.022</f>
        <v>2.376E-2</v>
      </c>
      <c r="S9" s="85">
        <v>0</v>
      </c>
      <c r="T9" s="85">
        <v>0</v>
      </c>
      <c r="U9" s="85">
        <v>0</v>
      </c>
      <c r="V9" s="85">
        <v>0</v>
      </c>
      <c r="W9" s="85">
        <v>0</v>
      </c>
      <c r="X9" s="85">
        <v>0</v>
      </c>
      <c r="Y9" s="85">
        <v>0</v>
      </c>
      <c r="Z9" s="85">
        <v>0</v>
      </c>
      <c r="AA9" s="85">
        <v>0</v>
      </c>
      <c r="AB9" s="85">
        <v>0</v>
      </c>
      <c r="AC9" s="85">
        <v>0</v>
      </c>
      <c r="AD9" s="85"/>
    </row>
    <row r="10" spans="1:30">
      <c r="A10" s="82" t="s">
        <v>738</v>
      </c>
      <c r="B10" s="83" t="s">
        <v>595</v>
      </c>
      <c r="C10" s="84" t="s">
        <v>680</v>
      </c>
      <c r="D10" s="84" t="s">
        <v>680</v>
      </c>
      <c r="E10" s="84" t="s">
        <v>680</v>
      </c>
      <c r="F10" s="84" t="s">
        <v>680</v>
      </c>
      <c r="G10" s="84" t="s">
        <v>680</v>
      </c>
      <c r="H10" s="84" t="s">
        <v>680</v>
      </c>
      <c r="I10" s="84" t="s">
        <v>680</v>
      </c>
      <c r="J10" s="84" t="s">
        <v>680</v>
      </c>
      <c r="K10" s="84" t="s">
        <v>680</v>
      </c>
      <c r="L10" s="85">
        <v>0</v>
      </c>
      <c r="M10" s="85">
        <v>0</v>
      </c>
      <c r="N10" s="85">
        <v>0</v>
      </c>
      <c r="O10" s="85">
        <v>0</v>
      </c>
      <c r="P10" s="85">
        <v>0</v>
      </c>
      <c r="Q10" s="85">
        <v>0</v>
      </c>
      <c r="R10" s="85">
        <v>0</v>
      </c>
      <c r="S10" s="85">
        <v>0</v>
      </c>
      <c r="T10" s="85">
        <v>0</v>
      </c>
      <c r="U10" s="85">
        <v>0</v>
      </c>
      <c r="V10" s="85">
        <v>0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5"/>
    </row>
    <row r="11" spans="1:30">
      <c r="A11" s="82" t="s">
        <v>738</v>
      </c>
      <c r="B11" s="83" t="s">
        <v>596</v>
      </c>
      <c r="C11" s="84" t="s">
        <v>680</v>
      </c>
      <c r="D11" s="84" t="s">
        <v>680</v>
      </c>
      <c r="E11" s="84" t="s">
        <v>680</v>
      </c>
      <c r="F11" s="84" t="s">
        <v>680</v>
      </c>
      <c r="G11" s="84" t="s">
        <v>680</v>
      </c>
      <c r="H11" s="84" t="s">
        <v>680</v>
      </c>
      <c r="I11" s="84" t="s">
        <v>680</v>
      </c>
      <c r="J11" s="84" t="s">
        <v>680</v>
      </c>
      <c r="K11" s="84" t="s">
        <v>680</v>
      </c>
      <c r="L11" s="85">
        <v>0</v>
      </c>
      <c r="M11" s="85">
        <v>0</v>
      </c>
      <c r="N11" s="85">
        <v>0</v>
      </c>
      <c r="O11" s="85">
        <v>0</v>
      </c>
      <c r="P11" s="85">
        <v>0</v>
      </c>
      <c r="Q11" s="85">
        <v>0</v>
      </c>
      <c r="R11" s="85">
        <f>9.07*0.065</f>
        <v>0.58955000000000002</v>
      </c>
      <c r="S11" s="85">
        <f>13.12*0.065</f>
        <v>0.8528</v>
      </c>
      <c r="T11" s="85">
        <v>0</v>
      </c>
      <c r="U11" s="85">
        <v>0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85">
        <v>0</v>
      </c>
      <c r="AB11" s="85">
        <v>0</v>
      </c>
      <c r="AC11" s="85">
        <v>0</v>
      </c>
      <c r="AD11" s="85"/>
    </row>
    <row r="12" spans="1:30">
      <c r="A12" s="82" t="s">
        <v>738</v>
      </c>
      <c r="B12" s="83" t="s">
        <v>594</v>
      </c>
      <c r="C12" s="84" t="s">
        <v>680</v>
      </c>
      <c r="D12" s="84" t="s">
        <v>680</v>
      </c>
      <c r="E12" s="84" t="s">
        <v>680</v>
      </c>
      <c r="F12" s="84" t="s">
        <v>680</v>
      </c>
      <c r="G12" s="84" t="s">
        <v>680</v>
      </c>
      <c r="H12" s="84" t="s">
        <v>680</v>
      </c>
      <c r="I12" s="84" t="s">
        <v>680</v>
      </c>
      <c r="J12" s="84" t="s">
        <v>680</v>
      </c>
      <c r="K12" s="84" t="s">
        <v>680</v>
      </c>
      <c r="L12" s="85">
        <v>0</v>
      </c>
      <c r="M12" s="85">
        <v>0</v>
      </c>
      <c r="N12" s="85">
        <v>0</v>
      </c>
      <c r="O12" s="85">
        <f>46.34*0.055</f>
        <v>2.5487000000000002</v>
      </c>
      <c r="P12" s="85">
        <f>74.5*0.055</f>
        <v>4.0975000000000001</v>
      </c>
      <c r="Q12" s="85">
        <f>97.37*0.055</f>
        <v>5.3553500000000005</v>
      </c>
      <c r="R12" s="85">
        <f>107.1*0.055</f>
        <v>5.8904999999999994</v>
      </c>
      <c r="S12" s="85">
        <f>102.519*0.055</f>
        <v>5.6385450000000006</v>
      </c>
      <c r="T12" s="85">
        <f>119.83*0.055</f>
        <v>6.5906500000000001</v>
      </c>
      <c r="U12" s="85">
        <f>103.116*0.055</f>
        <v>5.6713800000000001</v>
      </c>
      <c r="V12" s="85">
        <f>29.902*0.055</f>
        <v>1.6446100000000001</v>
      </c>
      <c r="W12" s="85">
        <f>46.971*0.055</f>
        <v>2.583405</v>
      </c>
      <c r="X12" s="85">
        <f>67.967*0.055</f>
        <v>3.7381850000000001</v>
      </c>
      <c r="Y12" s="85">
        <f>54.346*0.055</f>
        <v>2.9890299999999996</v>
      </c>
      <c r="Z12" s="85">
        <f>(72.257-1.673)*0.055</f>
        <v>3.88212</v>
      </c>
      <c r="AA12" s="85">
        <f>61.975*0.055</f>
        <v>3.4086250000000002</v>
      </c>
      <c r="AB12" s="85">
        <f>56.3*0.055</f>
        <v>3.0964999999999998</v>
      </c>
      <c r="AC12" s="85">
        <f>36.64*0.055</f>
        <v>2.0152000000000001</v>
      </c>
      <c r="AD12" s="85"/>
    </row>
    <row r="13" spans="1:30">
      <c r="A13" s="82" t="s">
        <v>738</v>
      </c>
      <c r="B13" s="87" t="s">
        <v>643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>
        <v>0</v>
      </c>
      <c r="O13" s="85">
        <v>0</v>
      </c>
      <c r="P13" s="85">
        <v>0</v>
      </c>
      <c r="Q13" s="85">
        <v>0</v>
      </c>
      <c r="R13" s="85">
        <v>0</v>
      </c>
      <c r="S13" s="85">
        <v>0</v>
      </c>
      <c r="T13" s="85">
        <v>0</v>
      </c>
      <c r="U13" s="85">
        <v>0</v>
      </c>
      <c r="V13" s="85">
        <v>0</v>
      </c>
      <c r="W13" s="85">
        <v>0</v>
      </c>
      <c r="X13" s="85">
        <v>0</v>
      </c>
      <c r="Y13" s="85">
        <v>0</v>
      </c>
      <c r="Z13" s="85">
        <v>0</v>
      </c>
      <c r="AA13" s="85">
        <v>0</v>
      </c>
      <c r="AB13" s="85">
        <v>0</v>
      </c>
      <c r="AC13" s="85">
        <v>0</v>
      </c>
      <c r="AD13" s="85"/>
    </row>
    <row r="14" spans="1:30">
      <c r="A14" s="82" t="s">
        <v>739</v>
      </c>
      <c r="B14" s="83" t="s">
        <v>597</v>
      </c>
      <c r="C14" s="84" t="s">
        <v>680</v>
      </c>
      <c r="D14" s="84" t="s">
        <v>680</v>
      </c>
      <c r="E14" s="84" t="s">
        <v>680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>
        <v>0</v>
      </c>
      <c r="T14" s="85">
        <v>0</v>
      </c>
      <c r="U14" s="85">
        <v>0</v>
      </c>
      <c r="V14" s="85">
        <v>0</v>
      </c>
      <c r="W14" s="85">
        <v>0</v>
      </c>
      <c r="X14" s="85">
        <v>0</v>
      </c>
      <c r="Y14" s="85">
        <v>0</v>
      </c>
      <c r="Z14" s="85">
        <v>0</v>
      </c>
      <c r="AA14" s="85">
        <v>0</v>
      </c>
      <c r="AB14" s="85">
        <v>0</v>
      </c>
      <c r="AC14" s="85">
        <v>0</v>
      </c>
      <c r="AD14" s="85"/>
    </row>
    <row r="15" spans="1:30">
      <c r="A15" s="82" t="s">
        <v>739</v>
      </c>
      <c r="B15" s="83" t="s">
        <v>600</v>
      </c>
      <c r="C15" s="84" t="s">
        <v>680</v>
      </c>
      <c r="D15" s="84" t="s">
        <v>680</v>
      </c>
      <c r="E15" s="84" t="s">
        <v>680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85">
        <v>0</v>
      </c>
      <c r="Q15" s="85">
        <v>0</v>
      </c>
      <c r="R15" s="85">
        <v>0</v>
      </c>
      <c r="S15" s="85">
        <v>0</v>
      </c>
      <c r="T15" s="85">
        <v>0</v>
      </c>
      <c r="U15" s="85">
        <v>0</v>
      </c>
      <c r="V15" s="85">
        <v>0</v>
      </c>
      <c r="W15" s="85">
        <v>0</v>
      </c>
      <c r="X15" s="85">
        <v>0</v>
      </c>
      <c r="Y15" s="85">
        <v>0</v>
      </c>
      <c r="Z15" s="85">
        <v>0</v>
      </c>
      <c r="AA15" s="85">
        <v>0</v>
      </c>
      <c r="AB15" s="85">
        <v>0</v>
      </c>
      <c r="AC15" s="85">
        <v>0</v>
      </c>
      <c r="AD15" s="85"/>
    </row>
    <row r="16" spans="1:30">
      <c r="A16" s="82" t="s">
        <v>739</v>
      </c>
      <c r="B16" s="83" t="s">
        <v>595</v>
      </c>
      <c r="C16" s="84" t="s">
        <v>680</v>
      </c>
      <c r="D16" s="84" t="s">
        <v>680</v>
      </c>
      <c r="E16" s="84" t="s">
        <v>680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f>50*0.11</f>
        <v>5.5</v>
      </c>
      <c r="P16" s="85">
        <f>60*0.11</f>
        <v>6.6</v>
      </c>
      <c r="Q16" s="85">
        <f>41.47*0.11</f>
        <v>4.5617000000000001</v>
      </c>
      <c r="R16" s="85">
        <f>39*0.11</f>
        <v>4.29</v>
      </c>
      <c r="S16" s="85">
        <f>57*0.11</f>
        <v>6.2700000000000005</v>
      </c>
      <c r="T16" s="85">
        <f>11.8*0.11</f>
        <v>1.298</v>
      </c>
      <c r="U16" s="85">
        <f>65.177*0.11</f>
        <v>7.1694700000000005</v>
      </c>
      <c r="V16" s="85">
        <f>24.888*0.11</f>
        <v>2.7376800000000001</v>
      </c>
      <c r="W16" s="85">
        <f>24.55*0.11</f>
        <v>2.7004999999999999</v>
      </c>
      <c r="X16" s="85">
        <v>0</v>
      </c>
      <c r="Y16" s="85">
        <v>0</v>
      </c>
      <c r="Z16" s="85">
        <v>0</v>
      </c>
      <c r="AA16" s="85">
        <v>0</v>
      </c>
      <c r="AB16" s="85">
        <v>0</v>
      </c>
      <c r="AC16" s="85">
        <v>0</v>
      </c>
      <c r="AD16" s="85"/>
    </row>
    <row r="17" spans="1:30">
      <c r="A17" s="82" t="s">
        <v>739</v>
      </c>
      <c r="B17" s="87" t="s">
        <v>700</v>
      </c>
      <c r="C17" s="84"/>
      <c r="D17" s="84"/>
      <c r="E17" s="84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>
        <f>10*0.11</f>
        <v>1.1000000000000001</v>
      </c>
      <c r="R17" s="85">
        <f>85*0.11</f>
        <v>9.35</v>
      </c>
      <c r="S17" s="85">
        <f>85*0.11</f>
        <v>9.35</v>
      </c>
      <c r="T17" s="85">
        <f>85*0.11</f>
        <v>9.35</v>
      </c>
      <c r="U17" s="85">
        <f t="shared" ref="U17:AC17" si="0">46*0.11</f>
        <v>5.0599999999999996</v>
      </c>
      <c r="V17" s="85">
        <f t="shared" si="0"/>
        <v>5.0599999999999996</v>
      </c>
      <c r="W17" s="85">
        <f t="shared" si="0"/>
        <v>5.0599999999999996</v>
      </c>
      <c r="X17" s="85">
        <f t="shared" si="0"/>
        <v>5.0599999999999996</v>
      </c>
      <c r="Y17" s="85">
        <f t="shared" si="0"/>
        <v>5.0599999999999996</v>
      </c>
      <c r="Z17" s="85">
        <f t="shared" si="0"/>
        <v>5.0599999999999996</v>
      </c>
      <c r="AA17" s="85">
        <f t="shared" si="0"/>
        <v>5.0599999999999996</v>
      </c>
      <c r="AB17" s="85">
        <f t="shared" si="0"/>
        <v>5.0599999999999996</v>
      </c>
      <c r="AC17" s="85">
        <f t="shared" si="0"/>
        <v>5.0599999999999996</v>
      </c>
      <c r="AD17" s="85"/>
    </row>
    <row r="18" spans="1:30">
      <c r="A18" s="82" t="s">
        <v>739</v>
      </c>
      <c r="B18" s="83" t="s">
        <v>596</v>
      </c>
      <c r="C18" s="84" t="s">
        <v>680</v>
      </c>
      <c r="D18" s="84" t="s">
        <v>680</v>
      </c>
      <c r="E18" s="84" t="s">
        <v>680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  <c r="T18" s="85">
        <v>0</v>
      </c>
      <c r="U18" s="85">
        <v>0</v>
      </c>
      <c r="V18" s="85">
        <v>0</v>
      </c>
      <c r="W18" s="85">
        <v>0</v>
      </c>
      <c r="X18" s="85">
        <v>0</v>
      </c>
      <c r="Y18" s="85">
        <v>0</v>
      </c>
      <c r="Z18" s="85">
        <v>0</v>
      </c>
      <c r="AA18" s="85">
        <v>0</v>
      </c>
      <c r="AB18" s="85">
        <v>0</v>
      </c>
      <c r="AC18" s="85">
        <v>0</v>
      </c>
      <c r="AD18" s="85"/>
    </row>
    <row r="19" spans="1:30">
      <c r="A19" s="82" t="s">
        <v>739</v>
      </c>
      <c r="B19" s="83" t="s">
        <v>594</v>
      </c>
      <c r="C19" s="84" t="s">
        <v>680</v>
      </c>
      <c r="D19" s="84" t="s">
        <v>680</v>
      </c>
      <c r="E19" s="84" t="s">
        <v>680</v>
      </c>
      <c r="F19" s="85">
        <v>6.6</v>
      </c>
      <c r="G19" s="85">
        <v>6.6</v>
      </c>
      <c r="H19" s="85">
        <v>6.6</v>
      </c>
      <c r="I19" s="85">
        <v>6.6</v>
      </c>
      <c r="J19" s="85">
        <v>6.6</v>
      </c>
      <c r="K19" s="85">
        <v>6.6</v>
      </c>
      <c r="L19" s="85">
        <f>120*0.055</f>
        <v>6.6</v>
      </c>
      <c r="M19" s="85">
        <f>120*0.055</f>
        <v>6.6</v>
      </c>
      <c r="N19" s="85">
        <v>6.6</v>
      </c>
      <c r="O19" s="85">
        <f>120*0.055</f>
        <v>6.6</v>
      </c>
      <c r="P19" s="85">
        <f>120*0.055</f>
        <v>6.6</v>
      </c>
      <c r="Q19" s="85">
        <f>446.28*0.055</f>
        <v>24.545399999999997</v>
      </c>
      <c r="R19" s="85">
        <f>1083.5*0.055</f>
        <v>59.592500000000001</v>
      </c>
      <c r="S19" s="85">
        <f>1110*0.055</f>
        <v>61.05</v>
      </c>
      <c r="T19" s="85">
        <f>1004.83*0.055</f>
        <v>55.265650000000001</v>
      </c>
      <c r="U19" s="85">
        <f>798.189*0.055</f>
        <v>43.900394999999996</v>
      </c>
      <c r="V19" s="85">
        <f>925.92*0.055</f>
        <v>50.925599999999996</v>
      </c>
      <c r="W19" s="85">
        <f>922.44*0.055</f>
        <v>50.734200000000001</v>
      </c>
      <c r="X19" s="85">
        <f>439.32*0.055</f>
        <v>24.162600000000001</v>
      </c>
      <c r="Y19" s="85">
        <f>518.55*0.055</f>
        <v>28.520249999999997</v>
      </c>
      <c r="Z19" s="85">
        <f>547.83*0.055</f>
        <v>30.130650000000003</v>
      </c>
      <c r="AA19" s="85">
        <f>843.07*0.055</f>
        <v>46.368850000000002</v>
      </c>
      <c r="AB19" s="85">
        <f>715.14*0.055</f>
        <v>39.332700000000003</v>
      </c>
      <c r="AC19" s="85">
        <f>696.4*0.055</f>
        <v>38.302</v>
      </c>
      <c r="AD19" s="85"/>
    </row>
    <row r="20" spans="1:30">
      <c r="A20" s="82" t="s">
        <v>739</v>
      </c>
      <c r="B20" s="87" t="s">
        <v>643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>
        <v>0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  <c r="T20" s="85">
        <v>0</v>
      </c>
      <c r="U20" s="85">
        <v>0</v>
      </c>
      <c r="V20" s="85">
        <v>0</v>
      </c>
      <c r="W20" s="85">
        <v>0</v>
      </c>
      <c r="X20" s="85">
        <v>0</v>
      </c>
      <c r="Y20" s="85">
        <v>0</v>
      </c>
      <c r="Z20" s="85">
        <v>0</v>
      </c>
      <c r="AA20" s="85">
        <v>0</v>
      </c>
      <c r="AB20" s="85">
        <v>0</v>
      </c>
      <c r="AC20" s="85">
        <v>0</v>
      </c>
      <c r="AD20" s="85"/>
    </row>
    <row r="21" spans="1:30">
      <c r="A21" s="82" t="s">
        <v>547</v>
      </c>
      <c r="B21" s="83" t="s">
        <v>597</v>
      </c>
      <c r="C21" s="84" t="s">
        <v>680</v>
      </c>
      <c r="D21" s="84" t="s">
        <v>680</v>
      </c>
      <c r="E21" s="84" t="s">
        <v>680</v>
      </c>
      <c r="F21" s="84" t="s">
        <v>680</v>
      </c>
      <c r="G21" s="84" t="s">
        <v>680</v>
      </c>
      <c r="H21" s="84" t="s">
        <v>680</v>
      </c>
      <c r="I21" s="84" t="s">
        <v>680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0</v>
      </c>
      <c r="S21" s="85">
        <v>0</v>
      </c>
      <c r="T21" s="85">
        <v>0</v>
      </c>
      <c r="U21" s="85">
        <v>0</v>
      </c>
      <c r="V21" s="85">
        <v>0</v>
      </c>
      <c r="W21" s="85">
        <v>0</v>
      </c>
      <c r="X21" s="85">
        <v>0</v>
      </c>
      <c r="Y21" s="85">
        <v>0</v>
      </c>
      <c r="Z21" s="85">
        <v>0</v>
      </c>
      <c r="AA21" s="85">
        <v>0</v>
      </c>
      <c r="AB21" s="85">
        <v>0</v>
      </c>
      <c r="AC21" s="85">
        <v>0</v>
      </c>
      <c r="AD21" s="85"/>
    </row>
    <row r="22" spans="1:30">
      <c r="A22" s="82" t="s">
        <v>547</v>
      </c>
      <c r="B22" s="83" t="s">
        <v>600</v>
      </c>
      <c r="C22" s="84" t="s">
        <v>680</v>
      </c>
      <c r="D22" s="84" t="s">
        <v>680</v>
      </c>
      <c r="E22" s="84" t="s">
        <v>680</v>
      </c>
      <c r="F22" s="84" t="s">
        <v>680</v>
      </c>
      <c r="G22" s="84" t="s">
        <v>680</v>
      </c>
      <c r="H22" s="84" t="s">
        <v>680</v>
      </c>
      <c r="I22" s="84" t="s">
        <v>680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5">
        <v>0</v>
      </c>
      <c r="T22" s="85">
        <v>0</v>
      </c>
      <c r="U22" s="85">
        <v>0</v>
      </c>
      <c r="V22" s="85">
        <v>0</v>
      </c>
      <c r="W22" s="85">
        <v>0</v>
      </c>
      <c r="X22" s="85">
        <v>0</v>
      </c>
      <c r="Y22" s="85">
        <v>0</v>
      </c>
      <c r="Z22" s="85">
        <v>0</v>
      </c>
      <c r="AA22" s="85">
        <v>0</v>
      </c>
      <c r="AB22" s="85">
        <v>0</v>
      </c>
      <c r="AC22" s="85">
        <v>0</v>
      </c>
      <c r="AD22" s="85"/>
    </row>
    <row r="23" spans="1:30">
      <c r="A23" s="82" t="s">
        <v>547</v>
      </c>
      <c r="B23" s="83" t="s">
        <v>595</v>
      </c>
      <c r="C23" s="84" t="s">
        <v>680</v>
      </c>
      <c r="D23" s="84" t="s">
        <v>680</v>
      </c>
      <c r="E23" s="84" t="s">
        <v>680</v>
      </c>
      <c r="F23" s="84" t="s">
        <v>680</v>
      </c>
      <c r="G23" s="84" t="s">
        <v>680</v>
      </c>
      <c r="H23" s="84" t="s">
        <v>680</v>
      </c>
      <c r="I23" s="84" t="s">
        <v>680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v>0</v>
      </c>
      <c r="S23" s="85">
        <v>0</v>
      </c>
      <c r="T23" s="85">
        <v>0</v>
      </c>
      <c r="U23" s="85">
        <v>0</v>
      </c>
      <c r="V23" s="85">
        <v>0</v>
      </c>
      <c r="W23" s="85">
        <v>0</v>
      </c>
      <c r="X23" s="85">
        <v>0</v>
      </c>
      <c r="Y23" s="85">
        <v>0</v>
      </c>
      <c r="Z23" s="85">
        <v>0</v>
      </c>
      <c r="AA23" s="85">
        <v>0</v>
      </c>
      <c r="AB23" s="85">
        <f>4*0.11</f>
        <v>0.44</v>
      </c>
      <c r="AC23" s="85">
        <v>0</v>
      </c>
      <c r="AD23" s="85"/>
    </row>
    <row r="24" spans="1:30">
      <c r="A24" s="82" t="s">
        <v>547</v>
      </c>
      <c r="B24" s="83" t="s">
        <v>596</v>
      </c>
      <c r="C24" s="84" t="s">
        <v>680</v>
      </c>
      <c r="D24" s="84" t="s">
        <v>680</v>
      </c>
      <c r="E24" s="84" t="s">
        <v>680</v>
      </c>
      <c r="F24" s="84" t="s">
        <v>680</v>
      </c>
      <c r="G24" s="84" t="s">
        <v>680</v>
      </c>
      <c r="H24" s="84" t="s">
        <v>680</v>
      </c>
      <c r="I24" s="84" t="s">
        <v>680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0</v>
      </c>
      <c r="S24" s="85">
        <v>0</v>
      </c>
      <c r="T24" s="85">
        <v>0</v>
      </c>
      <c r="U24" s="85">
        <v>0</v>
      </c>
      <c r="V24" s="85">
        <v>0</v>
      </c>
      <c r="W24" s="85">
        <v>0</v>
      </c>
      <c r="X24" s="85">
        <v>0</v>
      </c>
      <c r="Y24" s="85">
        <v>0</v>
      </c>
      <c r="Z24" s="85">
        <v>0</v>
      </c>
      <c r="AA24" s="85">
        <v>0</v>
      </c>
      <c r="AB24" s="85">
        <v>0</v>
      </c>
      <c r="AC24" s="85">
        <v>0</v>
      </c>
      <c r="AD24" s="85"/>
    </row>
    <row r="25" spans="1:30">
      <c r="A25" s="82" t="s">
        <v>547</v>
      </c>
      <c r="B25" s="83" t="s">
        <v>594</v>
      </c>
      <c r="C25" s="84" t="s">
        <v>680</v>
      </c>
      <c r="D25" s="84" t="s">
        <v>680</v>
      </c>
      <c r="E25" s="84" t="s">
        <v>680</v>
      </c>
      <c r="F25" s="84" t="s">
        <v>680</v>
      </c>
      <c r="G25" s="84" t="s">
        <v>680</v>
      </c>
      <c r="H25" s="84" t="s">
        <v>680</v>
      </c>
      <c r="I25" s="84" t="s">
        <v>680</v>
      </c>
      <c r="J25" s="85">
        <v>4.4550000000000001</v>
      </c>
      <c r="K25" s="85">
        <v>5.5</v>
      </c>
      <c r="L25" s="85">
        <f>120*0.055</f>
        <v>6.6</v>
      </c>
      <c r="M25" s="85">
        <v>7.15</v>
      </c>
      <c r="N25" s="85">
        <v>7.8650000000000002</v>
      </c>
      <c r="O25" s="85">
        <f>165*0.055</f>
        <v>9.0749999999999993</v>
      </c>
      <c r="P25" s="85">
        <f>190*0.055</f>
        <v>10.45</v>
      </c>
      <c r="Q25" s="85">
        <f>350*0.055</f>
        <v>19.25</v>
      </c>
      <c r="R25" s="85">
        <f>230*0.055</f>
        <v>12.65</v>
      </c>
      <c r="S25" s="85">
        <f>210*0.055</f>
        <v>11.55</v>
      </c>
      <c r="T25" s="85">
        <f>120*0.055</f>
        <v>6.6</v>
      </c>
      <c r="U25" s="85">
        <f>280.52*0.055</f>
        <v>15.428599999999999</v>
      </c>
      <c r="V25" s="85">
        <f>240.2*0.055</f>
        <v>13.211</v>
      </c>
      <c r="W25" s="85">
        <f>250.66*0.055</f>
        <v>13.786300000000001</v>
      </c>
      <c r="X25" s="85">
        <f>210*0.055</f>
        <v>11.55</v>
      </c>
      <c r="Y25" s="85">
        <f>189.96*0.055</f>
        <v>10.447800000000001</v>
      </c>
      <c r="Z25" s="85">
        <f>189.95*0.055</f>
        <v>10.447249999999999</v>
      </c>
      <c r="AA25" s="85">
        <f>170*0.055</f>
        <v>9.35</v>
      </c>
      <c r="AB25" s="85">
        <f>158.5*0.055</f>
        <v>8.7174999999999994</v>
      </c>
      <c r="AC25" s="85">
        <f>125*0.055</f>
        <v>6.875</v>
      </c>
      <c r="AD25" s="85"/>
    </row>
    <row r="26" spans="1:30">
      <c r="A26" s="82" t="s">
        <v>547</v>
      </c>
      <c r="B26" s="87" t="s">
        <v>643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>
        <v>0</v>
      </c>
      <c r="O26" s="85">
        <v>0</v>
      </c>
      <c r="P26" s="85">
        <v>0</v>
      </c>
      <c r="Q26" s="85">
        <v>0</v>
      </c>
      <c r="R26" s="85">
        <v>0</v>
      </c>
      <c r="S26" s="85">
        <v>0</v>
      </c>
      <c r="T26" s="85">
        <v>0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0</v>
      </c>
      <c r="AB26" s="85">
        <v>0</v>
      </c>
      <c r="AC26" s="85">
        <v>0</v>
      </c>
      <c r="AD26" s="85"/>
    </row>
    <row r="27" spans="1:30">
      <c r="A27" s="82" t="s">
        <v>740</v>
      </c>
      <c r="B27" s="83" t="s">
        <v>597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85">
        <v>0</v>
      </c>
      <c r="Q27" s="85">
        <v>0</v>
      </c>
      <c r="R27" s="85">
        <v>0</v>
      </c>
      <c r="S27" s="85">
        <v>0</v>
      </c>
      <c r="T27" s="85">
        <v>0</v>
      </c>
      <c r="U27" s="85">
        <v>0</v>
      </c>
      <c r="V27" s="85">
        <v>0</v>
      </c>
      <c r="W27" s="85">
        <v>0</v>
      </c>
      <c r="X27" s="85">
        <v>0</v>
      </c>
      <c r="Y27" s="85">
        <v>0</v>
      </c>
      <c r="Z27" s="85">
        <v>0</v>
      </c>
      <c r="AA27" s="85">
        <v>0</v>
      </c>
      <c r="AB27" s="85">
        <v>0</v>
      </c>
      <c r="AC27" s="85">
        <v>0</v>
      </c>
      <c r="AD27" s="85"/>
    </row>
    <row r="28" spans="1:30">
      <c r="A28" s="82" t="s">
        <v>740</v>
      </c>
      <c r="B28" s="83" t="s">
        <v>600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</v>
      </c>
      <c r="T28" s="85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/>
    </row>
    <row r="29" spans="1:30">
      <c r="A29" s="82" t="s">
        <v>740</v>
      </c>
      <c r="B29" s="83" t="s">
        <v>595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85">
        <v>0</v>
      </c>
      <c r="Q29" s="85">
        <v>0</v>
      </c>
      <c r="R29" s="85">
        <v>0</v>
      </c>
      <c r="S29" s="85">
        <v>0</v>
      </c>
      <c r="T29" s="85">
        <v>0</v>
      </c>
      <c r="U29" s="85">
        <v>0</v>
      </c>
      <c r="V29" s="85">
        <v>0</v>
      </c>
      <c r="W29" s="85">
        <v>0</v>
      </c>
      <c r="X29" s="85">
        <v>0</v>
      </c>
      <c r="Y29" s="85">
        <v>0</v>
      </c>
      <c r="Z29" s="85">
        <v>0</v>
      </c>
      <c r="AA29" s="85">
        <v>0</v>
      </c>
      <c r="AB29" s="85">
        <v>0</v>
      </c>
      <c r="AC29" s="85">
        <v>0</v>
      </c>
      <c r="AD29" s="85"/>
    </row>
    <row r="30" spans="1:30">
      <c r="A30" s="82" t="s">
        <v>740</v>
      </c>
      <c r="B30" s="83" t="s">
        <v>596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5">
        <v>0</v>
      </c>
      <c r="Z30" s="85">
        <v>0</v>
      </c>
      <c r="AA30" s="85">
        <v>0</v>
      </c>
      <c r="AB30" s="85">
        <v>0</v>
      </c>
      <c r="AC30" s="85">
        <v>0</v>
      </c>
      <c r="AD30" s="85"/>
    </row>
    <row r="31" spans="1:30">
      <c r="A31" s="82" t="s">
        <v>740</v>
      </c>
      <c r="B31" s="83" t="s">
        <v>594</v>
      </c>
      <c r="C31" s="85">
        <v>0</v>
      </c>
      <c r="D31" s="85">
        <v>0</v>
      </c>
      <c r="E31" s="85">
        <v>0</v>
      </c>
      <c r="F31" s="85">
        <v>1.2034</v>
      </c>
      <c r="G31" s="85">
        <v>0.54139999999999999</v>
      </c>
      <c r="H31" s="85">
        <v>0.14244999999999999</v>
      </c>
      <c r="I31" s="85">
        <v>0.19800000000000001</v>
      </c>
      <c r="J31" s="85">
        <v>0.28765000000000002</v>
      </c>
      <c r="K31" s="85">
        <v>0.20569999999999999</v>
      </c>
      <c r="L31" s="85">
        <f>(18.68-6.29)*0.055</f>
        <v>0.68145</v>
      </c>
      <c r="M31" s="85">
        <f>10.59*0.055</f>
        <v>0.58245000000000002</v>
      </c>
      <c r="N31" s="85">
        <f>(11.56-3.32)*0.055</f>
        <v>0.45319999999999999</v>
      </c>
      <c r="O31" s="85">
        <f>(19.44-3.65)*0.055</f>
        <v>0.86845000000000006</v>
      </c>
      <c r="P31" s="85">
        <f>(8.49-4.28)*0.055</f>
        <v>0.23155000000000001</v>
      </c>
      <c r="Q31" s="85">
        <f>(11.19-1.68)*0.055</f>
        <v>0.52305000000000001</v>
      </c>
      <c r="R31" s="85">
        <f>1.5*0.055</f>
        <v>8.2500000000000004E-2</v>
      </c>
      <c r="S31" s="85">
        <f>(8.43-1.59)*0.055</f>
        <v>0.37619999999999998</v>
      </c>
      <c r="T31" s="85">
        <v>0</v>
      </c>
      <c r="U31" s="85">
        <f>(4.245-0.33)*0.055</f>
        <v>0.21532500000000002</v>
      </c>
      <c r="V31" s="85">
        <f>0.64*0.055</f>
        <v>3.5200000000000002E-2</v>
      </c>
      <c r="W31" s="85">
        <f>1.07*0.055</f>
        <v>5.8850000000000006E-2</v>
      </c>
      <c r="X31" s="85">
        <f>0.24*0.055</f>
        <v>1.32E-2</v>
      </c>
      <c r="Y31" s="88">
        <f>0.07*0.055</f>
        <v>3.8500000000000006E-3</v>
      </c>
      <c r="Z31" s="88">
        <f>0.41*0.055</f>
        <v>2.2549999999999997E-2</v>
      </c>
      <c r="AA31" s="88">
        <v>0</v>
      </c>
      <c r="AB31" s="85">
        <f>0.544*0.055</f>
        <v>2.9920000000000002E-2</v>
      </c>
      <c r="AC31" s="85">
        <f>1.075*0.055</f>
        <v>5.9124999999999997E-2</v>
      </c>
      <c r="AD31" s="88"/>
    </row>
    <row r="32" spans="1:30">
      <c r="A32" s="82" t="s">
        <v>740</v>
      </c>
      <c r="B32" s="87" t="s">
        <v>643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5">
        <v>0</v>
      </c>
      <c r="Z32" s="85">
        <v>0</v>
      </c>
      <c r="AA32" s="85">
        <v>0</v>
      </c>
      <c r="AB32" s="85">
        <v>0</v>
      </c>
      <c r="AC32" s="85">
        <v>0</v>
      </c>
      <c r="AD32" s="85"/>
    </row>
    <row r="33" spans="1:30">
      <c r="A33" s="82" t="s">
        <v>741</v>
      </c>
      <c r="B33" s="83" t="s">
        <v>597</v>
      </c>
      <c r="C33" s="84">
        <v>0</v>
      </c>
      <c r="D33" s="84">
        <v>0</v>
      </c>
      <c r="E33" s="84">
        <v>0</v>
      </c>
      <c r="F33" s="85">
        <v>0</v>
      </c>
      <c r="G33" s="85">
        <v>0</v>
      </c>
      <c r="H33" s="85">
        <v>0.748</v>
      </c>
      <c r="I33" s="85">
        <v>3.5400000000000001E-2</v>
      </c>
      <c r="J33" s="85">
        <v>0.13800000000000001</v>
      </c>
      <c r="K33" s="85">
        <v>0.19</v>
      </c>
      <c r="L33" s="85">
        <f>15.96*0.02</f>
        <v>0.31920000000000004</v>
      </c>
      <c r="M33" s="85">
        <f>(35.6-1.36)*0.02</f>
        <v>0.68480000000000008</v>
      </c>
      <c r="N33" s="85">
        <v>0.76</v>
      </c>
      <c r="O33" s="85">
        <f>(52.84-0.75)*0.02</f>
        <v>1.0418000000000001</v>
      </c>
      <c r="P33" s="85">
        <f>(89-6.57)*0.02</f>
        <v>1.6486000000000001</v>
      </c>
      <c r="Q33" s="85">
        <f>(72.53-1.22)*0.02</f>
        <v>1.4262000000000001</v>
      </c>
      <c r="R33" s="85">
        <f>(81.2-0.4)*0.02</f>
        <v>1.6159999999999999</v>
      </c>
      <c r="S33" s="85">
        <f>(110.06-3.55)*0.02</f>
        <v>2.1302000000000003</v>
      </c>
      <c r="T33" s="85">
        <f>(191.85-1.28)*0.02</f>
        <v>3.8113999999999999</v>
      </c>
      <c r="U33" s="85">
        <f>(73.12-1.57)*0.02</f>
        <v>1.4310000000000003</v>
      </c>
      <c r="V33" s="85">
        <f>(79.77-1.82)*0.02</f>
        <v>1.5590000000000002</v>
      </c>
      <c r="W33" s="85">
        <f>(113.26-1.88)*0.02</f>
        <v>2.2276000000000002</v>
      </c>
      <c r="X33" s="85">
        <f>111.05*0.02</f>
        <v>2.2210000000000001</v>
      </c>
      <c r="Y33" s="85">
        <f>(164.05-1.68)*0.02</f>
        <v>3.2474000000000003</v>
      </c>
      <c r="Z33" s="85">
        <f>(48.6-2.33)*0.02</f>
        <v>0.92540000000000011</v>
      </c>
      <c r="AA33" s="85">
        <f>(31.66-3.38)*0.02</f>
        <v>0.56559999999999999</v>
      </c>
      <c r="AB33" s="85">
        <f>(35.55-0.726)*0.02</f>
        <v>0.69647999999999999</v>
      </c>
      <c r="AC33" s="85">
        <f>(79.73-2.72)*0.02</f>
        <v>1.5402000000000002</v>
      </c>
      <c r="AD33" s="85"/>
    </row>
    <row r="34" spans="1:30">
      <c r="A34" s="82" t="s">
        <v>741</v>
      </c>
      <c r="B34" s="83" t="s">
        <v>600</v>
      </c>
      <c r="C34" s="85">
        <v>0</v>
      </c>
      <c r="D34" s="85">
        <f>49.64*0.022</f>
        <v>1.0920799999999999</v>
      </c>
      <c r="E34" s="85">
        <f>163.5*0.022</f>
        <v>3.597</v>
      </c>
      <c r="F34" s="85">
        <f>120.43*0.022</f>
        <v>2.6494599999999999</v>
      </c>
      <c r="G34" s="85">
        <v>0</v>
      </c>
      <c r="H34" s="85">
        <v>0</v>
      </c>
      <c r="I34" s="85">
        <v>0</v>
      </c>
      <c r="J34" s="85">
        <v>0</v>
      </c>
      <c r="K34" s="85">
        <v>0</v>
      </c>
      <c r="L34" s="85">
        <f>2.56*0.022</f>
        <v>5.6319999999999995E-2</v>
      </c>
      <c r="M34" s="85">
        <v>0</v>
      </c>
      <c r="N34" s="85">
        <f>17.44*0.022</f>
        <v>0.38368000000000002</v>
      </c>
      <c r="O34" s="85">
        <v>0</v>
      </c>
      <c r="P34" s="85">
        <f>(28.44-0.83)*0.022</f>
        <v>0.60742000000000007</v>
      </c>
      <c r="Q34" s="85">
        <f>(41.6-0.51)*0.022</f>
        <v>0.90398000000000001</v>
      </c>
      <c r="R34" s="85">
        <f>(55.8-0.2)*0.022</f>
        <v>1.2231999999999998</v>
      </c>
      <c r="S34" s="85">
        <f>73.87*0.022</f>
        <v>1.62514</v>
      </c>
      <c r="T34" s="85">
        <f>(103.1*0.022)</f>
        <v>2.2681999999999998</v>
      </c>
      <c r="U34" s="85">
        <f>51.24*0.022</f>
        <v>1.1272800000000001</v>
      </c>
      <c r="V34" s="85">
        <f>28.56*0.022</f>
        <v>0.62831999999999999</v>
      </c>
      <c r="W34" s="85">
        <f>(38.66*0.022)</f>
        <v>0.85051999999999983</v>
      </c>
      <c r="X34" s="85">
        <f>21.05*0.022</f>
        <v>0.46310000000000001</v>
      </c>
      <c r="Y34" s="85">
        <f>7.78*0.022</f>
        <v>0.17116000000000001</v>
      </c>
      <c r="Z34" s="85">
        <v>0</v>
      </c>
      <c r="AA34" s="85">
        <v>0</v>
      </c>
      <c r="AB34" s="85">
        <v>0</v>
      </c>
      <c r="AC34" s="85">
        <v>0</v>
      </c>
      <c r="AD34" s="85"/>
    </row>
    <row r="35" spans="1:30">
      <c r="A35" s="82" t="s">
        <v>741</v>
      </c>
      <c r="B35" s="83" t="s">
        <v>242</v>
      </c>
      <c r="C35" s="85">
        <v>0.9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  <c r="I35" s="85">
        <v>0</v>
      </c>
      <c r="J35" s="85">
        <v>0</v>
      </c>
      <c r="K35" s="85">
        <v>0</v>
      </c>
      <c r="L35" s="85">
        <v>0</v>
      </c>
      <c r="M35" s="85">
        <v>0</v>
      </c>
      <c r="N35" s="85"/>
      <c r="O35" s="85">
        <v>0</v>
      </c>
      <c r="P35" s="85">
        <v>0</v>
      </c>
      <c r="Q35" s="85">
        <v>0</v>
      </c>
      <c r="R35" s="85">
        <v>0</v>
      </c>
      <c r="S35" s="85">
        <v>0</v>
      </c>
      <c r="T35" s="85">
        <v>0</v>
      </c>
      <c r="U35" s="85">
        <v>0</v>
      </c>
      <c r="V35" s="85">
        <v>0</v>
      </c>
      <c r="W35" s="85">
        <v>0</v>
      </c>
      <c r="X35" s="85">
        <v>0</v>
      </c>
      <c r="Y35" s="85">
        <v>0</v>
      </c>
      <c r="Z35" s="85">
        <v>0</v>
      </c>
      <c r="AA35" s="85">
        <v>0</v>
      </c>
      <c r="AB35" s="85">
        <v>0</v>
      </c>
      <c r="AC35" s="85">
        <v>0</v>
      </c>
      <c r="AD35" s="85"/>
    </row>
    <row r="36" spans="1:30">
      <c r="A36" s="82" t="s">
        <v>741</v>
      </c>
      <c r="B36" s="83" t="s">
        <v>595</v>
      </c>
      <c r="C36" s="84">
        <v>0</v>
      </c>
      <c r="D36" s="84">
        <v>0</v>
      </c>
      <c r="E36" s="84">
        <v>0</v>
      </c>
      <c r="F36" s="85">
        <v>0</v>
      </c>
      <c r="G36" s="85">
        <v>0</v>
      </c>
      <c r="H36" s="85">
        <v>16.852</v>
      </c>
      <c r="I36" s="85">
        <v>11.348699999999999</v>
      </c>
      <c r="J36" s="85">
        <v>7.766</v>
      </c>
      <c r="K36" s="85">
        <v>17.236999999999998</v>
      </c>
      <c r="L36" s="85">
        <f>(368.07-7.29)*0.11</f>
        <v>39.6858</v>
      </c>
      <c r="M36" s="85">
        <f>(299.81-2.82)*0.11</f>
        <v>32.668900000000001</v>
      </c>
      <c r="N36" s="85">
        <v>59.768500000000003</v>
      </c>
      <c r="O36" s="85">
        <f>(909.92-5)*0.11</f>
        <v>99.541199999999989</v>
      </c>
      <c r="P36" s="85">
        <f>(715.21-4.08)*0.11</f>
        <v>78.224299999999999</v>
      </c>
      <c r="Q36" s="85">
        <f>(928.58-23.69)*0.11</f>
        <v>99.537899999999993</v>
      </c>
      <c r="R36" s="85">
        <f>810.5*0.11</f>
        <v>89.155000000000001</v>
      </c>
      <c r="S36" s="85">
        <f>(811.99-0.12)*0.11</f>
        <v>89.305700000000002</v>
      </c>
      <c r="T36" s="85">
        <f>(1292.59-1)*0.11</f>
        <v>142.07489999999999</v>
      </c>
      <c r="U36" s="85">
        <f>556.17*0.11</f>
        <v>61.178699999999999</v>
      </c>
      <c r="V36" s="85">
        <f>626.89*0.11</f>
        <v>68.957899999999995</v>
      </c>
      <c r="W36" s="85">
        <f>(753.26-7.25)*0.11</f>
        <v>82.061099999999996</v>
      </c>
      <c r="X36" s="85">
        <f>619.04*0.11</f>
        <v>68.094399999999993</v>
      </c>
      <c r="Y36" s="85">
        <f>750.17*0.11</f>
        <v>82.518699999999995</v>
      </c>
      <c r="Z36" s="85">
        <f>603.88*0.11</f>
        <v>66.4268</v>
      </c>
      <c r="AA36" s="85">
        <f>(221.42-100)*0.11</f>
        <v>13.356199999999999</v>
      </c>
      <c r="AB36" s="85">
        <f>295.65*0.11</f>
        <v>32.521499999999996</v>
      </c>
      <c r="AC36" s="85">
        <f>740.2*0.11</f>
        <v>81.422000000000011</v>
      </c>
      <c r="AD36" s="85"/>
    </row>
    <row r="37" spans="1:30">
      <c r="A37" s="82" t="s">
        <v>741</v>
      </c>
      <c r="B37" s="83" t="s">
        <v>700</v>
      </c>
      <c r="C37" s="84"/>
      <c r="D37" s="84"/>
      <c r="E37" s="84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>
        <f>(346.7-45.7)*0.11</f>
        <v>33.11</v>
      </c>
      <c r="S37" s="85">
        <v>0</v>
      </c>
      <c r="T37" s="85">
        <f>(472.4-70.76)*0.11</f>
        <v>44.180399999999999</v>
      </c>
      <c r="U37" s="85">
        <f>(318.6-47.72)*0.11</f>
        <v>29.796800000000001</v>
      </c>
      <c r="V37" s="85">
        <f>(358.75-33.76)*0.11</f>
        <v>35.748899999999999</v>
      </c>
      <c r="W37" s="85">
        <f>(244.37-11.65)*0.11</f>
        <v>25.5992</v>
      </c>
      <c r="X37" s="85">
        <f>(241.75-31.25)*0.11</f>
        <v>23.155000000000001</v>
      </c>
      <c r="Y37" s="85">
        <f>(225.06-16.95)*0.11</f>
        <v>22.892100000000003</v>
      </c>
      <c r="Z37" s="85">
        <f>(195.7-33.3)*0.11</f>
        <v>17.863999999999997</v>
      </c>
      <c r="AA37" s="85">
        <f>(160.87-27.98)*0.11</f>
        <v>14.617900000000002</v>
      </c>
      <c r="AB37" s="85">
        <f>(180.06-15.072)*0.11</f>
        <v>18.148679999999999</v>
      </c>
      <c r="AC37" s="85">
        <f>(67.16-19.01)*0.11</f>
        <v>5.2964999999999991</v>
      </c>
      <c r="AD37" s="85"/>
    </row>
    <row r="38" spans="1:30">
      <c r="A38" s="82" t="s">
        <v>741</v>
      </c>
      <c r="B38" s="83" t="s">
        <v>596</v>
      </c>
      <c r="C38" s="84">
        <v>0</v>
      </c>
      <c r="D38" s="84">
        <v>0</v>
      </c>
      <c r="E38" s="84">
        <v>0</v>
      </c>
      <c r="F38" s="85">
        <v>0</v>
      </c>
      <c r="G38" s="85">
        <v>0</v>
      </c>
      <c r="H38" s="85">
        <v>6.5000000000000002E-2</v>
      </c>
      <c r="I38" s="85">
        <v>0</v>
      </c>
      <c r="J38" s="85">
        <v>0</v>
      </c>
      <c r="K38" s="85">
        <v>5.7799999999999997E-2</v>
      </c>
      <c r="L38" s="85">
        <f>5.77*0.065</f>
        <v>0.37504999999999999</v>
      </c>
      <c r="M38" s="85">
        <f>57.87*0.065</f>
        <v>3.7615500000000002</v>
      </c>
      <c r="N38" s="85">
        <v>4.0677000000000003</v>
      </c>
      <c r="O38" s="85">
        <f>(191.69)*0.065</f>
        <v>12.459849999999999</v>
      </c>
      <c r="P38" s="85">
        <f>172.91*0.065</f>
        <v>11.23915</v>
      </c>
      <c r="Q38" s="85">
        <f>189.49*0.065</f>
        <v>12.316850000000001</v>
      </c>
      <c r="R38" s="85">
        <f>346.8*0.065</f>
        <v>22.542000000000002</v>
      </c>
      <c r="S38" s="85">
        <f>208.1*0.065</f>
        <v>13.5265</v>
      </c>
      <c r="T38" s="85">
        <f>(307.02-0.8)*0.065</f>
        <v>19.904299999999999</v>
      </c>
      <c r="U38" s="85">
        <f>(170.09-0.53)*0.065</f>
        <v>11.0214</v>
      </c>
      <c r="V38" s="85">
        <f>145.82*0.065</f>
        <v>9.4782999999999991</v>
      </c>
      <c r="W38" s="85">
        <f>266.29*0.065</f>
        <v>17.308850000000003</v>
      </c>
      <c r="X38" s="85">
        <f>111.21*0.065</f>
        <v>7.22865</v>
      </c>
      <c r="Y38" s="85">
        <f>60.69*0.065</f>
        <v>3.9448500000000002</v>
      </c>
      <c r="Z38" s="85">
        <f>40.18*0.065</f>
        <v>2.6116999999999999</v>
      </c>
      <c r="AA38" s="85">
        <f>18.29*0.065</f>
        <v>1.18885</v>
      </c>
      <c r="AB38" s="85">
        <f>17.91*0.065</f>
        <v>1.16415</v>
      </c>
      <c r="AC38" s="85">
        <f>15.09*0.065</f>
        <v>0.98085</v>
      </c>
      <c r="AD38" s="85"/>
    </row>
    <row r="39" spans="1:30">
      <c r="A39" s="82" t="s">
        <v>741</v>
      </c>
      <c r="B39" s="87" t="s">
        <v>246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>
        <f>3.13*0.04</f>
        <v>0.12520000000000001</v>
      </c>
      <c r="T39" s="85">
        <f>2.31*0.04</f>
        <v>9.240000000000001E-2</v>
      </c>
      <c r="U39" s="85">
        <v>0</v>
      </c>
      <c r="V39" s="85">
        <v>0</v>
      </c>
      <c r="W39" s="85">
        <v>0</v>
      </c>
      <c r="X39" s="85">
        <v>0</v>
      </c>
      <c r="Y39" s="85">
        <v>0</v>
      </c>
      <c r="Z39" s="85">
        <v>0</v>
      </c>
      <c r="AA39" s="85">
        <v>0</v>
      </c>
      <c r="AB39" s="85">
        <v>0</v>
      </c>
      <c r="AC39" s="85">
        <v>0</v>
      </c>
      <c r="AD39" s="85"/>
    </row>
    <row r="40" spans="1:30">
      <c r="A40" s="82" t="s">
        <v>741</v>
      </c>
      <c r="B40" s="83" t="s">
        <v>594</v>
      </c>
      <c r="C40" s="85">
        <v>96.25</v>
      </c>
      <c r="D40" s="85">
        <v>86.537000000000006</v>
      </c>
      <c r="E40" s="85">
        <v>91.910499999999999</v>
      </c>
      <c r="F40" s="85">
        <v>93.243099999999998</v>
      </c>
      <c r="G40" s="85">
        <v>94.149000000000001</v>
      </c>
      <c r="H40" s="85">
        <v>45.749549999999999</v>
      </c>
      <c r="I40" s="85">
        <v>82.197999999999993</v>
      </c>
      <c r="J40" s="85">
        <v>36.734499999999997</v>
      </c>
      <c r="K40" s="85">
        <v>129.66</v>
      </c>
      <c r="L40" s="85">
        <f>(2463.79-864.59+564)*0.055</f>
        <v>118.97599999999998</v>
      </c>
      <c r="M40" s="85">
        <f>(3258.65-601.87+346.8)*0.055</f>
        <v>165.19690000000003</v>
      </c>
      <c r="N40" s="85">
        <v>183.7319</v>
      </c>
      <c r="O40" s="85">
        <f>(3851.99+818.1-506.6)*0.055</f>
        <v>228.99195</v>
      </c>
      <c r="P40" s="85">
        <f>(2359.46-395.59+2856.81)*0.055</f>
        <v>265.13740000000001</v>
      </c>
      <c r="Q40" s="85">
        <f>(3265.75-3326+3914.13)*0.055</f>
        <v>211.96340000000001</v>
      </c>
      <c r="R40" s="85">
        <f>(4282.9+4251-2668.8)*0.055</f>
        <v>322.58049999999997</v>
      </c>
      <c r="S40" s="85">
        <f>(4220.83+4018.15-1668.88)*0.055</f>
        <v>361.35549999999995</v>
      </c>
      <c r="T40" s="85">
        <f>(4539.45-2201+4190)*0.055</f>
        <v>359.06475</v>
      </c>
      <c r="U40" s="85">
        <f>(624.44-0.69+1950.69)*0.055</f>
        <v>141.5942</v>
      </c>
      <c r="V40" s="85">
        <f>(635.6-17.23+2285.98)*0.055</f>
        <v>159.73925</v>
      </c>
      <c r="W40" s="85">
        <f>(600.88-3.62+2445.97)*0.055</f>
        <v>167.37764999999999</v>
      </c>
      <c r="X40" s="85">
        <f>(582+1742.6)*0.055</f>
        <v>127.85299999999999</v>
      </c>
      <c r="Y40" s="85">
        <f>(640.92+1823.04)*0.055</f>
        <v>135.51779999999999</v>
      </c>
      <c r="Z40" s="85">
        <f>(625.28+1192.17)*0.055</f>
        <v>99.95975</v>
      </c>
      <c r="AA40" s="85">
        <f>(594.31+1605.75)*0.055</f>
        <v>121.0033</v>
      </c>
      <c r="AB40" s="85">
        <f>(463.05+1205.62)*0.055</f>
        <v>91.776849999999996</v>
      </c>
      <c r="AC40" s="85">
        <f>(431.552+1028.17)*0.055</f>
        <v>80.284710000000018</v>
      </c>
      <c r="AD40" s="85"/>
    </row>
    <row r="41" spans="1:30">
      <c r="A41" s="82" t="s">
        <v>741</v>
      </c>
      <c r="B41" s="87" t="s">
        <v>643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5">
        <v>0</v>
      </c>
      <c r="W41" s="85">
        <v>0</v>
      </c>
      <c r="X41" s="85">
        <v>0</v>
      </c>
      <c r="Y41" s="85">
        <v>0</v>
      </c>
      <c r="Z41" s="85">
        <v>0</v>
      </c>
      <c r="AA41" s="85">
        <v>0</v>
      </c>
      <c r="AB41" s="85">
        <v>0</v>
      </c>
      <c r="AC41" s="85">
        <v>0</v>
      </c>
      <c r="AD41" s="85"/>
    </row>
    <row r="42" spans="1:30">
      <c r="A42" s="82" t="s">
        <v>768</v>
      </c>
      <c r="B42" s="83" t="s">
        <v>597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>
        <v>0</v>
      </c>
      <c r="O42" s="85">
        <v>0</v>
      </c>
      <c r="P42" s="85">
        <f>0.29*0.02</f>
        <v>5.7999999999999996E-3</v>
      </c>
      <c r="Q42" s="85">
        <v>0</v>
      </c>
      <c r="R42" s="85">
        <v>0</v>
      </c>
      <c r="S42" s="85">
        <v>0</v>
      </c>
      <c r="T42" s="85">
        <v>0</v>
      </c>
      <c r="U42" s="85">
        <v>0</v>
      </c>
      <c r="V42" s="85">
        <v>0</v>
      </c>
      <c r="W42" s="85">
        <f>0.5*0.02</f>
        <v>0.01</v>
      </c>
      <c r="X42" s="85">
        <v>0</v>
      </c>
      <c r="Y42" s="85">
        <v>0</v>
      </c>
      <c r="Z42" s="85">
        <v>0</v>
      </c>
      <c r="AA42" s="85">
        <v>0</v>
      </c>
      <c r="AB42" s="85">
        <v>0</v>
      </c>
      <c r="AC42" s="85">
        <v>0</v>
      </c>
      <c r="AD42" s="85"/>
    </row>
    <row r="43" spans="1:30">
      <c r="A43" s="82" t="s">
        <v>768</v>
      </c>
      <c r="B43" s="83" t="s">
        <v>600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>
        <v>0</v>
      </c>
      <c r="O43" s="85">
        <v>0</v>
      </c>
      <c r="P43" s="85">
        <v>0</v>
      </c>
      <c r="Q43" s="85">
        <v>0</v>
      </c>
      <c r="R43" s="85">
        <v>0</v>
      </c>
      <c r="S43" s="85">
        <v>0</v>
      </c>
      <c r="T43" s="85">
        <v>0</v>
      </c>
      <c r="U43" s="85">
        <v>0</v>
      </c>
      <c r="V43" s="85">
        <v>0</v>
      </c>
      <c r="W43" s="85">
        <v>0</v>
      </c>
      <c r="X43" s="85">
        <v>0</v>
      </c>
      <c r="Y43" s="85">
        <v>0</v>
      </c>
      <c r="Z43" s="85">
        <v>0</v>
      </c>
      <c r="AA43" s="85">
        <v>0</v>
      </c>
      <c r="AB43" s="85">
        <v>0</v>
      </c>
      <c r="AC43" s="85">
        <v>0</v>
      </c>
      <c r="AD43" s="85"/>
    </row>
    <row r="44" spans="1:30">
      <c r="A44" s="82" t="s">
        <v>768</v>
      </c>
      <c r="B44" s="83" t="s">
        <v>595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>
        <v>0</v>
      </c>
      <c r="O44" s="85">
        <v>0</v>
      </c>
      <c r="P44" s="85">
        <v>0</v>
      </c>
      <c r="Q44" s="85">
        <f>7.5*0.11</f>
        <v>0.82499999999999996</v>
      </c>
      <c r="R44" s="85">
        <v>0</v>
      </c>
      <c r="S44" s="85">
        <v>0</v>
      </c>
      <c r="T44" s="85">
        <v>0</v>
      </c>
      <c r="U44" s="85">
        <v>0</v>
      </c>
      <c r="V44" s="85">
        <v>0</v>
      </c>
      <c r="W44" s="85">
        <v>0</v>
      </c>
      <c r="X44" s="85">
        <v>0</v>
      </c>
      <c r="Y44" s="85">
        <v>0</v>
      </c>
      <c r="Z44" s="85">
        <v>0</v>
      </c>
      <c r="AA44" s="85">
        <v>0</v>
      </c>
      <c r="AB44" s="85">
        <v>0</v>
      </c>
      <c r="AC44" s="85">
        <v>0</v>
      </c>
      <c r="AD44" s="85"/>
    </row>
    <row r="45" spans="1:30">
      <c r="A45" s="82" t="s">
        <v>768</v>
      </c>
      <c r="B45" s="83" t="s">
        <v>700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>
        <f>14*0.11</f>
        <v>1.54</v>
      </c>
      <c r="S45" s="85">
        <f>20.3*0.11</f>
        <v>2.2330000000000001</v>
      </c>
      <c r="T45" s="85">
        <f>22*0.11</f>
        <v>2.42</v>
      </c>
      <c r="U45" s="85">
        <f>4.587*0.11</f>
        <v>0.50456999999999996</v>
      </c>
      <c r="V45" s="85">
        <v>0</v>
      </c>
      <c r="W45" s="85">
        <v>0</v>
      </c>
      <c r="X45" s="85">
        <v>0</v>
      </c>
      <c r="Y45" s="85">
        <v>0</v>
      </c>
      <c r="Z45" s="85">
        <v>0</v>
      </c>
      <c r="AA45" s="85">
        <v>0</v>
      </c>
      <c r="AB45" s="85">
        <v>0</v>
      </c>
      <c r="AC45" s="85">
        <v>0</v>
      </c>
      <c r="AD45" s="85"/>
    </row>
    <row r="46" spans="1:30">
      <c r="A46" s="82" t="s">
        <v>768</v>
      </c>
      <c r="B46" s="83" t="s">
        <v>596</v>
      </c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0</v>
      </c>
      <c r="T46" s="85">
        <v>0</v>
      </c>
      <c r="U46" s="85">
        <v>0</v>
      </c>
      <c r="V46" s="85">
        <v>0</v>
      </c>
      <c r="W46" s="85">
        <v>0</v>
      </c>
      <c r="X46" s="85">
        <v>0</v>
      </c>
      <c r="Y46" s="85">
        <v>0</v>
      </c>
      <c r="Z46" s="85">
        <v>0</v>
      </c>
      <c r="AA46" s="85">
        <v>0</v>
      </c>
      <c r="AB46" s="85">
        <v>0</v>
      </c>
      <c r="AC46" s="85">
        <v>0</v>
      </c>
      <c r="AD46" s="85"/>
    </row>
    <row r="47" spans="1:30">
      <c r="A47" s="82" t="s">
        <v>768</v>
      </c>
      <c r="B47" s="83" t="s">
        <v>594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>
        <f>69.5*0.055</f>
        <v>3.8225000000000002</v>
      </c>
      <c r="O47" s="85">
        <f>80*0.055</f>
        <v>4.4000000000000004</v>
      </c>
      <c r="P47" s="85">
        <f>88*0.055</f>
        <v>4.84</v>
      </c>
      <c r="Q47" s="85">
        <f>123.82*0.055</f>
        <v>6.8100999999999994</v>
      </c>
      <c r="R47" s="85">
        <f>129.58*0.055</f>
        <v>7.1269000000000009</v>
      </c>
      <c r="S47" s="85">
        <f>136.4*0.055</f>
        <v>7.5020000000000007</v>
      </c>
      <c r="T47" s="85">
        <f>103*0.055</f>
        <v>5.665</v>
      </c>
      <c r="U47" s="85">
        <f>82.62*0.055</f>
        <v>4.5441000000000003</v>
      </c>
      <c r="V47" s="85">
        <f>57.33*0.055</f>
        <v>3.1531500000000001</v>
      </c>
      <c r="W47" s="85">
        <f>42.361*0.055</f>
        <v>2.3298549999999998</v>
      </c>
      <c r="X47" s="85">
        <f>11.458*0.055</f>
        <v>0.63019000000000003</v>
      </c>
      <c r="Y47" s="85">
        <f>17*0.055</f>
        <v>0.93500000000000005</v>
      </c>
      <c r="Z47" s="85">
        <f>42664/1000*0.055</f>
        <v>2.3465199999999999</v>
      </c>
      <c r="AA47" s="85">
        <f>40.392*0.055</f>
        <v>2.2215600000000002</v>
      </c>
      <c r="AB47" s="85">
        <f>40.12*0.055</f>
        <v>2.2065999999999999</v>
      </c>
      <c r="AC47" s="85">
        <f>10.2*0.055</f>
        <v>0.56099999999999994</v>
      </c>
      <c r="AD47" s="85"/>
    </row>
    <row r="48" spans="1:30">
      <c r="A48" s="82" t="s">
        <v>768</v>
      </c>
      <c r="B48" s="87" t="s">
        <v>643</v>
      </c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>
        <v>0</v>
      </c>
      <c r="O48" s="85">
        <v>0</v>
      </c>
      <c r="P48" s="85">
        <v>0</v>
      </c>
      <c r="Q48" s="85">
        <v>0</v>
      </c>
      <c r="R48" s="85">
        <v>0</v>
      </c>
      <c r="S48" s="85">
        <v>0</v>
      </c>
      <c r="T48" s="85">
        <v>0</v>
      </c>
      <c r="U48" s="85">
        <v>0</v>
      </c>
      <c r="V48" s="85">
        <v>0</v>
      </c>
      <c r="W48" s="85">
        <v>0</v>
      </c>
      <c r="X48" s="85">
        <v>0</v>
      </c>
      <c r="Y48" s="85">
        <v>0</v>
      </c>
      <c r="Z48" s="85">
        <v>0</v>
      </c>
      <c r="AA48" s="85">
        <v>0</v>
      </c>
      <c r="AB48" s="85">
        <v>0</v>
      </c>
      <c r="AC48" s="85">
        <v>0</v>
      </c>
      <c r="AD48" s="85"/>
    </row>
    <row r="49" spans="1:30">
      <c r="A49" s="82" t="s">
        <v>542</v>
      </c>
      <c r="B49" s="83" t="s">
        <v>597</v>
      </c>
      <c r="C49" s="85">
        <v>0</v>
      </c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0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C49" s="85">
        <v>0</v>
      </c>
      <c r="AD49" s="85"/>
    </row>
    <row r="50" spans="1:30">
      <c r="A50" s="82" t="s">
        <v>542</v>
      </c>
      <c r="B50" s="83" t="s">
        <v>600</v>
      </c>
      <c r="C50" s="85">
        <v>0</v>
      </c>
      <c r="D50" s="85">
        <v>0</v>
      </c>
      <c r="E50" s="85">
        <v>0</v>
      </c>
      <c r="F50" s="85">
        <v>0</v>
      </c>
      <c r="G50" s="85">
        <v>0</v>
      </c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5">
        <v>0</v>
      </c>
      <c r="Q50" s="85">
        <v>0</v>
      </c>
      <c r="R50" s="85">
        <v>0</v>
      </c>
      <c r="S50" s="85">
        <v>0</v>
      </c>
      <c r="T50" s="85">
        <v>0</v>
      </c>
      <c r="U50" s="85">
        <v>0</v>
      </c>
      <c r="V50" s="85">
        <v>0</v>
      </c>
      <c r="W50" s="85">
        <v>0</v>
      </c>
      <c r="X50" s="85">
        <v>0</v>
      </c>
      <c r="Y50" s="85">
        <v>0</v>
      </c>
      <c r="Z50" s="85">
        <v>0</v>
      </c>
      <c r="AA50" s="85">
        <v>0</v>
      </c>
      <c r="AB50" s="85">
        <v>0</v>
      </c>
      <c r="AC50" s="85">
        <v>0</v>
      </c>
      <c r="AD50" s="85"/>
    </row>
    <row r="51" spans="1:30">
      <c r="A51" s="82" t="s">
        <v>542</v>
      </c>
      <c r="B51" s="83" t="s">
        <v>595</v>
      </c>
      <c r="C51" s="85">
        <v>0</v>
      </c>
      <c r="D51" s="85">
        <v>0</v>
      </c>
      <c r="E51" s="85">
        <v>0</v>
      </c>
      <c r="F51" s="85">
        <v>0</v>
      </c>
      <c r="G51" s="85">
        <v>0</v>
      </c>
      <c r="H51" s="85">
        <v>0</v>
      </c>
      <c r="I51" s="85">
        <v>0</v>
      </c>
      <c r="J51" s="85">
        <v>0</v>
      </c>
      <c r="K51" s="85">
        <v>0</v>
      </c>
      <c r="L51" s="85">
        <v>0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0</v>
      </c>
      <c r="S51" s="85">
        <v>0</v>
      </c>
      <c r="T51" s="85">
        <v>0</v>
      </c>
      <c r="U51" s="85">
        <v>0</v>
      </c>
      <c r="V51" s="85">
        <v>0</v>
      </c>
      <c r="W51" s="85">
        <v>0</v>
      </c>
      <c r="X51" s="85">
        <v>0</v>
      </c>
      <c r="Y51" s="85">
        <v>0</v>
      </c>
      <c r="Z51" s="85">
        <v>0</v>
      </c>
      <c r="AA51" s="85">
        <v>0</v>
      </c>
      <c r="AB51" s="85">
        <v>0</v>
      </c>
      <c r="AC51" s="85">
        <v>0</v>
      </c>
      <c r="AD51" s="85"/>
    </row>
    <row r="52" spans="1:30">
      <c r="A52" s="82" t="s">
        <v>542</v>
      </c>
      <c r="B52" s="83" t="s">
        <v>596</v>
      </c>
      <c r="C52" s="85">
        <v>0</v>
      </c>
      <c r="D52" s="85">
        <v>0</v>
      </c>
      <c r="E52" s="85">
        <v>0</v>
      </c>
      <c r="F52" s="85">
        <v>0</v>
      </c>
      <c r="G52" s="85">
        <v>0</v>
      </c>
      <c r="H52" s="85">
        <v>0</v>
      </c>
      <c r="I52" s="85">
        <v>0</v>
      </c>
      <c r="J52" s="85">
        <v>0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>
        <v>0</v>
      </c>
      <c r="R52" s="85">
        <v>0</v>
      </c>
      <c r="S52" s="85">
        <v>0</v>
      </c>
      <c r="T52" s="85">
        <v>0</v>
      </c>
      <c r="U52" s="85">
        <v>0</v>
      </c>
      <c r="V52" s="85">
        <v>0</v>
      </c>
      <c r="W52" s="85">
        <v>0</v>
      </c>
      <c r="X52" s="85">
        <v>0</v>
      </c>
      <c r="Y52" s="85">
        <v>0</v>
      </c>
      <c r="Z52" s="85">
        <v>0</v>
      </c>
      <c r="AA52" s="85">
        <v>0</v>
      </c>
      <c r="AB52" s="85">
        <v>0</v>
      </c>
      <c r="AC52" s="85">
        <v>0</v>
      </c>
      <c r="AD52" s="85"/>
    </row>
    <row r="53" spans="1:30">
      <c r="A53" s="82" t="s">
        <v>542</v>
      </c>
      <c r="B53" s="83" t="s">
        <v>594</v>
      </c>
      <c r="C53" s="85">
        <v>0</v>
      </c>
      <c r="D53" s="85">
        <v>0</v>
      </c>
      <c r="E53" s="85">
        <v>2.1147499999999999</v>
      </c>
      <c r="F53" s="85">
        <v>4.1607500000000002</v>
      </c>
      <c r="G53" s="85">
        <v>6.2095000000000002</v>
      </c>
      <c r="H53" s="85">
        <f>70.9*0.055</f>
        <v>3.8995000000000002</v>
      </c>
      <c r="I53" s="85">
        <v>5.32</v>
      </c>
      <c r="J53" s="85">
        <f>48.85*0.055</f>
        <v>2.68675</v>
      </c>
      <c r="K53" s="85">
        <v>3.2021000000000002</v>
      </c>
      <c r="L53" s="85">
        <f>91.13*0.055</f>
        <v>5.0121500000000001</v>
      </c>
      <c r="M53" s="85">
        <f>102.65*0.055</f>
        <v>5.6457500000000005</v>
      </c>
      <c r="N53" s="85">
        <v>4.8647499999999999</v>
      </c>
      <c r="O53" s="85">
        <f>104.75*0.055</f>
        <v>5.7612500000000004</v>
      </c>
      <c r="P53" s="85">
        <f>71.7*0.055</f>
        <v>3.9435000000000002</v>
      </c>
      <c r="Q53" s="85">
        <f>61.63*0.055</f>
        <v>3.3896500000000001</v>
      </c>
      <c r="R53" s="85">
        <f>111.46*0.055</f>
        <v>6.1303000000000001</v>
      </c>
      <c r="S53" s="85">
        <f>55.5*0.055</f>
        <v>3.0525000000000002</v>
      </c>
      <c r="T53" s="85">
        <f>49.6*0.055</f>
        <v>2.7280000000000002</v>
      </c>
      <c r="U53" s="85">
        <f>49.4*0.055</f>
        <v>2.7170000000000001</v>
      </c>
      <c r="V53" s="85">
        <f>49.2*0.055</f>
        <v>2.706</v>
      </c>
      <c r="W53" s="85">
        <f>64*0.055</f>
        <v>3.52</v>
      </c>
      <c r="X53" s="85">
        <f>68*0.055</f>
        <v>3.74</v>
      </c>
      <c r="Y53" s="85">
        <f>50*0.055</f>
        <v>2.75</v>
      </c>
      <c r="Z53" s="85">
        <f>49.4*0.055</f>
        <v>2.7170000000000001</v>
      </c>
      <c r="AA53" s="85">
        <f>48.82*0.055</f>
        <v>2.6850999999999998</v>
      </c>
      <c r="AB53" s="85">
        <f>47.7*0.055</f>
        <v>2.6235000000000004</v>
      </c>
      <c r="AC53" s="85">
        <f>38.2*0.055</f>
        <v>2.101</v>
      </c>
      <c r="AD53" s="85"/>
    </row>
    <row r="54" spans="1:30">
      <c r="A54" s="82" t="s">
        <v>542</v>
      </c>
      <c r="B54" s="87" t="s">
        <v>643</v>
      </c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>
        <v>0</v>
      </c>
      <c r="O54" s="85">
        <v>0</v>
      </c>
      <c r="P54" s="85">
        <v>0</v>
      </c>
      <c r="Q54" s="85">
        <v>0</v>
      </c>
      <c r="R54" s="85">
        <v>0</v>
      </c>
      <c r="S54" s="85">
        <v>0</v>
      </c>
      <c r="T54" s="85">
        <v>0</v>
      </c>
      <c r="U54" s="85">
        <v>0</v>
      </c>
      <c r="V54" s="85">
        <v>0</v>
      </c>
      <c r="W54" s="85">
        <v>0</v>
      </c>
      <c r="X54" s="85">
        <v>0</v>
      </c>
      <c r="Y54" s="85">
        <v>0</v>
      </c>
      <c r="Z54" s="85">
        <v>0</v>
      </c>
      <c r="AA54" s="85">
        <v>0</v>
      </c>
      <c r="AB54" s="85">
        <v>0</v>
      </c>
      <c r="AC54" s="85">
        <v>0</v>
      </c>
      <c r="AD54" s="85"/>
    </row>
    <row r="55" spans="1:30">
      <c r="A55" s="82" t="s">
        <v>537</v>
      </c>
      <c r="B55" s="83" t="s">
        <v>597</v>
      </c>
      <c r="C55" s="85">
        <v>0</v>
      </c>
      <c r="D55" s="85">
        <v>0</v>
      </c>
      <c r="E55" s="85">
        <v>0</v>
      </c>
      <c r="F55" s="85">
        <v>0</v>
      </c>
      <c r="G55" s="85">
        <v>0</v>
      </c>
      <c r="H55" s="85">
        <v>0</v>
      </c>
      <c r="I55" s="85">
        <v>0</v>
      </c>
      <c r="J55" s="85">
        <v>0</v>
      </c>
      <c r="K55" s="85">
        <v>0</v>
      </c>
      <c r="L55" s="85">
        <v>0</v>
      </c>
      <c r="M55" s="85">
        <v>0</v>
      </c>
      <c r="N55" s="85">
        <v>0</v>
      </c>
      <c r="O55" s="85">
        <v>0</v>
      </c>
      <c r="P55" s="85">
        <v>0</v>
      </c>
      <c r="Q55" s="85">
        <v>0</v>
      </c>
      <c r="R55" s="85">
        <v>0</v>
      </c>
      <c r="S55" s="85">
        <v>0</v>
      </c>
      <c r="T55" s="85">
        <v>0</v>
      </c>
      <c r="U55" s="85">
        <f>2.724*0.02</f>
        <v>5.4480000000000008E-2</v>
      </c>
      <c r="V55" s="85">
        <f>2.724*0.02</f>
        <v>5.4480000000000008E-2</v>
      </c>
      <c r="W55" s="85">
        <v>0</v>
      </c>
      <c r="X55" s="85">
        <f>2.5424*0.02</f>
        <v>5.0848000000000004E-2</v>
      </c>
      <c r="Y55" s="85">
        <f>2.9056*0.02</f>
        <v>5.8112000000000004E-2</v>
      </c>
      <c r="Z55" s="85">
        <v>0</v>
      </c>
      <c r="AA55" s="85">
        <v>0</v>
      </c>
      <c r="AB55" s="85">
        <v>0</v>
      </c>
      <c r="AC55" s="85">
        <v>0</v>
      </c>
      <c r="AD55" s="85"/>
    </row>
    <row r="56" spans="1:30">
      <c r="A56" s="82" t="s">
        <v>537</v>
      </c>
      <c r="B56" s="83" t="s">
        <v>600</v>
      </c>
      <c r="C56" s="85">
        <v>0</v>
      </c>
      <c r="D56" s="85">
        <v>0</v>
      </c>
      <c r="E56" s="85">
        <v>0</v>
      </c>
      <c r="F56" s="85">
        <v>0</v>
      </c>
      <c r="G56" s="85">
        <v>0</v>
      </c>
      <c r="H56" s="85">
        <v>0</v>
      </c>
      <c r="I56" s="85">
        <v>0</v>
      </c>
      <c r="J56" s="85">
        <v>0</v>
      </c>
      <c r="K56" s="85">
        <v>0</v>
      </c>
      <c r="L56" s="85">
        <v>0</v>
      </c>
      <c r="M56" s="85">
        <v>0</v>
      </c>
      <c r="N56" s="85">
        <v>0</v>
      </c>
      <c r="O56" s="85">
        <v>0</v>
      </c>
      <c r="P56" s="85">
        <v>0</v>
      </c>
      <c r="Q56" s="85">
        <v>0</v>
      </c>
      <c r="R56" s="85">
        <v>0</v>
      </c>
      <c r="S56" s="85">
        <v>0</v>
      </c>
      <c r="T56" s="85">
        <v>0</v>
      </c>
      <c r="U56" s="85">
        <v>0</v>
      </c>
      <c r="V56" s="85">
        <f>1.63*0.022</f>
        <v>3.5859999999999996E-2</v>
      </c>
      <c r="W56" s="85">
        <v>0</v>
      </c>
      <c r="X56" s="85">
        <v>0</v>
      </c>
      <c r="Y56" s="85">
        <v>0</v>
      </c>
      <c r="Z56" s="85">
        <v>0</v>
      </c>
      <c r="AA56" s="85">
        <v>0</v>
      </c>
      <c r="AB56" s="85">
        <v>0</v>
      </c>
      <c r="AC56" s="85">
        <v>0</v>
      </c>
      <c r="AD56" s="85"/>
    </row>
    <row r="57" spans="1:30">
      <c r="A57" s="82" t="s">
        <v>537</v>
      </c>
      <c r="B57" s="83" t="s">
        <v>595</v>
      </c>
      <c r="C57" s="85">
        <v>0</v>
      </c>
      <c r="D57" s="85">
        <v>0</v>
      </c>
      <c r="E57" s="85">
        <v>0</v>
      </c>
      <c r="F57" s="85">
        <v>0</v>
      </c>
      <c r="G57" s="85">
        <v>0</v>
      </c>
      <c r="H57" s="85">
        <f>75*0.11</f>
        <v>8.25</v>
      </c>
      <c r="I57" s="85">
        <f>120*0.11</f>
        <v>13.2</v>
      </c>
      <c r="J57" s="85">
        <f>150*0.11</f>
        <v>16.5</v>
      </c>
      <c r="K57" s="85">
        <v>0</v>
      </c>
      <c r="L57" s="85">
        <f>0.7*0.11</f>
        <v>7.6999999999999999E-2</v>
      </c>
      <c r="M57" s="85">
        <f>3.9*0.11</f>
        <v>0.42899999999999999</v>
      </c>
      <c r="N57" s="85">
        <f>4.3*0.11</f>
        <v>0.47299999999999998</v>
      </c>
      <c r="O57" s="85">
        <f>4.3*0.11</f>
        <v>0.47299999999999998</v>
      </c>
      <c r="P57" s="85">
        <f>1.16*0.11</f>
        <v>0.12759999999999999</v>
      </c>
      <c r="Q57" s="85">
        <f>6.2*0.11</f>
        <v>0.68200000000000005</v>
      </c>
      <c r="R57" s="85">
        <f>1.74*0.11</f>
        <v>0.19139999999999999</v>
      </c>
      <c r="S57" s="85">
        <f>5.5*0.11</f>
        <v>0.60499999999999998</v>
      </c>
      <c r="T57" s="85">
        <f>7.344*0.11</f>
        <v>0.80784</v>
      </c>
      <c r="U57" s="85">
        <f>4.6768*0.11</f>
        <v>0.51444800000000002</v>
      </c>
      <c r="V57" s="85">
        <f>7.82*0.11</f>
        <v>0.86020000000000008</v>
      </c>
      <c r="W57" s="85">
        <f>3.4816*0.11</f>
        <v>0.38297599999999998</v>
      </c>
      <c r="X57" s="85">
        <f>3.5498*0.11</f>
        <v>0.39047799999999999</v>
      </c>
      <c r="Y57" s="85">
        <f>1.999*0.11</f>
        <v>0.21989</v>
      </c>
      <c r="Z57" s="85">
        <f>1.944*0.11</f>
        <v>0.21384</v>
      </c>
      <c r="AA57" s="85">
        <f>2.0128*0.11</f>
        <v>0.22140799999999999</v>
      </c>
      <c r="AB57" s="85">
        <v>0</v>
      </c>
      <c r="AC57" s="85">
        <v>0</v>
      </c>
      <c r="AD57" s="85"/>
    </row>
    <row r="58" spans="1:30">
      <c r="A58" s="82" t="s">
        <v>537</v>
      </c>
      <c r="B58" s="83" t="s">
        <v>700</v>
      </c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>
        <f>20.13*0.11</f>
        <v>2.2142999999999997</v>
      </c>
      <c r="R58" s="85">
        <f>25.76*0.11</f>
        <v>2.8336000000000001</v>
      </c>
      <c r="S58" s="85">
        <f>62.75*0.11</f>
        <v>6.9024999999999999</v>
      </c>
      <c r="T58" s="85">
        <f>86.1049*0.11</f>
        <v>9.4715389999999999</v>
      </c>
      <c r="U58" s="85">
        <f>123.1473*0.11</f>
        <v>13.546203</v>
      </c>
      <c r="V58" s="85">
        <v>0</v>
      </c>
      <c r="W58" s="85">
        <v>0</v>
      </c>
      <c r="X58" s="85">
        <f>172.978*0.11</f>
        <v>19.02758</v>
      </c>
      <c r="Y58" s="85">
        <f>170.456*0.11</f>
        <v>18.750159999999997</v>
      </c>
      <c r="Z58" s="85">
        <f>192.442*0.11</f>
        <v>21.168620000000001</v>
      </c>
      <c r="AA58" s="85">
        <f>125.539*0.11</f>
        <v>13.809290000000001</v>
      </c>
      <c r="AB58" s="85">
        <v>0</v>
      </c>
      <c r="AC58" s="85">
        <v>0</v>
      </c>
      <c r="AD58" s="85"/>
    </row>
    <row r="59" spans="1:30">
      <c r="A59" s="82" t="s">
        <v>537</v>
      </c>
      <c r="B59" s="83" t="s">
        <v>596</v>
      </c>
      <c r="C59" s="85">
        <v>0</v>
      </c>
      <c r="D59" s="85">
        <v>0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0</v>
      </c>
      <c r="K59" s="85">
        <v>0</v>
      </c>
      <c r="L59" s="85">
        <v>0</v>
      </c>
      <c r="M59" s="85">
        <v>0</v>
      </c>
      <c r="N59" s="85">
        <v>0</v>
      </c>
      <c r="O59" s="85">
        <v>0</v>
      </c>
      <c r="P59" s="85">
        <v>0</v>
      </c>
      <c r="Q59" s="85">
        <v>0</v>
      </c>
      <c r="R59" s="85">
        <v>0</v>
      </c>
      <c r="S59" s="85">
        <v>0</v>
      </c>
      <c r="T59" s="85">
        <v>0</v>
      </c>
      <c r="U59" s="85">
        <v>0</v>
      </c>
      <c r="V59" s="85">
        <v>0</v>
      </c>
      <c r="W59" s="85">
        <v>0</v>
      </c>
      <c r="X59" s="85">
        <v>0</v>
      </c>
      <c r="Y59" s="85">
        <v>0</v>
      </c>
      <c r="Z59" s="85">
        <v>0</v>
      </c>
      <c r="AA59" s="85">
        <v>0</v>
      </c>
      <c r="AB59" s="85">
        <v>0</v>
      </c>
      <c r="AC59" s="85">
        <v>0</v>
      </c>
      <c r="AD59" s="85"/>
    </row>
    <row r="60" spans="1:30">
      <c r="A60" s="82" t="s">
        <v>537</v>
      </c>
      <c r="B60" s="83" t="s">
        <v>594</v>
      </c>
      <c r="C60" s="85">
        <f>298*0.055</f>
        <v>16.39</v>
      </c>
      <c r="D60" s="85">
        <f>387.2*0.055</f>
        <v>21.295999999999999</v>
      </c>
      <c r="E60" s="85">
        <f>400*0.055</f>
        <v>22</v>
      </c>
      <c r="F60" s="85">
        <f>400*0.055</f>
        <v>22</v>
      </c>
      <c r="G60" s="85">
        <f>315*0.055</f>
        <v>17.324999999999999</v>
      </c>
      <c r="H60" s="85">
        <f>500*0.055</f>
        <v>27.5</v>
      </c>
      <c r="I60" s="85">
        <f>400*0.055</f>
        <v>22</v>
      </c>
      <c r="J60" s="85">
        <f>390*0.055</f>
        <v>21.45</v>
      </c>
      <c r="K60" s="85">
        <v>0</v>
      </c>
      <c r="L60" s="85">
        <f>358.3*0.055</f>
        <v>19.706500000000002</v>
      </c>
      <c r="M60" s="85">
        <f>482.56*0.055</f>
        <v>26.540800000000001</v>
      </c>
      <c r="N60" s="85">
        <f>512.83*0.055</f>
        <v>28.205650000000002</v>
      </c>
      <c r="O60" s="85">
        <f>512.833*0.055</f>
        <v>28.205814999999998</v>
      </c>
      <c r="P60" s="85">
        <f>702.3*0.055</f>
        <v>38.6265</v>
      </c>
      <c r="Q60" s="85">
        <f>807.16*0.055</f>
        <v>44.393799999999999</v>
      </c>
      <c r="R60" s="85">
        <f>1064.36*0.055</f>
        <v>58.539799999999993</v>
      </c>
      <c r="S60" s="85">
        <f>1031.1*0.055</f>
        <v>56.710499999999996</v>
      </c>
      <c r="T60" s="85">
        <f>1385.8*0.055</f>
        <v>76.218999999999994</v>
      </c>
      <c r="U60" s="85">
        <f>891.4233*0.055</f>
        <v>49.028281500000006</v>
      </c>
      <c r="V60" s="85">
        <f>876.13*0.055</f>
        <v>48.187150000000003</v>
      </c>
      <c r="W60" s="85">
        <f>829.0442*0.055</f>
        <v>45.597431</v>
      </c>
      <c r="X60" s="85">
        <f>824.2256*0.055</f>
        <v>45.332408000000001</v>
      </c>
      <c r="Y60" s="85">
        <f>798.8505*0.055</f>
        <v>43.936777499999998</v>
      </c>
      <c r="Z60" s="85">
        <f>735.152*0.055</f>
        <v>40.43336</v>
      </c>
      <c r="AA60" s="85">
        <f>669.4432*0.055</f>
        <v>36.819376000000005</v>
      </c>
      <c r="AB60" s="85">
        <f>595.5536*0.055</f>
        <v>32.755448000000001</v>
      </c>
      <c r="AC60" s="85">
        <f>447.384*0.055</f>
        <v>24.606120000000001</v>
      </c>
      <c r="AD60" s="85"/>
    </row>
    <row r="61" spans="1:30">
      <c r="A61" s="82" t="s">
        <v>537</v>
      </c>
      <c r="B61" s="87" t="s">
        <v>643</v>
      </c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>
        <v>0</v>
      </c>
      <c r="O61" s="85">
        <v>0</v>
      </c>
      <c r="P61" s="85">
        <v>0</v>
      </c>
      <c r="Q61" s="85">
        <v>0</v>
      </c>
      <c r="R61" s="85">
        <v>0</v>
      </c>
      <c r="S61" s="85">
        <v>0</v>
      </c>
      <c r="T61" s="85">
        <v>0</v>
      </c>
      <c r="U61" s="85">
        <v>0</v>
      </c>
      <c r="V61" s="85">
        <v>0</v>
      </c>
      <c r="W61" s="85">
        <v>0</v>
      </c>
      <c r="X61" s="85">
        <v>0</v>
      </c>
      <c r="Y61" s="85">
        <v>0</v>
      </c>
      <c r="Z61" s="85">
        <v>0</v>
      </c>
      <c r="AA61" s="85">
        <v>0</v>
      </c>
      <c r="AB61" s="85">
        <v>0</v>
      </c>
      <c r="AC61" s="85">
        <v>0</v>
      </c>
      <c r="AD61" s="85"/>
    </row>
    <row r="62" spans="1:30">
      <c r="A62" s="82" t="s">
        <v>541</v>
      </c>
      <c r="B62" s="83" t="s">
        <v>597</v>
      </c>
      <c r="C62" s="85">
        <v>0</v>
      </c>
      <c r="D62" s="85">
        <v>0</v>
      </c>
      <c r="E62" s="85">
        <f>5.06*0.02</f>
        <v>0.1012</v>
      </c>
      <c r="F62" s="85">
        <v>0</v>
      </c>
      <c r="G62" s="85">
        <v>0</v>
      </c>
      <c r="H62" s="85">
        <v>0</v>
      </c>
      <c r="I62" s="85">
        <v>0</v>
      </c>
      <c r="J62" s="85">
        <v>0</v>
      </c>
      <c r="K62" s="85">
        <v>0</v>
      </c>
      <c r="L62" s="84" t="s">
        <v>680</v>
      </c>
      <c r="M62" s="85">
        <v>0</v>
      </c>
      <c r="N62" s="85">
        <v>0</v>
      </c>
      <c r="O62" s="85">
        <v>0</v>
      </c>
      <c r="P62" s="85">
        <f>6*0.02</f>
        <v>0.12</v>
      </c>
      <c r="Q62" s="85">
        <f>8*0.02</f>
        <v>0.16</v>
      </c>
      <c r="R62" s="85">
        <f>12.65*0.02</f>
        <v>0.253</v>
      </c>
      <c r="S62" s="85">
        <f>15.004*0.02</f>
        <v>0.30008000000000001</v>
      </c>
      <c r="T62" s="85">
        <f>7.05*0.02</f>
        <v>0.14099999999999999</v>
      </c>
      <c r="U62" s="85">
        <f>6.8*0.02</f>
        <v>0.13600000000000001</v>
      </c>
      <c r="V62" s="85">
        <f>3*0.02</f>
        <v>0.06</v>
      </c>
      <c r="W62" s="85">
        <f>7*0.02</f>
        <v>0.14000000000000001</v>
      </c>
      <c r="X62" s="85">
        <f>11*0.02</f>
        <v>0.22</v>
      </c>
      <c r="Y62" s="85">
        <f>7*0.02</f>
        <v>0.14000000000000001</v>
      </c>
      <c r="Z62" s="85">
        <f>3.01*0.02</f>
        <v>6.0199999999999997E-2</v>
      </c>
      <c r="AA62" s="85">
        <f>2.5*0.02</f>
        <v>0.05</v>
      </c>
      <c r="AB62" s="85">
        <f>2.6*0.02</f>
        <v>5.2000000000000005E-2</v>
      </c>
      <c r="AC62" s="85">
        <f>2*0.02</f>
        <v>0.04</v>
      </c>
      <c r="AD62" s="85"/>
    </row>
    <row r="63" spans="1:30">
      <c r="A63" s="82" t="s">
        <v>541</v>
      </c>
      <c r="B63" s="83" t="s">
        <v>600</v>
      </c>
      <c r="C63" s="85">
        <v>0</v>
      </c>
      <c r="D63" s="85">
        <v>0</v>
      </c>
      <c r="E63" s="85">
        <v>0</v>
      </c>
      <c r="F63" s="85">
        <v>0</v>
      </c>
      <c r="G63" s="85">
        <v>0</v>
      </c>
      <c r="H63" s="85">
        <v>0</v>
      </c>
      <c r="I63" s="85">
        <v>0</v>
      </c>
      <c r="J63" s="85">
        <v>0</v>
      </c>
      <c r="K63" s="85">
        <v>0</v>
      </c>
      <c r="L63" s="84" t="s">
        <v>680</v>
      </c>
      <c r="M63" s="85">
        <v>0</v>
      </c>
      <c r="N63" s="85">
        <v>0</v>
      </c>
      <c r="O63" s="85">
        <v>0</v>
      </c>
      <c r="P63" s="85">
        <v>0</v>
      </c>
      <c r="Q63" s="85">
        <v>0</v>
      </c>
      <c r="R63" s="85">
        <f>5.79*0.022</f>
        <v>0.12737999999999999</v>
      </c>
      <c r="S63" s="85">
        <f>3.27*0.022</f>
        <v>7.193999999999999E-2</v>
      </c>
      <c r="T63" s="85">
        <v>0</v>
      </c>
      <c r="U63" s="85">
        <v>0</v>
      </c>
      <c r="V63" s="85">
        <v>0</v>
      </c>
      <c r="W63" s="85">
        <v>0</v>
      </c>
      <c r="X63" s="85">
        <v>0</v>
      </c>
      <c r="Y63" s="85">
        <v>0</v>
      </c>
      <c r="Z63" s="85">
        <v>0</v>
      </c>
      <c r="AA63" s="85">
        <v>0</v>
      </c>
      <c r="AB63" s="85">
        <v>0</v>
      </c>
      <c r="AC63" s="85">
        <v>0</v>
      </c>
      <c r="AD63" s="85"/>
    </row>
    <row r="64" spans="1:30">
      <c r="A64" s="82" t="s">
        <v>541</v>
      </c>
      <c r="B64" s="83" t="s">
        <v>595</v>
      </c>
      <c r="C64" s="85">
        <v>0</v>
      </c>
      <c r="D64" s="85">
        <v>0</v>
      </c>
      <c r="E64" s="85">
        <v>0</v>
      </c>
      <c r="F64" s="85">
        <v>0</v>
      </c>
      <c r="G64" s="85">
        <v>0</v>
      </c>
      <c r="H64" s="85">
        <v>0</v>
      </c>
      <c r="I64" s="85">
        <v>0</v>
      </c>
      <c r="J64" s="85">
        <v>0</v>
      </c>
      <c r="K64" s="85">
        <v>0</v>
      </c>
      <c r="L64" s="84" t="s">
        <v>680</v>
      </c>
      <c r="M64" s="85">
        <v>0</v>
      </c>
      <c r="N64" s="85">
        <v>0</v>
      </c>
      <c r="O64" s="85">
        <f>45*0.11</f>
        <v>4.95</v>
      </c>
      <c r="P64" s="85">
        <f>120*0.11</f>
        <v>13.2</v>
      </c>
      <c r="Q64" s="85">
        <f>190*0.11</f>
        <v>20.9</v>
      </c>
      <c r="R64" s="85">
        <f>196*0.11</f>
        <v>21.56</v>
      </c>
      <c r="S64" s="85">
        <f>198*0.11</f>
        <v>21.78</v>
      </c>
      <c r="T64" s="85">
        <f>50*0.11</f>
        <v>5.5</v>
      </c>
      <c r="U64" s="85">
        <f>40*0.11</f>
        <v>4.4000000000000004</v>
      </c>
      <c r="V64" s="85">
        <v>0</v>
      </c>
      <c r="W64" s="85">
        <v>0</v>
      </c>
      <c r="X64" s="85">
        <v>0</v>
      </c>
      <c r="Y64" s="85">
        <v>0</v>
      </c>
      <c r="Z64" s="85">
        <v>0</v>
      </c>
      <c r="AA64" s="85">
        <v>0</v>
      </c>
      <c r="AB64" s="85">
        <v>0</v>
      </c>
      <c r="AC64" s="85">
        <v>0</v>
      </c>
      <c r="AD64" s="85"/>
    </row>
    <row r="65" spans="1:30">
      <c r="A65" s="82" t="s">
        <v>541</v>
      </c>
      <c r="B65" s="83" t="s">
        <v>700</v>
      </c>
      <c r="C65" s="85"/>
      <c r="D65" s="85"/>
      <c r="E65" s="85"/>
      <c r="F65" s="85"/>
      <c r="G65" s="85"/>
      <c r="H65" s="85"/>
      <c r="I65" s="85"/>
      <c r="J65" s="85"/>
      <c r="K65" s="85"/>
      <c r="L65" s="84"/>
      <c r="M65" s="85"/>
      <c r="N65" s="85"/>
      <c r="O65" s="85"/>
      <c r="P65" s="85"/>
      <c r="Q65" s="85"/>
      <c r="R65" s="85"/>
      <c r="S65" s="85"/>
      <c r="T65" s="85">
        <f>190*0.11</f>
        <v>20.9</v>
      </c>
      <c r="U65" s="85">
        <f>50*0.11</f>
        <v>5.5</v>
      </c>
      <c r="V65" s="85">
        <f>110*0.11</f>
        <v>12.1</v>
      </c>
      <c r="W65" s="85">
        <f>140*0.11</f>
        <v>15.4</v>
      </c>
      <c r="X65" s="85">
        <f>150*0.11</f>
        <v>16.5</v>
      </c>
      <c r="Y65" s="85">
        <f>180*0.11</f>
        <v>19.8</v>
      </c>
      <c r="Z65" s="85">
        <f>196*0.11</f>
        <v>21.56</v>
      </c>
      <c r="AA65" s="85">
        <v>0</v>
      </c>
      <c r="AB65" s="85">
        <f>360*0.11</f>
        <v>39.6</v>
      </c>
      <c r="AC65" s="85">
        <f>440*0.11</f>
        <v>48.4</v>
      </c>
      <c r="AD65" s="85"/>
    </row>
    <row r="66" spans="1:30">
      <c r="A66" s="82" t="s">
        <v>541</v>
      </c>
      <c r="B66" s="83" t="s">
        <v>596</v>
      </c>
      <c r="C66" s="85">
        <v>0</v>
      </c>
      <c r="D66" s="85">
        <v>0</v>
      </c>
      <c r="E66" s="85">
        <v>0</v>
      </c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0</v>
      </c>
      <c r="L66" s="84" t="s">
        <v>680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>
        <f>176.07*0.065</f>
        <v>11.44455</v>
      </c>
      <c r="S66" s="85">
        <f>125.52*0.065</f>
        <v>8.1587999999999994</v>
      </c>
      <c r="T66" s="85">
        <f>44.35*0.065</f>
        <v>2.8827500000000001</v>
      </c>
      <c r="U66" s="85">
        <f>45.08*0.065</f>
        <v>2.9302000000000001</v>
      </c>
      <c r="V66" s="85">
        <f>25.75*0.065</f>
        <v>1.6737500000000001</v>
      </c>
      <c r="W66" s="85">
        <f>6.41*0.065</f>
        <v>0.41665000000000002</v>
      </c>
      <c r="X66" s="85">
        <f>6.36*0.065</f>
        <v>0.41340000000000005</v>
      </c>
      <c r="Y66" s="85">
        <f>6.36*0.065</f>
        <v>0.41340000000000005</v>
      </c>
      <c r="Z66" s="85">
        <f>3.18*0.065</f>
        <v>0.20670000000000002</v>
      </c>
      <c r="AA66" s="85">
        <f>9.768*0.065</f>
        <v>0.63492000000000004</v>
      </c>
      <c r="AB66" s="85">
        <v>0</v>
      </c>
      <c r="AC66" s="85">
        <v>0</v>
      </c>
      <c r="AD66" s="85"/>
    </row>
    <row r="67" spans="1:30">
      <c r="A67" s="82" t="s">
        <v>541</v>
      </c>
      <c r="B67" s="83" t="s">
        <v>594</v>
      </c>
      <c r="C67" s="85">
        <f>37.81*0.055</f>
        <v>2.0795500000000002</v>
      </c>
      <c r="D67" s="85">
        <f>62.23*0.055</f>
        <v>3.42265</v>
      </c>
      <c r="E67" s="85">
        <f>134.65*0.055</f>
        <v>7.4057500000000003</v>
      </c>
      <c r="F67" s="85">
        <f>67.64*0.055</f>
        <v>3.7202000000000002</v>
      </c>
      <c r="G67" s="85">
        <f>129.97*0.055</f>
        <v>7.1483499999999998</v>
      </c>
      <c r="H67" s="85">
        <f>95.73*0.055</f>
        <v>5.2651500000000002</v>
      </c>
      <c r="I67" s="85">
        <f>106.36*0.055</f>
        <v>5.8498000000000001</v>
      </c>
      <c r="J67" s="85">
        <f>132.27*0.055</f>
        <v>7.2748500000000007</v>
      </c>
      <c r="K67" s="85">
        <v>8.6959999999999997</v>
      </c>
      <c r="L67" s="84" t="s">
        <v>680</v>
      </c>
      <c r="M67" s="85">
        <f>240.06*0.055</f>
        <v>13.2033</v>
      </c>
      <c r="N67" s="85">
        <f>376*0.055</f>
        <v>20.68</v>
      </c>
      <c r="O67" s="85">
        <f>586*0.055</f>
        <v>32.229999999999997</v>
      </c>
      <c r="P67" s="85">
        <f>925.09*0.055</f>
        <v>50.879950000000001</v>
      </c>
      <c r="Q67" s="85">
        <f>848.87*0.055</f>
        <v>46.687849999999997</v>
      </c>
      <c r="R67" s="85">
        <f>802.84*0.055</f>
        <v>44.156200000000005</v>
      </c>
      <c r="S67" s="85">
        <f>1056.52*0.055</f>
        <v>58.108600000000003</v>
      </c>
      <c r="T67" s="85">
        <f>1053.57*0.055</f>
        <v>57.946349999999995</v>
      </c>
      <c r="U67" s="85">
        <f>1044.04*0.055</f>
        <v>57.422199999999997</v>
      </c>
      <c r="V67" s="85">
        <f>1047.87*0.055</f>
        <v>57.632849999999998</v>
      </c>
      <c r="W67" s="85">
        <f>1156.76*0.055</f>
        <v>63.6218</v>
      </c>
      <c r="X67" s="85">
        <f>1150.34*0.055</f>
        <v>63.268699999999995</v>
      </c>
      <c r="Y67" s="85">
        <f>1141.4*0.055</f>
        <v>62.777000000000008</v>
      </c>
      <c r="Z67" s="85">
        <f>857.16*0.055</f>
        <v>47.143799999999999</v>
      </c>
      <c r="AA67" s="85">
        <f>875.507*0.055</f>
        <v>48.152884999999998</v>
      </c>
      <c r="AB67" s="85">
        <f>844.968*0.055</f>
        <v>46.473239999999997</v>
      </c>
      <c r="AC67" s="85">
        <f>852.72*0.055</f>
        <v>46.8996</v>
      </c>
      <c r="AD67" s="85"/>
    </row>
    <row r="68" spans="1:30">
      <c r="A68" s="82" t="s">
        <v>541</v>
      </c>
      <c r="B68" s="87" t="s">
        <v>643</v>
      </c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>
        <v>0</v>
      </c>
      <c r="O68" s="85">
        <v>0</v>
      </c>
      <c r="P68" s="85">
        <v>0</v>
      </c>
      <c r="Q68" s="85">
        <v>0</v>
      </c>
      <c r="R68" s="85">
        <v>0</v>
      </c>
      <c r="S68" s="85">
        <v>0</v>
      </c>
      <c r="T68" s="85">
        <v>0</v>
      </c>
      <c r="U68" s="85">
        <v>0</v>
      </c>
      <c r="V68" s="85">
        <v>0</v>
      </c>
      <c r="W68" s="85">
        <v>0</v>
      </c>
      <c r="X68" s="85">
        <v>0</v>
      </c>
      <c r="Y68" s="85">
        <v>0</v>
      </c>
      <c r="Z68" s="85">
        <v>0</v>
      </c>
      <c r="AA68" s="85">
        <v>0</v>
      </c>
      <c r="AB68" s="85">
        <v>0</v>
      </c>
      <c r="AC68" s="85">
        <v>0</v>
      </c>
      <c r="AD68" s="85"/>
    </row>
    <row r="69" spans="1:30">
      <c r="A69" s="82" t="s">
        <v>538</v>
      </c>
      <c r="B69" s="83" t="s">
        <v>597</v>
      </c>
      <c r="C69" s="85">
        <v>0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0</v>
      </c>
      <c r="L69" s="85">
        <v>0</v>
      </c>
      <c r="M69" s="85">
        <v>0</v>
      </c>
      <c r="N69" s="85">
        <v>0</v>
      </c>
      <c r="O69" s="85">
        <v>0</v>
      </c>
      <c r="P69" s="85">
        <v>0</v>
      </c>
      <c r="Q69" s="85">
        <v>0</v>
      </c>
      <c r="R69" s="85">
        <v>0</v>
      </c>
      <c r="S69" s="85">
        <v>0</v>
      </c>
      <c r="T69" s="85">
        <v>0</v>
      </c>
      <c r="U69" s="85">
        <v>0</v>
      </c>
      <c r="V69" s="85">
        <v>0</v>
      </c>
      <c r="W69" s="85">
        <v>0</v>
      </c>
      <c r="X69" s="85">
        <v>0</v>
      </c>
      <c r="Y69" s="85">
        <v>0</v>
      </c>
      <c r="Z69" s="85">
        <v>0</v>
      </c>
      <c r="AA69" s="85">
        <v>0</v>
      </c>
      <c r="AB69" s="85">
        <v>0</v>
      </c>
      <c r="AC69" s="85">
        <v>0</v>
      </c>
      <c r="AD69" s="85"/>
    </row>
    <row r="70" spans="1:30">
      <c r="A70" s="82" t="s">
        <v>538</v>
      </c>
      <c r="B70" s="83" t="s">
        <v>600</v>
      </c>
      <c r="C70" s="85">
        <v>0</v>
      </c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85">
        <v>0</v>
      </c>
      <c r="N70" s="85">
        <v>0</v>
      </c>
      <c r="O70" s="85">
        <v>0</v>
      </c>
      <c r="P70" s="85">
        <v>0</v>
      </c>
      <c r="Q70" s="85">
        <v>0</v>
      </c>
      <c r="R70" s="85">
        <v>0</v>
      </c>
      <c r="S70" s="85">
        <v>0</v>
      </c>
      <c r="T70" s="85">
        <v>0</v>
      </c>
      <c r="U70" s="88">
        <f>0.03*0.022</f>
        <v>6.5999999999999989E-4</v>
      </c>
      <c r="V70" s="85">
        <v>0</v>
      </c>
      <c r="W70" s="85">
        <v>0</v>
      </c>
      <c r="X70" s="85">
        <v>0</v>
      </c>
      <c r="Y70" s="85">
        <v>0</v>
      </c>
      <c r="Z70" s="85">
        <v>0</v>
      </c>
      <c r="AA70" s="85">
        <v>0</v>
      </c>
      <c r="AB70" s="85">
        <v>0</v>
      </c>
      <c r="AC70" s="85">
        <v>0</v>
      </c>
      <c r="AD70" s="85"/>
    </row>
    <row r="71" spans="1:30">
      <c r="A71" s="82" t="s">
        <v>538</v>
      </c>
      <c r="B71" s="83" t="s">
        <v>595</v>
      </c>
      <c r="C71" s="85">
        <v>0</v>
      </c>
      <c r="D71" s="85">
        <v>0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85">
        <v>0</v>
      </c>
      <c r="N71" s="85">
        <v>0</v>
      </c>
      <c r="O71" s="85">
        <v>0</v>
      </c>
      <c r="P71" s="85">
        <v>0</v>
      </c>
      <c r="Q71" s="85">
        <v>0</v>
      </c>
      <c r="R71" s="85">
        <v>0</v>
      </c>
      <c r="S71" s="85">
        <v>0</v>
      </c>
      <c r="T71" s="85">
        <v>0</v>
      </c>
      <c r="U71" s="85">
        <v>0</v>
      </c>
      <c r="V71" s="85">
        <v>0</v>
      </c>
      <c r="W71" s="85">
        <v>0</v>
      </c>
      <c r="X71" s="85">
        <v>0</v>
      </c>
      <c r="Y71" s="85">
        <v>0</v>
      </c>
      <c r="Z71" s="85">
        <v>0</v>
      </c>
      <c r="AA71" s="85">
        <v>0</v>
      </c>
      <c r="AB71" s="85">
        <v>0</v>
      </c>
      <c r="AC71" s="85">
        <v>0</v>
      </c>
      <c r="AD71" s="85"/>
    </row>
    <row r="72" spans="1:30">
      <c r="A72" s="82" t="s">
        <v>538</v>
      </c>
      <c r="B72" s="83" t="s">
        <v>596</v>
      </c>
      <c r="C72" s="85">
        <v>0</v>
      </c>
      <c r="D72" s="85">
        <v>0</v>
      </c>
      <c r="E72" s="85">
        <v>0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85">
        <v>0</v>
      </c>
      <c r="M72" s="85">
        <v>0</v>
      </c>
      <c r="N72" s="85">
        <v>0</v>
      </c>
      <c r="O72" s="85">
        <v>0</v>
      </c>
      <c r="P72" s="85">
        <v>0</v>
      </c>
      <c r="Q72" s="85">
        <f>3.73*0.065</f>
        <v>0.24245</v>
      </c>
      <c r="R72" s="85">
        <f>0.38*0.065</f>
        <v>2.47E-2</v>
      </c>
      <c r="S72" s="85">
        <f>0.37*0.065</f>
        <v>2.4050000000000002E-2</v>
      </c>
      <c r="T72" s="85">
        <f>3.02*0.065</f>
        <v>0.1963</v>
      </c>
      <c r="U72" s="85">
        <f>0.4*0.065</f>
        <v>2.6000000000000002E-2</v>
      </c>
      <c r="V72" s="85">
        <v>0</v>
      </c>
      <c r="W72" s="85">
        <f>0.76*0.065</f>
        <v>4.9399999999999999E-2</v>
      </c>
      <c r="X72" s="85">
        <f>0.17*0.065</f>
        <v>1.1050000000000001E-2</v>
      </c>
      <c r="Y72" s="85">
        <f>0.63*0.065</f>
        <v>4.095E-2</v>
      </c>
      <c r="Z72" s="85">
        <v>0</v>
      </c>
      <c r="AA72" s="85">
        <v>0</v>
      </c>
      <c r="AB72" s="85">
        <v>0</v>
      </c>
      <c r="AC72" s="85">
        <v>0</v>
      </c>
      <c r="AD72" s="85"/>
    </row>
    <row r="73" spans="1:30">
      <c r="A73" s="82" t="s">
        <v>538</v>
      </c>
      <c r="B73" s="83" t="s">
        <v>594</v>
      </c>
      <c r="C73" s="85">
        <f>22.91*0.055</f>
        <v>1.2600500000000001</v>
      </c>
      <c r="D73" s="85">
        <f>31.54*0.055</f>
        <v>1.7346999999999999</v>
      </c>
      <c r="E73" s="85">
        <f>33.52*0.055</f>
        <v>1.8436000000000001</v>
      </c>
      <c r="F73" s="85">
        <f>47.93*0.055</f>
        <v>2.6361500000000002</v>
      </c>
      <c r="G73" s="85">
        <f>49.61*0.055</f>
        <v>2.7285499999999998</v>
      </c>
      <c r="H73" s="85">
        <f>19.37*0.055</f>
        <v>1.06535</v>
      </c>
      <c r="I73" s="85">
        <f>30.87*0.055</f>
        <v>1.6978500000000001</v>
      </c>
      <c r="J73" s="85">
        <f>40.14*0.055</f>
        <v>2.2077</v>
      </c>
      <c r="K73" s="85">
        <v>2.9452500000000001</v>
      </c>
      <c r="L73" s="85">
        <f>46.8*0.055</f>
        <v>2.5739999999999998</v>
      </c>
      <c r="M73" s="85">
        <v>0</v>
      </c>
      <c r="N73" s="85">
        <v>2.6031499999999999</v>
      </c>
      <c r="O73" s="85">
        <f>51.9*0.055</f>
        <v>2.8544999999999998</v>
      </c>
      <c r="P73" s="85">
        <f>45.32*0.055</f>
        <v>2.4925999999999999</v>
      </c>
      <c r="Q73" s="85">
        <f>87.7*0.055</f>
        <v>4.8235000000000001</v>
      </c>
      <c r="R73" s="85">
        <f>41.65*0.055</f>
        <v>2.2907500000000001</v>
      </c>
      <c r="S73" s="85">
        <f>47.73*0.055</f>
        <v>2.6251499999999997</v>
      </c>
      <c r="T73" s="85">
        <f>44.84*0.055</f>
        <v>2.4662000000000002</v>
      </c>
      <c r="U73" s="85">
        <f>52.11*0.055</f>
        <v>2.86605</v>
      </c>
      <c r="V73" s="85">
        <f>-0.54*0.055</f>
        <v>-2.9700000000000001E-2</v>
      </c>
      <c r="W73" s="85">
        <f>26.09*0.055</f>
        <v>1.4349499999999999</v>
      </c>
      <c r="X73" s="85">
        <f>40.66*0.055</f>
        <v>2.2363</v>
      </c>
      <c r="Y73" s="85">
        <f>32.92*0.055</f>
        <v>1.8106000000000002</v>
      </c>
      <c r="Z73" s="85">
        <f>24.92*0.055</f>
        <v>1.3706</v>
      </c>
      <c r="AA73" s="85">
        <f>30.97*0.055</f>
        <v>1.7033499999999999</v>
      </c>
      <c r="AB73" s="85">
        <f>15.89*0.055</f>
        <v>0.87395</v>
      </c>
      <c r="AC73" s="85">
        <f>8.95*0.055</f>
        <v>0.49224999999999997</v>
      </c>
      <c r="AD73" s="85"/>
    </row>
    <row r="74" spans="1:30">
      <c r="A74" s="82" t="s">
        <v>538</v>
      </c>
      <c r="B74" s="87" t="s">
        <v>643</v>
      </c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>
        <v>0</v>
      </c>
      <c r="O74" s="85">
        <v>0</v>
      </c>
      <c r="P74" s="85">
        <v>0</v>
      </c>
      <c r="Q74" s="85">
        <v>0</v>
      </c>
      <c r="R74" s="85">
        <v>0</v>
      </c>
      <c r="S74" s="85">
        <v>0</v>
      </c>
      <c r="T74" s="85">
        <v>0</v>
      </c>
      <c r="U74" s="85">
        <v>0</v>
      </c>
      <c r="V74" s="85">
        <v>0</v>
      </c>
      <c r="W74" s="85">
        <v>0</v>
      </c>
      <c r="X74" s="85">
        <v>0</v>
      </c>
      <c r="Y74" s="85">
        <v>0</v>
      </c>
      <c r="Z74" s="85">
        <v>0</v>
      </c>
      <c r="AA74" s="85">
        <v>0</v>
      </c>
      <c r="AB74" s="85">
        <v>0</v>
      </c>
      <c r="AC74" s="85">
        <v>0</v>
      </c>
      <c r="AD74" s="85"/>
    </row>
    <row r="75" spans="1:30">
      <c r="A75" s="82" t="s">
        <v>570</v>
      </c>
      <c r="B75" s="83" t="s">
        <v>597</v>
      </c>
      <c r="C75" s="84" t="s">
        <v>680</v>
      </c>
      <c r="D75" s="84" t="s">
        <v>680</v>
      </c>
      <c r="E75" s="84" t="s">
        <v>680</v>
      </c>
      <c r="F75" s="84" t="s">
        <v>680</v>
      </c>
      <c r="G75" s="84" t="s">
        <v>680</v>
      </c>
      <c r="H75" s="85">
        <v>0</v>
      </c>
      <c r="I75" s="85">
        <v>0</v>
      </c>
      <c r="J75" s="85">
        <v>0</v>
      </c>
      <c r="K75" s="85">
        <v>0</v>
      </c>
      <c r="L75" s="85">
        <v>0</v>
      </c>
      <c r="M75" s="85">
        <v>0</v>
      </c>
      <c r="N75" s="85">
        <v>0</v>
      </c>
      <c r="O75" s="85">
        <v>0</v>
      </c>
      <c r="P75" s="85">
        <v>0</v>
      </c>
      <c r="Q75" s="85">
        <v>0</v>
      </c>
      <c r="R75" s="85">
        <v>0</v>
      </c>
      <c r="S75" s="85">
        <v>0</v>
      </c>
      <c r="T75" s="85">
        <v>0</v>
      </c>
      <c r="U75" s="85">
        <v>0</v>
      </c>
      <c r="V75" s="85">
        <v>0</v>
      </c>
      <c r="W75" s="85">
        <v>0</v>
      </c>
      <c r="X75" s="85">
        <v>0</v>
      </c>
      <c r="Y75" s="85">
        <v>0</v>
      </c>
      <c r="Z75" s="85">
        <v>0</v>
      </c>
      <c r="AA75" s="85">
        <v>0</v>
      </c>
      <c r="AB75" s="85">
        <v>0</v>
      </c>
      <c r="AC75" s="85">
        <v>0</v>
      </c>
      <c r="AD75" s="85">
        <v>0</v>
      </c>
    </row>
    <row r="76" spans="1:30">
      <c r="A76" s="82" t="s">
        <v>570</v>
      </c>
      <c r="B76" s="83" t="s">
        <v>600</v>
      </c>
      <c r="C76" s="84" t="s">
        <v>680</v>
      </c>
      <c r="D76" s="84" t="s">
        <v>680</v>
      </c>
      <c r="E76" s="84" t="s">
        <v>680</v>
      </c>
      <c r="F76" s="84" t="s">
        <v>680</v>
      </c>
      <c r="G76" s="84" t="s">
        <v>680</v>
      </c>
      <c r="H76" s="85">
        <v>0</v>
      </c>
      <c r="I76" s="85">
        <v>0</v>
      </c>
      <c r="J76" s="85">
        <v>0</v>
      </c>
      <c r="K76" s="85">
        <v>0</v>
      </c>
      <c r="L76" s="85">
        <v>0</v>
      </c>
      <c r="M76" s="85">
        <v>0</v>
      </c>
      <c r="N76" s="85">
        <v>0</v>
      </c>
      <c r="O76" s="85">
        <v>0</v>
      </c>
      <c r="P76" s="85">
        <v>0</v>
      </c>
      <c r="Q76" s="85">
        <v>0</v>
      </c>
      <c r="R76" s="85">
        <v>0</v>
      </c>
      <c r="S76" s="85">
        <v>0</v>
      </c>
      <c r="T76" s="85">
        <v>0</v>
      </c>
      <c r="U76" s="85">
        <v>0</v>
      </c>
      <c r="V76" s="85">
        <v>0</v>
      </c>
      <c r="W76" s="85">
        <v>0</v>
      </c>
      <c r="X76" s="85">
        <v>0</v>
      </c>
      <c r="Y76" s="85">
        <v>0</v>
      </c>
      <c r="Z76" s="85">
        <v>0</v>
      </c>
      <c r="AA76" s="85">
        <v>0</v>
      </c>
      <c r="AB76" s="85">
        <v>0</v>
      </c>
      <c r="AC76" s="85">
        <v>0</v>
      </c>
      <c r="AD76" s="85">
        <v>0</v>
      </c>
    </row>
    <row r="77" spans="1:30">
      <c r="A77" s="82" t="s">
        <v>570</v>
      </c>
      <c r="B77" s="83" t="s">
        <v>595</v>
      </c>
      <c r="C77" s="84" t="s">
        <v>680</v>
      </c>
      <c r="D77" s="84" t="s">
        <v>680</v>
      </c>
      <c r="E77" s="84" t="s">
        <v>680</v>
      </c>
      <c r="F77" s="84" t="s">
        <v>680</v>
      </c>
      <c r="G77" s="84" t="s">
        <v>680</v>
      </c>
      <c r="H77" s="85">
        <v>0</v>
      </c>
      <c r="I77" s="85">
        <v>0</v>
      </c>
      <c r="J77" s="85">
        <v>0</v>
      </c>
      <c r="K77" s="85">
        <v>0</v>
      </c>
      <c r="L77" s="85">
        <v>0</v>
      </c>
      <c r="M77" s="85">
        <v>0</v>
      </c>
      <c r="N77" s="85">
        <v>0</v>
      </c>
      <c r="O77" s="85">
        <v>0</v>
      </c>
      <c r="P77" s="85">
        <f>0.64*0.11</f>
        <v>7.0400000000000004E-2</v>
      </c>
      <c r="Q77" s="85">
        <f>0.78*0.11</f>
        <v>8.5800000000000001E-2</v>
      </c>
      <c r="R77" s="85">
        <f>1.42*0.11</f>
        <v>0.15620000000000001</v>
      </c>
      <c r="S77" s="85">
        <f>0.32*0.11</f>
        <v>3.5200000000000002E-2</v>
      </c>
      <c r="T77" s="85">
        <f>0.28*0.11</f>
        <v>3.0800000000000004E-2</v>
      </c>
      <c r="U77" s="85">
        <v>0</v>
      </c>
      <c r="V77" s="85">
        <f>1.52*0.11</f>
        <v>0.16720000000000002</v>
      </c>
      <c r="W77" s="85">
        <f>0.81*0.11</f>
        <v>8.9100000000000013E-2</v>
      </c>
      <c r="X77" s="85">
        <f>0.71*0.11</f>
        <v>7.8100000000000003E-2</v>
      </c>
      <c r="Y77" s="85">
        <f>0.65*0.11</f>
        <v>7.1500000000000008E-2</v>
      </c>
      <c r="Z77" s="85">
        <f>0.59*0.11</f>
        <v>6.4899999999999999E-2</v>
      </c>
      <c r="AA77" s="85">
        <f>0.53*0.11</f>
        <v>5.8300000000000005E-2</v>
      </c>
      <c r="AB77" s="85">
        <f>0.4*0.11</f>
        <v>4.4000000000000004E-2</v>
      </c>
      <c r="AC77" s="85">
        <f>0.03*0.11</f>
        <v>3.3E-3</v>
      </c>
      <c r="AD77" s="85">
        <v>0</v>
      </c>
    </row>
    <row r="78" spans="1:30">
      <c r="A78" s="82" t="s">
        <v>570</v>
      </c>
      <c r="B78" s="83" t="s">
        <v>596</v>
      </c>
      <c r="C78" s="84" t="s">
        <v>680</v>
      </c>
      <c r="D78" s="84" t="s">
        <v>680</v>
      </c>
      <c r="E78" s="84" t="s">
        <v>680</v>
      </c>
      <c r="F78" s="84" t="s">
        <v>680</v>
      </c>
      <c r="G78" s="84" t="s">
        <v>680</v>
      </c>
      <c r="H78" s="85">
        <v>0</v>
      </c>
      <c r="I78" s="85">
        <v>0</v>
      </c>
      <c r="J78" s="85">
        <v>0</v>
      </c>
      <c r="K78" s="85">
        <v>0</v>
      </c>
      <c r="L78" s="85">
        <v>0</v>
      </c>
      <c r="M78" s="85">
        <v>0</v>
      </c>
      <c r="N78" s="85">
        <v>0</v>
      </c>
      <c r="O78" s="85">
        <v>0</v>
      </c>
      <c r="P78" s="85">
        <v>0</v>
      </c>
      <c r="Q78" s="85">
        <v>0</v>
      </c>
      <c r="R78" s="85">
        <v>0</v>
      </c>
      <c r="S78" s="85">
        <v>0</v>
      </c>
      <c r="T78" s="85">
        <v>0</v>
      </c>
      <c r="U78" s="85">
        <v>0</v>
      </c>
      <c r="V78" s="85">
        <v>0</v>
      </c>
      <c r="W78" s="85">
        <v>0</v>
      </c>
      <c r="X78" s="85">
        <v>0</v>
      </c>
      <c r="Y78" s="85">
        <v>0</v>
      </c>
      <c r="Z78" s="85">
        <v>0</v>
      </c>
      <c r="AA78" s="85">
        <v>0</v>
      </c>
      <c r="AB78" s="85">
        <v>0</v>
      </c>
      <c r="AC78" s="85">
        <v>0</v>
      </c>
      <c r="AD78" s="85">
        <v>0</v>
      </c>
    </row>
    <row r="79" spans="1:30">
      <c r="A79" s="82" t="s">
        <v>570</v>
      </c>
      <c r="B79" s="83" t="s">
        <v>594</v>
      </c>
      <c r="C79" s="84" t="s">
        <v>680</v>
      </c>
      <c r="D79" s="84" t="s">
        <v>680</v>
      </c>
      <c r="E79" s="84" t="s">
        <v>680</v>
      </c>
      <c r="F79" s="84" t="s">
        <v>680</v>
      </c>
      <c r="G79" s="84" t="s">
        <v>680</v>
      </c>
      <c r="H79" s="85">
        <f>4.53*0.055</f>
        <v>0.24915000000000001</v>
      </c>
      <c r="I79" s="85">
        <f>15.15*0.055</f>
        <v>0.83325000000000005</v>
      </c>
      <c r="J79" s="85">
        <v>0</v>
      </c>
      <c r="K79" s="85">
        <v>0</v>
      </c>
      <c r="L79" s="85">
        <v>0</v>
      </c>
      <c r="M79" s="85">
        <f>0.359*0.055</f>
        <v>1.9744999999999999E-2</v>
      </c>
      <c r="N79" s="85">
        <v>2.7390000000000001E-2</v>
      </c>
      <c r="O79" s="85">
        <f>0.498*0.055</f>
        <v>2.7390000000000001E-2</v>
      </c>
      <c r="P79" s="85">
        <f>32.3*0.055</f>
        <v>1.7764999999999997</v>
      </c>
      <c r="Q79" s="85">
        <f>44.15*0.055</f>
        <v>2.4282499999999998</v>
      </c>
      <c r="R79" s="85">
        <f>53.36*0.055</f>
        <v>2.9348000000000001</v>
      </c>
      <c r="S79" s="85">
        <f>34.65*0.055</f>
        <v>1.9057499999999998</v>
      </c>
      <c r="T79" s="85">
        <f>46.42*0.055</f>
        <v>2.5531000000000001</v>
      </c>
      <c r="U79" s="85">
        <f>42.45*0.055</f>
        <v>2.3347500000000001</v>
      </c>
      <c r="V79" s="85">
        <f>40.87*0.055</f>
        <v>2.2478499999999997</v>
      </c>
      <c r="W79" s="85">
        <f>39.19*0.055</f>
        <v>2.1554500000000001</v>
      </c>
      <c r="X79" s="85">
        <f>37.58*0.055</f>
        <v>2.0669</v>
      </c>
      <c r="Y79" s="85">
        <f>(35.56*0.055)</f>
        <v>1.9558000000000002</v>
      </c>
      <c r="Z79" s="85">
        <f>32.56*0.055</f>
        <v>1.7908000000000002</v>
      </c>
      <c r="AA79" s="85">
        <f>29.54*0.055</f>
        <v>1.6247</v>
      </c>
      <c r="AB79" s="85">
        <f>24.5*0.055</f>
        <v>1.3474999999999999</v>
      </c>
      <c r="AC79" s="85">
        <f>9.38*0.055</f>
        <v>0.51590000000000003</v>
      </c>
      <c r="AD79" s="85">
        <f>11.12*0.055</f>
        <v>0.61159999999999992</v>
      </c>
    </row>
    <row r="80" spans="1:30">
      <c r="A80" s="82" t="s">
        <v>570</v>
      </c>
      <c r="B80" s="87" t="s">
        <v>643</v>
      </c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>
        <v>0</v>
      </c>
      <c r="O80" s="85">
        <v>0</v>
      </c>
      <c r="P80" s="85">
        <v>0</v>
      </c>
      <c r="Q80" s="85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5">
        <v>0</v>
      </c>
      <c r="X80" s="85">
        <v>0</v>
      </c>
      <c r="Y80" s="85">
        <v>0</v>
      </c>
      <c r="Z80" s="85">
        <v>0</v>
      </c>
      <c r="AA80" s="85">
        <v>0</v>
      </c>
      <c r="AB80" s="85">
        <v>0</v>
      </c>
      <c r="AC80" s="85">
        <v>0</v>
      </c>
      <c r="AD80" s="85">
        <v>0</v>
      </c>
    </row>
    <row r="81" spans="1:30">
      <c r="A81" s="82" t="s">
        <v>540</v>
      </c>
      <c r="B81" s="83" t="s">
        <v>597</v>
      </c>
      <c r="C81" s="85">
        <v>0</v>
      </c>
      <c r="D81" s="85">
        <v>0</v>
      </c>
      <c r="E81" s="85">
        <v>0</v>
      </c>
      <c r="F81" s="85">
        <v>0</v>
      </c>
      <c r="G81" s="85">
        <v>0</v>
      </c>
      <c r="H81" s="85">
        <v>0</v>
      </c>
      <c r="I81" s="85">
        <v>0</v>
      </c>
      <c r="J81" s="85">
        <v>0</v>
      </c>
      <c r="K81" s="85">
        <v>0</v>
      </c>
      <c r="L81" s="84" t="s">
        <v>680</v>
      </c>
      <c r="M81" s="85">
        <v>0</v>
      </c>
      <c r="N81" s="85">
        <v>0</v>
      </c>
      <c r="O81" s="85">
        <v>0</v>
      </c>
      <c r="P81" s="85">
        <v>0</v>
      </c>
      <c r="Q81" s="85">
        <v>0</v>
      </c>
      <c r="R81" s="85">
        <v>0</v>
      </c>
      <c r="S81" s="85">
        <v>0</v>
      </c>
      <c r="T81" s="85">
        <v>0</v>
      </c>
      <c r="U81" s="85">
        <v>0</v>
      </c>
      <c r="V81" s="85">
        <v>0</v>
      </c>
      <c r="W81" s="85">
        <v>0</v>
      </c>
      <c r="X81" s="85">
        <v>0</v>
      </c>
      <c r="Y81" s="85">
        <v>0</v>
      </c>
      <c r="Z81" s="85">
        <v>0</v>
      </c>
      <c r="AA81" s="85">
        <v>0</v>
      </c>
      <c r="AB81" s="85">
        <v>0</v>
      </c>
      <c r="AC81" s="85">
        <v>0</v>
      </c>
      <c r="AD81" s="85"/>
    </row>
    <row r="82" spans="1:30">
      <c r="A82" s="82" t="s">
        <v>540</v>
      </c>
      <c r="B82" s="83" t="s">
        <v>600</v>
      </c>
      <c r="C82" s="85">
        <v>0</v>
      </c>
      <c r="D82" s="85">
        <v>0</v>
      </c>
      <c r="E82" s="85">
        <v>0</v>
      </c>
      <c r="F82" s="85">
        <v>0</v>
      </c>
      <c r="G82" s="85">
        <v>0</v>
      </c>
      <c r="H82" s="85">
        <v>0</v>
      </c>
      <c r="I82" s="85">
        <v>0</v>
      </c>
      <c r="J82" s="85">
        <v>0</v>
      </c>
      <c r="K82" s="85">
        <v>0</v>
      </c>
      <c r="L82" s="84" t="s">
        <v>680</v>
      </c>
      <c r="M82" s="85">
        <v>0</v>
      </c>
      <c r="N82" s="85">
        <v>0</v>
      </c>
      <c r="O82" s="85">
        <v>0</v>
      </c>
      <c r="P82" s="85">
        <v>0</v>
      </c>
      <c r="Q82" s="85">
        <v>0</v>
      </c>
      <c r="R82" s="85">
        <v>0</v>
      </c>
      <c r="S82" s="85">
        <v>0</v>
      </c>
      <c r="T82" s="85">
        <v>0</v>
      </c>
      <c r="U82" s="85">
        <v>0</v>
      </c>
      <c r="V82" s="85">
        <v>0</v>
      </c>
      <c r="W82" s="85">
        <v>0</v>
      </c>
      <c r="X82" s="85">
        <v>0</v>
      </c>
      <c r="Y82" s="85">
        <v>0</v>
      </c>
      <c r="Z82" s="85">
        <v>0</v>
      </c>
      <c r="AA82" s="85">
        <v>0</v>
      </c>
      <c r="AB82" s="85">
        <v>0</v>
      </c>
      <c r="AC82" s="85">
        <v>0</v>
      </c>
      <c r="AD82" s="85"/>
    </row>
    <row r="83" spans="1:30">
      <c r="A83" s="82" t="s">
        <v>540</v>
      </c>
      <c r="B83" s="83" t="s">
        <v>595</v>
      </c>
      <c r="C83" s="85">
        <v>0</v>
      </c>
      <c r="D83" s="85">
        <v>0</v>
      </c>
      <c r="E83" s="85">
        <v>0</v>
      </c>
      <c r="F83" s="85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</v>
      </c>
      <c r="L83" s="84" t="s">
        <v>680</v>
      </c>
      <c r="M83" s="85">
        <v>0</v>
      </c>
      <c r="N83" s="85">
        <v>0</v>
      </c>
      <c r="O83" s="85">
        <v>0</v>
      </c>
      <c r="P83" s="85">
        <v>0</v>
      </c>
      <c r="Q83" s="85">
        <v>0</v>
      </c>
      <c r="R83" s="85">
        <v>0</v>
      </c>
      <c r="S83" s="85">
        <v>0</v>
      </c>
      <c r="T83" s="85">
        <v>0</v>
      </c>
      <c r="U83" s="85">
        <v>0</v>
      </c>
      <c r="V83" s="85">
        <v>0</v>
      </c>
      <c r="W83" s="85">
        <v>0</v>
      </c>
      <c r="X83" s="85">
        <v>0</v>
      </c>
      <c r="Y83" s="85">
        <v>0</v>
      </c>
      <c r="Z83" s="85">
        <v>0</v>
      </c>
      <c r="AA83" s="85">
        <v>0</v>
      </c>
      <c r="AB83" s="85">
        <v>0</v>
      </c>
      <c r="AC83" s="85">
        <v>0</v>
      </c>
      <c r="AD83" s="85"/>
    </row>
    <row r="84" spans="1:30">
      <c r="A84" s="82" t="s">
        <v>540</v>
      </c>
      <c r="B84" s="83" t="s">
        <v>596</v>
      </c>
      <c r="C84" s="85">
        <v>0</v>
      </c>
      <c r="D84" s="85">
        <v>0</v>
      </c>
      <c r="E84" s="85">
        <v>0</v>
      </c>
      <c r="F84" s="85">
        <v>0</v>
      </c>
      <c r="G84" s="85">
        <v>0</v>
      </c>
      <c r="H84" s="85">
        <v>0</v>
      </c>
      <c r="I84" s="85">
        <v>0</v>
      </c>
      <c r="J84" s="85">
        <v>0</v>
      </c>
      <c r="K84" s="85">
        <v>0</v>
      </c>
      <c r="L84" s="84" t="s">
        <v>680</v>
      </c>
      <c r="M84" s="85">
        <v>0</v>
      </c>
      <c r="N84" s="85">
        <v>0</v>
      </c>
      <c r="O84" s="85">
        <v>0</v>
      </c>
      <c r="P84" s="85">
        <v>0</v>
      </c>
      <c r="Q84" s="85">
        <v>0</v>
      </c>
      <c r="R84" s="85">
        <v>0</v>
      </c>
      <c r="S84" s="85">
        <v>0</v>
      </c>
      <c r="T84" s="85">
        <v>0</v>
      </c>
      <c r="U84" s="85">
        <v>0</v>
      </c>
      <c r="V84" s="85">
        <v>0</v>
      </c>
      <c r="W84" s="85">
        <v>0</v>
      </c>
      <c r="X84" s="85">
        <v>0</v>
      </c>
      <c r="Y84" s="85">
        <v>0</v>
      </c>
      <c r="Z84" s="85">
        <v>0</v>
      </c>
      <c r="AA84" s="85">
        <f>6.7*0.065</f>
        <v>0.43550000000000005</v>
      </c>
      <c r="AB84" s="85">
        <v>0</v>
      </c>
      <c r="AC84" s="85">
        <v>0</v>
      </c>
      <c r="AD84" s="85"/>
    </row>
    <row r="85" spans="1:30">
      <c r="A85" s="82" t="s">
        <v>540</v>
      </c>
      <c r="B85" s="83" t="s">
        <v>594</v>
      </c>
      <c r="C85" s="85">
        <f>11.923*0.055</f>
        <v>0.65576500000000004</v>
      </c>
      <c r="D85" s="85">
        <f>10.657*0.055</f>
        <v>0.58613499999999996</v>
      </c>
      <c r="E85" s="85">
        <f>12.98*0.055</f>
        <v>0.71389999999999998</v>
      </c>
      <c r="F85" s="85">
        <f>11.89*0.055</f>
        <v>0.65395000000000003</v>
      </c>
      <c r="G85" s="85">
        <f>11.845*0.055</f>
        <v>0.65147500000000003</v>
      </c>
      <c r="H85" s="85">
        <f>10.541*0.055</f>
        <v>0.57975500000000002</v>
      </c>
      <c r="I85" s="85">
        <f>8.374*0.055</f>
        <v>0.46057000000000003</v>
      </c>
      <c r="J85" s="85">
        <f>9.155*0.055</f>
        <v>0.503525</v>
      </c>
      <c r="K85" s="85">
        <v>0.498</v>
      </c>
      <c r="L85" s="84" t="s">
        <v>680</v>
      </c>
      <c r="M85" s="85">
        <f>6.01*0.055</f>
        <v>0.33055000000000001</v>
      </c>
      <c r="N85" s="85">
        <f>5*0.055</f>
        <v>0.27500000000000002</v>
      </c>
      <c r="O85" s="85">
        <f>5.25*0.055</f>
        <v>0.28875000000000001</v>
      </c>
      <c r="P85" s="85">
        <f>14.6*0.055</f>
        <v>0.80299999999999994</v>
      </c>
      <c r="Q85" s="85">
        <f>429.42*0.055</f>
        <v>23.618100000000002</v>
      </c>
      <c r="R85" s="85">
        <f>435.6*0.055</f>
        <v>23.958000000000002</v>
      </c>
      <c r="S85" s="85">
        <f>431.8*0.055</f>
        <v>23.749000000000002</v>
      </c>
      <c r="T85" s="85">
        <f>423.6*0.055</f>
        <v>23.298000000000002</v>
      </c>
      <c r="U85" s="85">
        <f>402.742*0.055</f>
        <v>22.15081</v>
      </c>
      <c r="V85" s="85">
        <f>364.225*0.055</f>
        <v>20.032375000000002</v>
      </c>
      <c r="W85" s="85">
        <f>350.523*0.055</f>
        <v>19.278765</v>
      </c>
      <c r="X85" s="85">
        <f>310*0.055</f>
        <v>17.05</v>
      </c>
      <c r="Y85" s="85">
        <f>290*0.055</f>
        <v>15.95</v>
      </c>
      <c r="Z85" s="85">
        <f>282*0.055</f>
        <v>15.51</v>
      </c>
      <c r="AA85" s="85">
        <f>267.7*0.055</f>
        <v>14.7235</v>
      </c>
      <c r="AB85" s="85">
        <f>245.23*0.055</f>
        <v>13.48765</v>
      </c>
      <c r="AC85" s="85">
        <f>235*0.055</f>
        <v>12.925000000000001</v>
      </c>
      <c r="AD85" s="85"/>
    </row>
    <row r="86" spans="1:30">
      <c r="A86" s="82" t="s">
        <v>540</v>
      </c>
      <c r="B86" s="87" t="s">
        <v>643</v>
      </c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>
        <v>0</v>
      </c>
      <c r="O86" s="85">
        <v>0</v>
      </c>
      <c r="P86" s="85">
        <v>0</v>
      </c>
      <c r="Q86" s="85">
        <v>0</v>
      </c>
      <c r="R86" s="85">
        <v>0</v>
      </c>
      <c r="S86" s="85">
        <v>0</v>
      </c>
      <c r="T86" s="85">
        <v>0</v>
      </c>
      <c r="U86" s="85">
        <v>0</v>
      </c>
      <c r="V86" s="85">
        <v>0</v>
      </c>
      <c r="W86" s="85">
        <v>0</v>
      </c>
      <c r="X86" s="85">
        <v>0</v>
      </c>
      <c r="Y86" s="85">
        <v>0</v>
      </c>
      <c r="Z86" s="85">
        <v>0</v>
      </c>
      <c r="AA86" s="85">
        <v>0</v>
      </c>
      <c r="AB86" s="85">
        <v>0</v>
      </c>
      <c r="AC86" s="85">
        <v>0</v>
      </c>
      <c r="AD86" s="85"/>
    </row>
    <row r="87" spans="1:30">
      <c r="A87" s="82" t="s">
        <v>512</v>
      </c>
      <c r="B87" s="83" t="s">
        <v>597</v>
      </c>
      <c r="C87" s="84" t="s">
        <v>680</v>
      </c>
      <c r="D87" s="84" t="s">
        <v>680</v>
      </c>
      <c r="E87" s="84" t="s">
        <v>680</v>
      </c>
      <c r="F87" s="84" t="s">
        <v>680</v>
      </c>
      <c r="G87" s="84" t="s">
        <v>680</v>
      </c>
      <c r="H87" s="84" t="s">
        <v>680</v>
      </c>
      <c r="I87" s="84" t="s">
        <v>680</v>
      </c>
      <c r="J87" s="84" t="s">
        <v>680</v>
      </c>
      <c r="K87" s="84" t="s">
        <v>680</v>
      </c>
      <c r="L87" s="84" t="s">
        <v>680</v>
      </c>
      <c r="M87" s="85">
        <v>0</v>
      </c>
      <c r="N87" s="85">
        <v>0</v>
      </c>
      <c r="O87" s="85">
        <v>0</v>
      </c>
      <c r="P87" s="85">
        <v>0</v>
      </c>
      <c r="Q87" s="85">
        <v>0</v>
      </c>
      <c r="R87" s="85">
        <v>0</v>
      </c>
      <c r="S87" s="85">
        <v>0</v>
      </c>
      <c r="T87" s="85">
        <v>0</v>
      </c>
      <c r="U87" s="85">
        <v>0</v>
      </c>
      <c r="V87" s="85">
        <v>0</v>
      </c>
      <c r="W87" s="85">
        <v>0</v>
      </c>
      <c r="X87" s="85">
        <v>0</v>
      </c>
      <c r="Y87" s="85">
        <v>0</v>
      </c>
      <c r="Z87" s="85">
        <v>0</v>
      </c>
      <c r="AA87" s="85">
        <v>0</v>
      </c>
      <c r="AB87" s="85">
        <v>0</v>
      </c>
      <c r="AC87" s="85">
        <v>0</v>
      </c>
      <c r="AD87" s="85"/>
    </row>
    <row r="88" spans="1:30">
      <c r="A88" s="82" t="s">
        <v>512</v>
      </c>
      <c r="B88" s="83" t="s">
        <v>600</v>
      </c>
      <c r="C88" s="84" t="s">
        <v>680</v>
      </c>
      <c r="D88" s="84" t="s">
        <v>680</v>
      </c>
      <c r="E88" s="84" t="s">
        <v>680</v>
      </c>
      <c r="F88" s="84" t="s">
        <v>680</v>
      </c>
      <c r="G88" s="84" t="s">
        <v>680</v>
      </c>
      <c r="H88" s="84" t="s">
        <v>680</v>
      </c>
      <c r="I88" s="84" t="s">
        <v>680</v>
      </c>
      <c r="J88" s="84" t="s">
        <v>680</v>
      </c>
      <c r="K88" s="84" t="s">
        <v>680</v>
      </c>
      <c r="L88" s="84" t="s">
        <v>680</v>
      </c>
      <c r="M88" s="85">
        <v>0</v>
      </c>
      <c r="N88" s="85">
        <v>0</v>
      </c>
      <c r="O88" s="85">
        <v>0</v>
      </c>
      <c r="P88" s="85">
        <v>0</v>
      </c>
      <c r="Q88" s="85">
        <v>0</v>
      </c>
      <c r="R88" s="85">
        <v>0</v>
      </c>
      <c r="S88" s="85">
        <v>0</v>
      </c>
      <c r="T88" s="85">
        <v>0</v>
      </c>
      <c r="U88" s="85">
        <v>0</v>
      </c>
      <c r="V88" s="85">
        <v>0</v>
      </c>
      <c r="W88" s="85">
        <v>0</v>
      </c>
      <c r="X88" s="85">
        <v>0</v>
      </c>
      <c r="Y88" s="85">
        <v>0</v>
      </c>
      <c r="Z88" s="85">
        <v>0</v>
      </c>
      <c r="AA88" s="85">
        <v>0</v>
      </c>
      <c r="AB88" s="85">
        <v>0</v>
      </c>
      <c r="AC88" s="85">
        <v>0</v>
      </c>
      <c r="AD88" s="85"/>
    </row>
    <row r="89" spans="1:30">
      <c r="A89" s="82" t="s">
        <v>512</v>
      </c>
      <c r="B89" s="83" t="s">
        <v>595</v>
      </c>
      <c r="C89" s="84" t="s">
        <v>680</v>
      </c>
      <c r="D89" s="84" t="s">
        <v>680</v>
      </c>
      <c r="E89" s="84" t="s">
        <v>680</v>
      </c>
      <c r="F89" s="84" t="s">
        <v>680</v>
      </c>
      <c r="G89" s="84" t="s">
        <v>680</v>
      </c>
      <c r="H89" s="84" t="s">
        <v>680</v>
      </c>
      <c r="I89" s="84" t="s">
        <v>680</v>
      </c>
      <c r="J89" s="84" t="s">
        <v>680</v>
      </c>
      <c r="K89" s="84" t="s">
        <v>680</v>
      </c>
      <c r="L89" s="84" t="s">
        <v>680</v>
      </c>
      <c r="M89" s="85">
        <v>0</v>
      </c>
      <c r="N89" s="85">
        <v>0</v>
      </c>
      <c r="O89" s="85">
        <v>0</v>
      </c>
      <c r="P89" s="85">
        <v>0</v>
      </c>
      <c r="Q89" s="85">
        <v>0</v>
      </c>
      <c r="R89" s="85">
        <v>0</v>
      </c>
      <c r="S89" s="85">
        <v>0</v>
      </c>
      <c r="T89" s="85">
        <v>0</v>
      </c>
      <c r="U89" s="85">
        <v>0</v>
      </c>
      <c r="V89" s="85">
        <v>0</v>
      </c>
      <c r="W89" s="85">
        <v>0</v>
      </c>
      <c r="X89" s="85">
        <v>0</v>
      </c>
      <c r="Y89" s="85">
        <v>0</v>
      </c>
      <c r="Z89" s="85">
        <v>0</v>
      </c>
      <c r="AA89" s="85">
        <v>0</v>
      </c>
      <c r="AB89" s="85">
        <v>0</v>
      </c>
      <c r="AC89" s="85">
        <v>0</v>
      </c>
      <c r="AD89" s="85"/>
    </row>
    <row r="90" spans="1:30">
      <c r="A90" s="82" t="s">
        <v>512</v>
      </c>
      <c r="B90" s="83" t="s">
        <v>596</v>
      </c>
      <c r="C90" s="84" t="s">
        <v>680</v>
      </c>
      <c r="D90" s="84" t="s">
        <v>680</v>
      </c>
      <c r="E90" s="84" t="s">
        <v>680</v>
      </c>
      <c r="F90" s="84" t="s">
        <v>680</v>
      </c>
      <c r="G90" s="84" t="s">
        <v>680</v>
      </c>
      <c r="H90" s="84" t="s">
        <v>680</v>
      </c>
      <c r="I90" s="84" t="s">
        <v>680</v>
      </c>
      <c r="J90" s="84" t="s">
        <v>680</v>
      </c>
      <c r="K90" s="84" t="s">
        <v>680</v>
      </c>
      <c r="L90" s="84" t="s">
        <v>680</v>
      </c>
      <c r="M90" s="85">
        <v>0</v>
      </c>
      <c r="N90" s="85">
        <v>0</v>
      </c>
      <c r="O90" s="85">
        <v>0</v>
      </c>
      <c r="P90" s="85">
        <v>0</v>
      </c>
      <c r="Q90" s="85">
        <v>0</v>
      </c>
      <c r="R90" s="85">
        <v>0</v>
      </c>
      <c r="S90" s="85">
        <v>0</v>
      </c>
      <c r="T90" s="85">
        <v>0</v>
      </c>
      <c r="U90" s="85">
        <v>0</v>
      </c>
      <c r="V90" s="85">
        <v>0</v>
      </c>
      <c r="W90" s="85">
        <v>0</v>
      </c>
      <c r="X90" s="85">
        <v>0</v>
      </c>
      <c r="Y90" s="85">
        <v>0</v>
      </c>
      <c r="Z90" s="85">
        <v>0</v>
      </c>
      <c r="AA90" s="85">
        <v>0</v>
      </c>
      <c r="AB90" s="85">
        <v>0</v>
      </c>
      <c r="AC90" s="85">
        <v>0</v>
      </c>
      <c r="AD90" s="85"/>
    </row>
    <row r="91" spans="1:30">
      <c r="A91" s="82" t="s">
        <v>512</v>
      </c>
      <c r="B91" s="83" t="s">
        <v>594</v>
      </c>
      <c r="C91" s="84" t="s">
        <v>680</v>
      </c>
      <c r="D91" s="84" t="s">
        <v>680</v>
      </c>
      <c r="E91" s="84" t="s">
        <v>680</v>
      </c>
      <c r="F91" s="84" t="s">
        <v>680</v>
      </c>
      <c r="G91" s="84" t="s">
        <v>680</v>
      </c>
      <c r="H91" s="84" t="s">
        <v>680</v>
      </c>
      <c r="I91" s="84" t="s">
        <v>680</v>
      </c>
      <c r="J91" s="84" t="s">
        <v>680</v>
      </c>
      <c r="K91" s="84" t="s">
        <v>680</v>
      </c>
      <c r="L91" s="84" t="s">
        <v>680</v>
      </c>
      <c r="M91" s="85">
        <v>0</v>
      </c>
      <c r="N91" s="85">
        <v>0</v>
      </c>
      <c r="O91" s="85">
        <v>0</v>
      </c>
      <c r="P91" s="85">
        <f>1*0.055</f>
        <v>5.5E-2</v>
      </c>
      <c r="Q91" s="85">
        <f>5.62*0.055</f>
        <v>0.30909999999999999</v>
      </c>
      <c r="R91" s="85">
        <f>5.62*0.055</f>
        <v>0.30909999999999999</v>
      </c>
      <c r="S91" s="85">
        <f>5*0.055</f>
        <v>0.27500000000000002</v>
      </c>
      <c r="T91" s="85">
        <f>5.6*0.055</f>
        <v>0.308</v>
      </c>
      <c r="U91" s="85">
        <f>5.04*0.055</f>
        <v>0.2772</v>
      </c>
      <c r="V91" s="85">
        <f>4.63*0.055</f>
        <v>0.25464999999999999</v>
      </c>
      <c r="W91" s="85">
        <f>3.59*0.055</f>
        <v>0.19744999999999999</v>
      </c>
      <c r="X91" s="85">
        <f>2.5*0.055</f>
        <v>0.13750000000000001</v>
      </c>
      <c r="Y91" s="85">
        <f>1.92*0.055</f>
        <v>0.1056</v>
      </c>
      <c r="Z91" s="85">
        <f>1.5*0.055</f>
        <v>8.2500000000000004E-2</v>
      </c>
      <c r="AA91" s="85">
        <f>1.06*0.055</f>
        <v>5.8300000000000005E-2</v>
      </c>
      <c r="AB91" s="85">
        <f>0.76*0.055</f>
        <v>4.1800000000000004E-2</v>
      </c>
      <c r="AC91" s="85">
        <f>0.62*0.055</f>
        <v>3.4099999999999998E-2</v>
      </c>
      <c r="AD91" s="85"/>
    </row>
    <row r="92" spans="1:30">
      <c r="A92" s="82" t="s">
        <v>512</v>
      </c>
      <c r="B92" s="87" t="s">
        <v>643</v>
      </c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>
        <v>0</v>
      </c>
      <c r="O92" s="85">
        <v>0</v>
      </c>
      <c r="P92" s="85">
        <v>0</v>
      </c>
      <c r="Q92" s="85">
        <v>0</v>
      </c>
      <c r="R92" s="85">
        <v>0</v>
      </c>
      <c r="S92" s="85">
        <v>0</v>
      </c>
      <c r="T92" s="85">
        <v>0</v>
      </c>
      <c r="U92" s="85">
        <v>0</v>
      </c>
      <c r="V92" s="85">
        <v>0</v>
      </c>
      <c r="W92" s="85">
        <v>0</v>
      </c>
      <c r="X92" s="85">
        <v>0</v>
      </c>
      <c r="Y92" s="85">
        <v>0</v>
      </c>
      <c r="Z92" s="85">
        <v>0</v>
      </c>
      <c r="AA92" s="85">
        <v>0</v>
      </c>
      <c r="AB92" s="85">
        <v>0</v>
      </c>
      <c r="AC92" s="85">
        <v>0</v>
      </c>
      <c r="AD92" s="85"/>
    </row>
    <row r="93" spans="1:30">
      <c r="A93" s="82" t="s">
        <v>746</v>
      </c>
      <c r="B93" s="83" t="s">
        <v>597</v>
      </c>
      <c r="C93" s="85">
        <v>0</v>
      </c>
      <c r="D93" s="85">
        <v>0</v>
      </c>
      <c r="E93" s="85">
        <v>0</v>
      </c>
      <c r="F93" s="85">
        <v>0</v>
      </c>
      <c r="G93" s="85">
        <v>0</v>
      </c>
      <c r="H93" s="85">
        <f>3.63*0.02</f>
        <v>7.2599999999999998E-2</v>
      </c>
      <c r="I93" s="85">
        <v>0</v>
      </c>
      <c r="J93" s="85">
        <v>0</v>
      </c>
      <c r="K93" s="85">
        <v>8.9999999999999993E-3</v>
      </c>
      <c r="L93" s="85">
        <v>0</v>
      </c>
      <c r="M93" s="85">
        <v>0</v>
      </c>
      <c r="N93" s="85">
        <v>0</v>
      </c>
      <c r="O93" s="85">
        <v>0</v>
      </c>
      <c r="P93" s="85">
        <v>0</v>
      </c>
      <c r="Q93" s="85">
        <f>0.2*0.02</f>
        <v>4.0000000000000001E-3</v>
      </c>
      <c r="R93" s="85">
        <f>0.2*0.02</f>
        <v>4.0000000000000001E-3</v>
      </c>
      <c r="S93" s="85">
        <f>0.27*0.02</f>
        <v>5.4000000000000003E-3</v>
      </c>
      <c r="T93" s="85">
        <f>0.73*0.02</f>
        <v>1.46E-2</v>
      </c>
      <c r="U93" s="85">
        <v>0</v>
      </c>
      <c r="V93" s="85">
        <f>1.04*0.02</f>
        <v>2.0800000000000003E-2</v>
      </c>
      <c r="W93" s="85">
        <v>0</v>
      </c>
      <c r="X93" s="85">
        <v>0</v>
      </c>
      <c r="Y93" s="85">
        <v>0</v>
      </c>
      <c r="Z93" s="85">
        <v>0</v>
      </c>
      <c r="AA93" s="85">
        <f>1.45152*0.02</f>
        <v>2.9030399999999998E-2</v>
      </c>
      <c r="AB93" s="85">
        <v>0</v>
      </c>
      <c r="AC93" s="85">
        <v>0</v>
      </c>
      <c r="AD93" s="85"/>
    </row>
    <row r="94" spans="1:30">
      <c r="A94" s="82" t="s">
        <v>746</v>
      </c>
      <c r="B94" s="83" t="s">
        <v>600</v>
      </c>
      <c r="C94" s="85">
        <v>0</v>
      </c>
      <c r="D94" s="85">
        <v>0</v>
      </c>
      <c r="E94" s="85">
        <v>0</v>
      </c>
      <c r="F94" s="85">
        <v>0</v>
      </c>
      <c r="G94" s="85">
        <v>0</v>
      </c>
      <c r="H94" s="85">
        <v>0</v>
      </c>
      <c r="I94" s="85">
        <v>0</v>
      </c>
      <c r="J94" s="85">
        <v>0</v>
      </c>
      <c r="K94" s="85">
        <v>0</v>
      </c>
      <c r="L94" s="85">
        <v>0</v>
      </c>
      <c r="M94" s="85">
        <f>0.56*0.022</f>
        <v>1.2320000000000001E-2</v>
      </c>
      <c r="N94" s="85">
        <f>0.56*0.022</f>
        <v>1.2320000000000001E-2</v>
      </c>
      <c r="O94" s="85">
        <f>1.2*0.022</f>
        <v>2.6399999999999996E-2</v>
      </c>
      <c r="P94" s="85">
        <v>0</v>
      </c>
      <c r="Q94" s="85">
        <f>3*0.022</f>
        <v>6.6000000000000003E-2</v>
      </c>
      <c r="R94" s="85">
        <f>0.4*0.022</f>
        <v>8.8000000000000005E-3</v>
      </c>
      <c r="S94" s="85">
        <v>0</v>
      </c>
      <c r="T94" s="85">
        <f>0.48*0.022</f>
        <v>1.0559999999999998E-2</v>
      </c>
      <c r="U94" s="85">
        <v>0</v>
      </c>
      <c r="V94" s="85">
        <v>0</v>
      </c>
      <c r="W94" s="85">
        <v>0</v>
      </c>
      <c r="X94" s="85">
        <v>0</v>
      </c>
      <c r="Y94" s="85">
        <v>0</v>
      </c>
      <c r="Z94" s="85">
        <v>0</v>
      </c>
      <c r="AA94" s="85">
        <v>0</v>
      </c>
      <c r="AB94" s="85">
        <v>0</v>
      </c>
      <c r="AC94" s="85">
        <v>0</v>
      </c>
      <c r="AD94" s="85"/>
    </row>
    <row r="95" spans="1:30">
      <c r="A95" s="82" t="s">
        <v>746</v>
      </c>
      <c r="B95" s="83" t="s">
        <v>595</v>
      </c>
      <c r="C95" s="85">
        <v>0</v>
      </c>
      <c r="D95" s="85">
        <v>0</v>
      </c>
      <c r="E95" s="85">
        <v>0</v>
      </c>
      <c r="F95" s="85">
        <v>0</v>
      </c>
      <c r="G95" s="85">
        <v>0</v>
      </c>
      <c r="H95" s="85">
        <v>0</v>
      </c>
      <c r="I95" s="85">
        <v>0</v>
      </c>
      <c r="J95" s="85">
        <v>0</v>
      </c>
      <c r="K95" s="85">
        <v>0.62260000000000004</v>
      </c>
      <c r="L95" s="85">
        <f>8.4*0.11</f>
        <v>0.92400000000000004</v>
      </c>
      <c r="M95" s="85">
        <f>10.57*0.11</f>
        <v>1.1627000000000001</v>
      </c>
      <c r="N95" s="85">
        <f>5.4*0.11</f>
        <v>0.59400000000000008</v>
      </c>
      <c r="O95" s="85">
        <f>8.1*0.11</f>
        <v>0.89100000000000001</v>
      </c>
      <c r="P95" s="85">
        <f>12.7*0.11</f>
        <v>1.397</v>
      </c>
      <c r="Q95" s="85">
        <v>0</v>
      </c>
      <c r="R95" s="85">
        <v>0</v>
      </c>
      <c r="S95" s="85">
        <v>0</v>
      </c>
      <c r="T95" s="85">
        <v>0</v>
      </c>
      <c r="U95" s="85">
        <v>0</v>
      </c>
      <c r="V95" s="85">
        <v>0</v>
      </c>
      <c r="W95" s="85">
        <f>0.23*0.11</f>
        <v>2.53E-2</v>
      </c>
      <c r="X95" s="85">
        <v>0</v>
      </c>
      <c r="Y95" s="85">
        <f>0.94*0.11</f>
        <v>0.10339999999999999</v>
      </c>
      <c r="Z95" s="85">
        <f>0.62*0.11</f>
        <v>6.8199999999999997E-2</v>
      </c>
      <c r="AA95" s="85">
        <f>0.136*0.11</f>
        <v>1.4960000000000001E-2</v>
      </c>
      <c r="AB95" s="85">
        <f>1.3872*0.11</f>
        <v>0.15259200000000001</v>
      </c>
      <c r="AC95" s="85">
        <f>0.9112*0.11</f>
        <v>0.100232</v>
      </c>
      <c r="AD95" s="85"/>
    </row>
    <row r="96" spans="1:30">
      <c r="A96" s="82" t="s">
        <v>746</v>
      </c>
      <c r="B96" s="83" t="s">
        <v>700</v>
      </c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>
        <f>7.9*0.11</f>
        <v>0.86899999999999999</v>
      </c>
      <c r="R96" s="85">
        <f>9.8*0.11</f>
        <v>1.0780000000000001</v>
      </c>
      <c r="S96" s="85">
        <f>7.1*0.11</f>
        <v>0.78099999999999992</v>
      </c>
      <c r="T96" s="85">
        <f>7.43*0.11</f>
        <v>0.81730000000000003</v>
      </c>
      <c r="U96" s="85">
        <f>9.3*0.11</f>
        <v>1.0230000000000001</v>
      </c>
      <c r="V96" s="85">
        <f>8.45*0.11</f>
        <v>0.92949999999999988</v>
      </c>
      <c r="W96" s="85">
        <f>2.42*0.11</f>
        <v>0.26619999999999999</v>
      </c>
      <c r="X96" s="85">
        <v>0</v>
      </c>
      <c r="Y96" s="85">
        <f>0.99*0.11</f>
        <v>0.1089</v>
      </c>
      <c r="Z96" s="85">
        <f>0.18*0.11</f>
        <v>1.9799999999999998E-2</v>
      </c>
      <c r="AA96" s="85">
        <f>0.23*0.11</f>
        <v>2.53E-2</v>
      </c>
      <c r="AB96" s="85">
        <f>0.198*0.11</f>
        <v>2.1780000000000001E-2</v>
      </c>
      <c r="AC96" s="85">
        <f>0.308*0.11</f>
        <v>3.388E-2</v>
      </c>
      <c r="AD96" s="85"/>
    </row>
    <row r="97" spans="1:30">
      <c r="A97" s="82" t="s">
        <v>746</v>
      </c>
      <c r="B97" s="83" t="s">
        <v>596</v>
      </c>
      <c r="C97" s="85">
        <v>0</v>
      </c>
      <c r="D97" s="85">
        <v>0</v>
      </c>
      <c r="E97" s="85">
        <v>0</v>
      </c>
      <c r="F97" s="85">
        <v>0</v>
      </c>
      <c r="G97" s="85">
        <v>0</v>
      </c>
      <c r="H97" s="85">
        <v>0</v>
      </c>
      <c r="I97" s="85">
        <v>0</v>
      </c>
      <c r="J97" s="85">
        <v>0</v>
      </c>
      <c r="K97" s="85">
        <v>0</v>
      </c>
      <c r="L97" s="85">
        <v>0</v>
      </c>
      <c r="M97" s="85">
        <v>0</v>
      </c>
      <c r="N97" s="85">
        <v>0</v>
      </c>
      <c r="O97" s="85">
        <v>0</v>
      </c>
      <c r="P97" s="85">
        <f>4.68*0.065</f>
        <v>0.30419999999999997</v>
      </c>
      <c r="Q97" s="85">
        <f>3.7*0.065</f>
        <v>0.24050000000000002</v>
      </c>
      <c r="R97" s="85">
        <f>1.4*0.065</f>
        <v>9.0999999999999998E-2</v>
      </c>
      <c r="S97" s="85">
        <f>0.5*0.065</f>
        <v>3.2500000000000001E-2</v>
      </c>
      <c r="T97" s="85">
        <f>5.11*0.065</f>
        <v>0.33215000000000006</v>
      </c>
      <c r="U97" s="85">
        <v>0</v>
      </c>
      <c r="V97" s="85">
        <v>0</v>
      </c>
      <c r="W97" s="85">
        <f>0.56*0.065</f>
        <v>3.6400000000000002E-2</v>
      </c>
      <c r="X97" s="85">
        <v>0</v>
      </c>
      <c r="Y97" s="85">
        <v>0</v>
      </c>
      <c r="Z97" s="85">
        <v>0</v>
      </c>
      <c r="AA97" s="85">
        <v>0</v>
      </c>
      <c r="AB97" s="85">
        <v>0</v>
      </c>
      <c r="AC97" s="85">
        <v>0</v>
      </c>
      <c r="AD97" s="85"/>
    </row>
    <row r="98" spans="1:30">
      <c r="A98" s="82" t="s">
        <v>746</v>
      </c>
      <c r="B98" s="83" t="s">
        <v>594</v>
      </c>
      <c r="C98" s="85">
        <f>7.25*0.055</f>
        <v>0.39874999999999999</v>
      </c>
      <c r="D98" s="85">
        <f>78.47*0.055</f>
        <v>4.3158500000000002</v>
      </c>
      <c r="E98" s="85">
        <f>34.79*0.055</f>
        <v>1.9134499999999999</v>
      </c>
      <c r="F98" s="85">
        <f>21.31*0.055</f>
        <v>1.17205</v>
      </c>
      <c r="G98" s="85">
        <f>22.71*0.055</f>
        <v>1.24905</v>
      </c>
      <c r="H98" s="85">
        <f>18.58*0.055</f>
        <v>1.0218999999999998</v>
      </c>
      <c r="I98" s="85">
        <f>36.38*0.055</f>
        <v>2.0009000000000001</v>
      </c>
      <c r="J98" s="85">
        <f>28.39*0.055</f>
        <v>1.56145</v>
      </c>
      <c r="K98" s="85">
        <v>2.2879999999999998</v>
      </c>
      <c r="L98" s="85">
        <f>44.36*0.055</f>
        <v>2.4398</v>
      </c>
      <c r="M98" s="85">
        <f>50.16*0.055</f>
        <v>2.7587999999999999</v>
      </c>
      <c r="N98" s="85">
        <f>40.6*0.055</f>
        <v>2.2330000000000001</v>
      </c>
      <c r="O98" s="85">
        <f>56.1*0.055</f>
        <v>3.0855000000000001</v>
      </c>
      <c r="P98" s="85">
        <f>77.3*0.055</f>
        <v>4.2515000000000001</v>
      </c>
      <c r="Q98" s="85">
        <f>59.4*0.055</f>
        <v>3.2669999999999999</v>
      </c>
      <c r="R98" s="85">
        <f>118.3*0.055</f>
        <v>6.5065</v>
      </c>
      <c r="S98" s="85">
        <f>102.93*0.055</f>
        <v>5.6611500000000001</v>
      </c>
      <c r="T98" s="85">
        <f>153.38*0.055</f>
        <v>8.4359000000000002</v>
      </c>
      <c r="U98" s="85">
        <f>109.98*0.055</f>
        <v>6.0489000000000006</v>
      </c>
      <c r="V98" s="85">
        <f>32.96*0.055</f>
        <v>1.8128</v>
      </c>
      <c r="W98" s="85">
        <f>30.52*0.055</f>
        <v>1.6786000000000001</v>
      </c>
      <c r="X98" s="85">
        <f>55.67*0.055</f>
        <v>3.0618500000000002</v>
      </c>
      <c r="Y98" s="85">
        <f>35.6*0.055</f>
        <v>1.9580000000000002</v>
      </c>
      <c r="Z98" s="85">
        <f>55.28*0.055</f>
        <v>3.0404</v>
      </c>
      <c r="AA98" s="85">
        <f>34.7596*0.055</f>
        <v>1.911778</v>
      </c>
      <c r="AB98" s="85">
        <f>33.3472*0.055</f>
        <v>1.8340959999999999</v>
      </c>
      <c r="AC98" s="85">
        <f>18.0614*0.055</f>
        <v>0.99337699999999995</v>
      </c>
      <c r="AD98" s="85"/>
    </row>
    <row r="99" spans="1:30">
      <c r="A99" s="82" t="s">
        <v>746</v>
      </c>
      <c r="B99" s="87" t="s">
        <v>643</v>
      </c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>
        <v>0</v>
      </c>
      <c r="O99" s="85">
        <v>0</v>
      </c>
      <c r="P99" s="85">
        <v>0</v>
      </c>
      <c r="Q99" s="85">
        <v>0</v>
      </c>
      <c r="R99" s="85">
        <v>0</v>
      </c>
      <c r="S99" s="85">
        <v>0</v>
      </c>
      <c r="T99" s="85">
        <v>0</v>
      </c>
      <c r="U99" s="85">
        <v>0</v>
      </c>
      <c r="V99" s="85">
        <v>0</v>
      </c>
      <c r="W99" s="85">
        <v>0</v>
      </c>
      <c r="X99" s="85">
        <v>0</v>
      </c>
      <c r="Y99" s="85">
        <v>0</v>
      </c>
      <c r="Z99" s="85">
        <v>0</v>
      </c>
      <c r="AA99" s="85">
        <v>0</v>
      </c>
      <c r="AB99" s="85">
        <v>0</v>
      </c>
      <c r="AC99" s="85">
        <v>0</v>
      </c>
      <c r="AD99" s="85"/>
    </row>
    <row r="100" spans="1:30">
      <c r="A100" s="82" t="s">
        <v>543</v>
      </c>
      <c r="B100" s="83" t="s">
        <v>597</v>
      </c>
      <c r="C100" s="85">
        <v>0</v>
      </c>
      <c r="D100" s="85">
        <v>0</v>
      </c>
      <c r="E100" s="85">
        <v>0</v>
      </c>
      <c r="F100" s="85">
        <v>0</v>
      </c>
      <c r="G100" s="85">
        <v>0</v>
      </c>
      <c r="H100" s="85">
        <v>0</v>
      </c>
      <c r="I100" s="85">
        <v>0</v>
      </c>
      <c r="J100" s="88">
        <v>0</v>
      </c>
      <c r="K100" s="85">
        <v>0</v>
      </c>
      <c r="L100" s="85">
        <v>0</v>
      </c>
      <c r="M100" s="85">
        <v>0</v>
      </c>
      <c r="N100" s="85">
        <v>0</v>
      </c>
      <c r="O100" s="85">
        <v>0</v>
      </c>
      <c r="P100" s="85">
        <v>0</v>
      </c>
      <c r="Q100" s="85">
        <v>0</v>
      </c>
      <c r="R100" s="85">
        <v>0</v>
      </c>
      <c r="S100" s="85">
        <v>0</v>
      </c>
      <c r="T100" s="85">
        <v>0</v>
      </c>
      <c r="U100" s="85">
        <v>0</v>
      </c>
      <c r="V100" s="85">
        <v>0</v>
      </c>
      <c r="W100" s="85">
        <v>0</v>
      </c>
      <c r="X100" s="85">
        <v>0</v>
      </c>
      <c r="Y100" s="85">
        <v>0</v>
      </c>
      <c r="Z100" s="85">
        <v>0</v>
      </c>
      <c r="AA100" s="85">
        <v>0</v>
      </c>
      <c r="AB100" s="85">
        <v>0</v>
      </c>
      <c r="AC100" s="85">
        <v>0</v>
      </c>
      <c r="AD100" s="85"/>
    </row>
    <row r="101" spans="1:30">
      <c r="A101" s="82" t="s">
        <v>543</v>
      </c>
      <c r="B101" s="83" t="s">
        <v>600</v>
      </c>
      <c r="C101" s="85">
        <v>0</v>
      </c>
      <c r="D101" s="85">
        <v>0</v>
      </c>
      <c r="E101" s="85">
        <v>0</v>
      </c>
      <c r="F101" s="85">
        <v>0</v>
      </c>
      <c r="G101" s="85">
        <v>0</v>
      </c>
      <c r="H101" s="85">
        <v>0</v>
      </c>
      <c r="I101" s="85">
        <v>0</v>
      </c>
      <c r="J101" s="85">
        <v>0</v>
      </c>
      <c r="K101" s="85">
        <v>0</v>
      </c>
      <c r="L101" s="85">
        <v>0</v>
      </c>
      <c r="M101" s="85">
        <v>0</v>
      </c>
      <c r="N101" s="85">
        <v>0</v>
      </c>
      <c r="O101" s="85">
        <v>0</v>
      </c>
      <c r="P101" s="85">
        <v>0</v>
      </c>
      <c r="Q101" s="85">
        <v>0</v>
      </c>
      <c r="R101" s="85">
        <v>0</v>
      </c>
      <c r="S101" s="85">
        <v>0</v>
      </c>
      <c r="T101" s="85">
        <v>0</v>
      </c>
      <c r="U101" s="85">
        <v>0</v>
      </c>
      <c r="V101" s="85">
        <v>0</v>
      </c>
      <c r="W101" s="85">
        <v>0</v>
      </c>
      <c r="X101" s="85">
        <v>0</v>
      </c>
      <c r="Y101" s="85">
        <v>0</v>
      </c>
      <c r="Z101" s="85">
        <v>0</v>
      </c>
      <c r="AA101" s="85">
        <v>0</v>
      </c>
      <c r="AB101" s="85">
        <v>0</v>
      </c>
      <c r="AC101" s="85">
        <v>0</v>
      </c>
      <c r="AD101" s="85"/>
    </row>
    <row r="102" spans="1:30">
      <c r="A102" s="82" t="s">
        <v>543</v>
      </c>
      <c r="B102" s="83" t="s">
        <v>595</v>
      </c>
      <c r="C102" s="85">
        <v>0</v>
      </c>
      <c r="D102" s="85">
        <v>0</v>
      </c>
      <c r="E102" s="85">
        <v>0</v>
      </c>
      <c r="F102" s="85">
        <v>0</v>
      </c>
      <c r="G102" s="85">
        <v>0</v>
      </c>
      <c r="H102" s="85">
        <v>0</v>
      </c>
      <c r="I102" s="85">
        <v>0</v>
      </c>
      <c r="J102" s="88">
        <v>0</v>
      </c>
      <c r="K102" s="85">
        <v>0</v>
      </c>
      <c r="L102" s="85">
        <v>0</v>
      </c>
      <c r="M102" s="85">
        <f>66.24*0.11</f>
        <v>7.2863999999999995</v>
      </c>
      <c r="N102" s="85">
        <v>1.65</v>
      </c>
      <c r="O102" s="85">
        <f>25*0.11</f>
        <v>2.75</v>
      </c>
      <c r="P102" s="85">
        <f>44.48*0.11</f>
        <v>4.8927999999999994</v>
      </c>
      <c r="Q102" s="85">
        <f>27*0.11</f>
        <v>2.97</v>
      </c>
      <c r="R102" s="85">
        <v>0</v>
      </c>
      <c r="S102" s="85">
        <v>0</v>
      </c>
      <c r="T102" s="85">
        <v>0</v>
      </c>
      <c r="U102" s="85">
        <v>0</v>
      </c>
      <c r="V102" s="85">
        <v>0</v>
      </c>
      <c r="W102" s="85">
        <v>0</v>
      </c>
      <c r="X102" s="85">
        <v>0</v>
      </c>
      <c r="Y102" s="85">
        <v>0</v>
      </c>
      <c r="Z102" s="85">
        <v>0</v>
      </c>
      <c r="AA102" s="85">
        <v>0</v>
      </c>
      <c r="AB102" s="85">
        <v>0</v>
      </c>
      <c r="AC102" s="85">
        <v>0</v>
      </c>
      <c r="AD102" s="85"/>
    </row>
    <row r="103" spans="1:30">
      <c r="A103" s="82" t="s">
        <v>543</v>
      </c>
      <c r="B103" s="83" t="s">
        <v>700</v>
      </c>
      <c r="C103" s="85"/>
      <c r="D103" s="85"/>
      <c r="E103" s="85"/>
      <c r="F103" s="85"/>
      <c r="G103" s="85"/>
      <c r="H103" s="85"/>
      <c r="I103" s="85"/>
      <c r="J103" s="88"/>
      <c r="K103" s="85"/>
      <c r="L103" s="85"/>
      <c r="M103" s="85"/>
      <c r="N103" s="85"/>
      <c r="O103" s="85"/>
      <c r="P103" s="85"/>
      <c r="Q103" s="85"/>
      <c r="R103" s="85">
        <f>27.3*0.11</f>
        <v>3.0030000000000001</v>
      </c>
      <c r="S103" s="85">
        <f>67.74*0.11</f>
        <v>7.4513999999999996</v>
      </c>
      <c r="T103" s="85">
        <f>0.77*0.065</f>
        <v>5.0050000000000004E-2</v>
      </c>
      <c r="U103" s="85">
        <f>30*0.11</f>
        <v>3.3</v>
      </c>
      <c r="V103" s="85">
        <f>11*0.11</f>
        <v>1.21</v>
      </c>
      <c r="W103" s="85">
        <v>0</v>
      </c>
      <c r="X103" s="85">
        <v>0</v>
      </c>
      <c r="Y103" s="85">
        <v>0</v>
      </c>
      <c r="Z103" s="85">
        <v>0</v>
      </c>
      <c r="AA103" s="85">
        <v>0</v>
      </c>
      <c r="AB103" s="85">
        <v>0</v>
      </c>
      <c r="AC103" s="85">
        <v>0</v>
      </c>
      <c r="AD103" s="85"/>
    </row>
    <row r="104" spans="1:30">
      <c r="A104" s="82" t="s">
        <v>543</v>
      </c>
      <c r="B104" s="83" t="s">
        <v>596</v>
      </c>
      <c r="C104" s="85">
        <v>0</v>
      </c>
      <c r="D104" s="85">
        <v>0</v>
      </c>
      <c r="E104" s="85">
        <v>0</v>
      </c>
      <c r="F104" s="85">
        <v>0</v>
      </c>
      <c r="G104" s="85">
        <v>0</v>
      </c>
      <c r="H104" s="85">
        <v>0</v>
      </c>
      <c r="I104" s="85">
        <v>0</v>
      </c>
      <c r="J104" s="88">
        <v>0</v>
      </c>
      <c r="K104" s="85">
        <v>0</v>
      </c>
      <c r="L104" s="85">
        <v>0</v>
      </c>
      <c r="M104" s="85">
        <v>0</v>
      </c>
      <c r="N104" s="85">
        <v>0</v>
      </c>
      <c r="O104" s="85">
        <v>0</v>
      </c>
      <c r="P104" s="85">
        <v>0</v>
      </c>
      <c r="Q104" s="85">
        <v>0</v>
      </c>
      <c r="R104" s="85">
        <v>0</v>
      </c>
      <c r="S104" s="85">
        <v>0</v>
      </c>
      <c r="T104" s="85">
        <v>0</v>
      </c>
      <c r="U104" s="85">
        <f>3.86*0.065</f>
        <v>0.25090000000000001</v>
      </c>
      <c r="V104" s="85">
        <f>1.72*0.065</f>
        <v>0.1118</v>
      </c>
      <c r="W104" s="85">
        <f>0.94*0.065</f>
        <v>6.1100000000000002E-2</v>
      </c>
      <c r="X104" s="85">
        <f>0.94*0.065</f>
        <v>6.1100000000000002E-2</v>
      </c>
      <c r="Y104" s="85">
        <f>1.14*0.065</f>
        <v>7.4099999999999999E-2</v>
      </c>
      <c r="Z104" s="85">
        <f>0.77*0.065</f>
        <v>5.0050000000000004E-2</v>
      </c>
      <c r="AA104" s="85">
        <v>0</v>
      </c>
      <c r="AB104" s="85">
        <f>0.55*0.065</f>
        <v>3.5750000000000004E-2</v>
      </c>
      <c r="AC104" s="85">
        <v>0</v>
      </c>
      <c r="AD104" s="85"/>
    </row>
    <row r="105" spans="1:30">
      <c r="A105" s="82" t="s">
        <v>543</v>
      </c>
      <c r="B105" s="83" t="s">
        <v>594</v>
      </c>
      <c r="C105" s="85">
        <v>0</v>
      </c>
      <c r="D105" s="85">
        <v>0</v>
      </c>
      <c r="E105" s="85">
        <v>0</v>
      </c>
      <c r="F105" s="85">
        <f>1.4*0.055</f>
        <v>7.6999999999999999E-2</v>
      </c>
      <c r="G105" s="85">
        <f>8*0.055</f>
        <v>0.44</v>
      </c>
      <c r="H105" s="85">
        <f>18.1*0.055</f>
        <v>0.99550000000000005</v>
      </c>
      <c r="I105" s="88">
        <f>17.2*0.055</f>
        <v>0.94599999999999995</v>
      </c>
      <c r="J105" s="88">
        <f>2.7*0.055</f>
        <v>0.14850000000000002</v>
      </c>
      <c r="K105" s="85">
        <v>0</v>
      </c>
      <c r="L105" s="85">
        <f>1.5*0.055</f>
        <v>8.2500000000000004E-2</v>
      </c>
      <c r="M105" s="85">
        <f>51.1*0.055</f>
        <v>2.8105000000000002</v>
      </c>
      <c r="N105" s="85">
        <f>41.847*0.055</f>
        <v>2.3015850000000002</v>
      </c>
      <c r="O105" s="85">
        <f>50.84*0.055</f>
        <v>2.7962000000000002</v>
      </c>
      <c r="P105" s="85">
        <f>47.91*0.055</f>
        <v>2.6350499999999997</v>
      </c>
      <c r="Q105" s="85">
        <f>55.73*0.055</f>
        <v>3.06515</v>
      </c>
      <c r="R105" s="85">
        <f>(66.74-3.4)*0.055</f>
        <v>3.4836999999999998</v>
      </c>
      <c r="S105" s="85">
        <f>60.9*0.055</f>
        <v>3.3494999999999999</v>
      </c>
      <c r="T105" s="85">
        <f>35.38*0.055</f>
        <v>1.9459000000000002</v>
      </c>
      <c r="U105" s="85">
        <f>88.73*0.055</f>
        <v>4.8801500000000004</v>
      </c>
      <c r="V105" s="85">
        <f>59.23*0.055</f>
        <v>3.2576499999999999</v>
      </c>
      <c r="W105" s="85">
        <f>37.19*0.055</f>
        <v>2.0454499999999998</v>
      </c>
      <c r="X105" s="85">
        <f>41.53*0.055</f>
        <v>2.2841499999999999</v>
      </c>
      <c r="Y105" s="85">
        <f>41.8*0.055</f>
        <v>2.2989999999999999</v>
      </c>
      <c r="Z105" s="85">
        <f>35.38*0.055</f>
        <v>1.9459000000000002</v>
      </c>
      <c r="AA105" s="85">
        <f>27.47*0.055</f>
        <v>1.51085</v>
      </c>
      <c r="AB105" s="85">
        <f>23.976*0.055</f>
        <v>1.3186799999999999</v>
      </c>
      <c r="AC105" s="85">
        <v>0</v>
      </c>
      <c r="AD105" s="85"/>
    </row>
    <row r="106" spans="1:30">
      <c r="A106" s="82" t="s">
        <v>543</v>
      </c>
      <c r="B106" s="87" t="s">
        <v>643</v>
      </c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>
        <v>0</v>
      </c>
      <c r="O106" s="85">
        <v>0</v>
      </c>
      <c r="P106" s="85">
        <v>0</v>
      </c>
      <c r="Q106" s="85">
        <v>0</v>
      </c>
      <c r="R106" s="85">
        <v>0</v>
      </c>
      <c r="S106" s="85">
        <v>0</v>
      </c>
      <c r="T106" s="85">
        <v>0</v>
      </c>
      <c r="U106" s="85">
        <v>0</v>
      </c>
      <c r="V106" s="85">
        <v>0</v>
      </c>
      <c r="W106" s="85">
        <v>0</v>
      </c>
      <c r="X106" s="85">
        <v>0</v>
      </c>
      <c r="Y106" s="85">
        <v>0</v>
      </c>
      <c r="Z106" s="85">
        <v>0</v>
      </c>
      <c r="AA106" s="85">
        <v>0</v>
      </c>
      <c r="AB106" s="85">
        <v>0</v>
      </c>
      <c r="AC106" s="85">
        <v>0</v>
      </c>
      <c r="AD106" s="85"/>
    </row>
    <row r="107" spans="1:30">
      <c r="A107" s="82" t="s">
        <v>747</v>
      </c>
      <c r="B107" s="83" t="s">
        <v>597</v>
      </c>
      <c r="C107" s="85">
        <v>0</v>
      </c>
      <c r="D107" s="85">
        <v>0</v>
      </c>
      <c r="E107" s="85">
        <v>0</v>
      </c>
      <c r="F107" s="85">
        <v>0</v>
      </c>
      <c r="G107" s="85">
        <v>0</v>
      </c>
      <c r="H107" s="85">
        <v>0</v>
      </c>
      <c r="I107" s="85">
        <v>0</v>
      </c>
      <c r="J107" s="85">
        <v>0</v>
      </c>
      <c r="K107" s="84" t="s">
        <v>680</v>
      </c>
      <c r="L107" s="85">
        <v>0</v>
      </c>
      <c r="M107" s="85">
        <v>0</v>
      </c>
      <c r="N107" s="85">
        <v>0</v>
      </c>
      <c r="O107" s="85">
        <v>0</v>
      </c>
      <c r="P107" s="85">
        <v>0</v>
      </c>
      <c r="Q107" s="85">
        <v>0</v>
      </c>
      <c r="R107" s="85">
        <v>0</v>
      </c>
      <c r="S107" s="85">
        <v>0</v>
      </c>
      <c r="T107" s="85">
        <v>0</v>
      </c>
      <c r="U107" s="85">
        <v>0</v>
      </c>
      <c r="V107" s="85">
        <v>0</v>
      </c>
      <c r="W107" s="85">
        <v>0</v>
      </c>
      <c r="X107" s="85">
        <v>0</v>
      </c>
      <c r="Y107" s="85">
        <v>0</v>
      </c>
      <c r="Z107" s="85">
        <v>0</v>
      </c>
      <c r="AA107" s="85">
        <v>0</v>
      </c>
      <c r="AB107" s="85">
        <v>0</v>
      </c>
      <c r="AC107" s="85">
        <v>0</v>
      </c>
      <c r="AD107" s="85"/>
    </row>
    <row r="108" spans="1:30">
      <c r="A108" s="82" t="s">
        <v>747</v>
      </c>
      <c r="B108" s="83" t="s">
        <v>600</v>
      </c>
      <c r="C108" s="85">
        <v>0</v>
      </c>
      <c r="D108" s="85">
        <v>0</v>
      </c>
      <c r="E108" s="85">
        <v>0</v>
      </c>
      <c r="F108" s="85">
        <v>0</v>
      </c>
      <c r="G108" s="85">
        <v>0</v>
      </c>
      <c r="H108" s="85">
        <v>0</v>
      </c>
      <c r="I108" s="85">
        <v>0</v>
      </c>
      <c r="J108" s="85">
        <v>0</v>
      </c>
      <c r="K108" s="84" t="s">
        <v>680</v>
      </c>
      <c r="L108" s="85">
        <v>0</v>
      </c>
      <c r="M108" s="85">
        <v>0</v>
      </c>
      <c r="N108" s="85">
        <v>0</v>
      </c>
      <c r="O108" s="85">
        <v>0</v>
      </c>
      <c r="P108" s="85">
        <v>0</v>
      </c>
      <c r="Q108" s="85">
        <v>0</v>
      </c>
      <c r="R108" s="85">
        <v>0</v>
      </c>
      <c r="S108" s="85">
        <v>0</v>
      </c>
      <c r="T108" s="85">
        <v>0</v>
      </c>
      <c r="U108" s="85">
        <v>0</v>
      </c>
      <c r="V108" s="85">
        <v>0</v>
      </c>
      <c r="W108" s="85">
        <v>0</v>
      </c>
      <c r="X108" s="85">
        <v>0</v>
      </c>
      <c r="Y108" s="85">
        <v>0</v>
      </c>
      <c r="Z108" s="85">
        <v>0</v>
      </c>
      <c r="AA108" s="85">
        <v>0</v>
      </c>
      <c r="AB108" s="85">
        <v>0</v>
      </c>
      <c r="AC108" s="85">
        <v>0</v>
      </c>
      <c r="AD108" s="85"/>
    </row>
    <row r="109" spans="1:30">
      <c r="A109" s="82" t="s">
        <v>747</v>
      </c>
      <c r="B109" s="83" t="s">
        <v>595</v>
      </c>
      <c r="C109" s="85">
        <v>0</v>
      </c>
      <c r="D109" s="85">
        <v>0</v>
      </c>
      <c r="E109" s="85">
        <v>0</v>
      </c>
      <c r="F109" s="85">
        <v>7.1499999999999994E-2</v>
      </c>
      <c r="G109" s="85">
        <v>6.6000000000000003E-2</v>
      </c>
      <c r="H109" s="85">
        <v>0</v>
      </c>
      <c r="I109" s="85">
        <v>0</v>
      </c>
      <c r="J109" s="85">
        <v>0</v>
      </c>
      <c r="K109" s="84" t="s">
        <v>680</v>
      </c>
      <c r="L109" s="85">
        <f>0.3*0.11</f>
        <v>3.3000000000000002E-2</v>
      </c>
      <c r="M109" s="85">
        <f>0.12*0.11</f>
        <v>1.32E-2</v>
      </c>
      <c r="N109" s="85">
        <f>0.1*0.11</f>
        <v>1.1000000000000001E-2</v>
      </c>
      <c r="O109" s="85">
        <f>0.1*0.11</f>
        <v>1.1000000000000001E-2</v>
      </c>
      <c r="P109" s="85">
        <f>0.1*0.11</f>
        <v>1.1000000000000001E-2</v>
      </c>
      <c r="Q109" s="85">
        <f>0.1*0.11</f>
        <v>1.1000000000000001E-2</v>
      </c>
      <c r="R109" s="85">
        <f>0.1*0.11</f>
        <v>1.1000000000000001E-2</v>
      </c>
      <c r="S109" s="85">
        <f>1.67*0.11</f>
        <v>0.1837</v>
      </c>
      <c r="T109" s="85">
        <v>0</v>
      </c>
      <c r="U109" s="85">
        <f>1.92*0.11</f>
        <v>0.2112</v>
      </c>
      <c r="V109" s="85">
        <f>0.5*0.11</f>
        <v>5.5E-2</v>
      </c>
      <c r="W109" s="85">
        <f>0.5*0.11</f>
        <v>5.5E-2</v>
      </c>
      <c r="X109" s="85">
        <f>0.4*0.11</f>
        <v>4.4000000000000004E-2</v>
      </c>
      <c r="Y109" s="85">
        <v>0</v>
      </c>
      <c r="Z109" s="85">
        <f>0.4*0.11</f>
        <v>4.4000000000000004E-2</v>
      </c>
      <c r="AA109" s="85">
        <f>0.2*0.11</f>
        <v>2.2000000000000002E-2</v>
      </c>
      <c r="AB109" s="85">
        <v>0</v>
      </c>
      <c r="AC109" s="85">
        <v>0</v>
      </c>
      <c r="AD109" s="85"/>
    </row>
    <row r="110" spans="1:30">
      <c r="A110" s="82" t="s">
        <v>747</v>
      </c>
      <c r="B110" s="83" t="s">
        <v>596</v>
      </c>
      <c r="C110" s="85">
        <v>0</v>
      </c>
      <c r="D110" s="85">
        <v>0</v>
      </c>
      <c r="E110" s="85">
        <v>0</v>
      </c>
      <c r="F110" s="85">
        <v>0</v>
      </c>
      <c r="G110" s="85">
        <v>0</v>
      </c>
      <c r="H110" s="85">
        <v>0</v>
      </c>
      <c r="I110" s="85">
        <v>0</v>
      </c>
      <c r="J110" s="85">
        <v>0</v>
      </c>
      <c r="K110" s="84" t="s">
        <v>680</v>
      </c>
      <c r="L110" s="85">
        <v>0</v>
      </c>
      <c r="M110" s="85">
        <v>0</v>
      </c>
      <c r="N110" s="85">
        <v>0</v>
      </c>
      <c r="O110" s="85">
        <v>0</v>
      </c>
      <c r="P110" s="85">
        <v>0</v>
      </c>
      <c r="Q110" s="85">
        <v>0</v>
      </c>
      <c r="R110" s="85">
        <v>0</v>
      </c>
      <c r="S110" s="85">
        <v>0</v>
      </c>
      <c r="T110" s="85">
        <v>0</v>
      </c>
      <c r="U110" s="85">
        <v>0</v>
      </c>
      <c r="V110" s="85">
        <v>0</v>
      </c>
      <c r="W110" s="85">
        <v>0</v>
      </c>
      <c r="X110" s="85">
        <v>0</v>
      </c>
      <c r="Y110" s="85">
        <v>0</v>
      </c>
      <c r="Z110" s="85">
        <v>0</v>
      </c>
      <c r="AA110" s="85">
        <v>0</v>
      </c>
      <c r="AB110" s="85">
        <v>0</v>
      </c>
      <c r="AC110" s="85">
        <v>0</v>
      </c>
      <c r="AD110" s="85"/>
    </row>
    <row r="111" spans="1:30">
      <c r="A111" s="82" t="s">
        <v>747</v>
      </c>
      <c r="B111" s="83" t="s">
        <v>594</v>
      </c>
      <c r="C111" s="85">
        <v>0.62150000000000005</v>
      </c>
      <c r="D111" s="85">
        <v>0.8085</v>
      </c>
      <c r="E111" s="85">
        <v>0.90749999999999997</v>
      </c>
      <c r="F111" s="85">
        <v>1.1165</v>
      </c>
      <c r="G111" s="85">
        <v>1.2798499999999999</v>
      </c>
      <c r="H111" s="85">
        <v>1.452</v>
      </c>
      <c r="I111" s="85">
        <v>1.5674999999999999</v>
      </c>
      <c r="J111" s="85">
        <v>1.76</v>
      </c>
      <c r="K111" s="84" t="s">
        <v>680</v>
      </c>
      <c r="L111" s="85">
        <f>42*0.055</f>
        <v>2.31</v>
      </c>
      <c r="M111" s="85">
        <f>56*0.055</f>
        <v>3.08</v>
      </c>
      <c r="N111" s="85">
        <f>125*0.055</f>
        <v>6.875</v>
      </c>
      <c r="O111" s="85">
        <f>180*0.055</f>
        <v>9.9</v>
      </c>
      <c r="P111" s="85">
        <f>230*0.055</f>
        <v>12.65</v>
      </c>
      <c r="Q111" s="85">
        <f>200*0.055</f>
        <v>11</v>
      </c>
      <c r="R111" s="85">
        <f>200*0.055</f>
        <v>11</v>
      </c>
      <c r="S111" s="85">
        <f>45.44*0.055</f>
        <v>2.4992000000000001</v>
      </c>
      <c r="T111" s="85">
        <f>28.7*0.055</f>
        <v>1.5785</v>
      </c>
      <c r="U111" s="85">
        <f>46.48*0.055</f>
        <v>2.5564</v>
      </c>
      <c r="V111" s="85">
        <f>190*0.055</f>
        <v>10.45</v>
      </c>
      <c r="W111" s="85">
        <f>176.3*0.055</f>
        <v>9.6965000000000003</v>
      </c>
      <c r="X111" s="85">
        <f>170.6*0.055</f>
        <v>9.3829999999999991</v>
      </c>
      <c r="Y111" s="85">
        <f>156*0.055</f>
        <v>8.58</v>
      </c>
      <c r="Z111" s="85">
        <f>140.67*0.055</f>
        <v>7.7368499999999996</v>
      </c>
      <c r="AA111" s="85">
        <f>125*0.055</f>
        <v>6.875</v>
      </c>
      <c r="AB111" s="85">
        <f>98.5*0.055</f>
        <v>5.4175000000000004</v>
      </c>
      <c r="AC111" s="88">
        <f>0.014333*0.055</f>
        <v>7.8831500000000004E-4</v>
      </c>
      <c r="AD111" s="85"/>
    </row>
    <row r="112" spans="1:30">
      <c r="A112" s="82" t="s">
        <v>747</v>
      </c>
      <c r="B112" s="87" t="s">
        <v>643</v>
      </c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>
        <v>0</v>
      </c>
      <c r="O112" s="85">
        <v>0</v>
      </c>
      <c r="P112" s="85">
        <v>0</v>
      </c>
      <c r="Q112" s="85">
        <v>0</v>
      </c>
      <c r="R112" s="85">
        <v>0</v>
      </c>
      <c r="S112" s="85">
        <v>0</v>
      </c>
      <c r="T112" s="85">
        <v>0</v>
      </c>
      <c r="U112" s="85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0</v>
      </c>
      <c r="AB112" s="85">
        <v>0</v>
      </c>
      <c r="AC112" s="85">
        <v>0</v>
      </c>
      <c r="AD112" s="85"/>
    </row>
    <row r="113" spans="1:30">
      <c r="A113" s="82" t="s">
        <v>748</v>
      </c>
      <c r="B113" s="87" t="s">
        <v>362</v>
      </c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>
        <f>-0.471*0.04</f>
        <v>-1.8839999999999999E-2</v>
      </c>
      <c r="O113" s="85">
        <v>0</v>
      </c>
      <c r="P113" s="85">
        <v>0</v>
      </c>
      <c r="Q113" s="85">
        <v>0</v>
      </c>
      <c r="R113" s="85">
        <v>0</v>
      </c>
      <c r="S113" s="85">
        <v>0</v>
      </c>
      <c r="T113" s="85">
        <v>0</v>
      </c>
      <c r="U113" s="85">
        <v>0</v>
      </c>
      <c r="V113" s="85">
        <v>0</v>
      </c>
      <c r="W113" s="85">
        <v>0</v>
      </c>
      <c r="X113" s="85">
        <v>0</v>
      </c>
      <c r="Y113" s="85">
        <v>0</v>
      </c>
      <c r="Z113" s="85">
        <v>0</v>
      </c>
      <c r="AA113" s="85">
        <v>0</v>
      </c>
      <c r="AB113" s="85">
        <v>0</v>
      </c>
      <c r="AC113" s="85">
        <v>0</v>
      </c>
      <c r="AD113" s="85"/>
    </row>
    <row r="114" spans="1:30">
      <c r="A114" s="82" t="s">
        <v>748</v>
      </c>
      <c r="B114" s="83" t="s">
        <v>597</v>
      </c>
      <c r="C114" s="84" t="s">
        <v>680</v>
      </c>
      <c r="D114" s="84" t="s">
        <v>680</v>
      </c>
      <c r="E114" s="89">
        <f>3.83*0.02</f>
        <v>7.6600000000000001E-2</v>
      </c>
      <c r="F114" s="84" t="s">
        <v>680</v>
      </c>
      <c r="G114" s="85">
        <v>0</v>
      </c>
      <c r="H114" s="85">
        <f>15*0.02</f>
        <v>0.3</v>
      </c>
      <c r="I114" s="88">
        <f>20.2*0.02</f>
        <v>0.40399999999999997</v>
      </c>
      <c r="J114" s="88">
        <f>9*0.02</f>
        <v>0.18</v>
      </c>
      <c r="K114" s="85">
        <v>0.497</v>
      </c>
      <c r="L114" s="85">
        <f>14.38*0.02</f>
        <v>0.28760000000000002</v>
      </c>
      <c r="M114" s="85">
        <v>0</v>
      </c>
      <c r="N114" s="85">
        <f>(17.25-3.768)*0.02</f>
        <v>0.26963999999999999</v>
      </c>
      <c r="O114" s="85">
        <f>(52.05-5.357)*0.02</f>
        <v>0.93386000000000002</v>
      </c>
      <c r="P114" s="85">
        <f>20.57*0.02</f>
        <v>0.41139999999999999</v>
      </c>
      <c r="Q114" s="85">
        <f>9.99*0.02</f>
        <v>0.19980000000000001</v>
      </c>
      <c r="R114" s="85">
        <f>19.84*0.02</f>
        <v>0.39679999999999999</v>
      </c>
      <c r="S114" s="85">
        <f>44.31*0.02</f>
        <v>0.8862000000000001</v>
      </c>
      <c r="T114" s="85">
        <f>170.79*0.02</f>
        <v>3.4157999999999999</v>
      </c>
      <c r="U114" s="85">
        <v>0</v>
      </c>
      <c r="V114" s="85">
        <f>3*0.02</f>
        <v>0.06</v>
      </c>
      <c r="W114" s="85">
        <v>0</v>
      </c>
      <c r="X114" s="85">
        <f>(7.82-10.69)*0.02</f>
        <v>-5.7399999999999986E-2</v>
      </c>
      <c r="Y114" s="85">
        <f>14.89*0.02</f>
        <v>0.29780000000000001</v>
      </c>
      <c r="Z114" s="85">
        <f>(8.99-0.15)*0.02</f>
        <v>0.17680000000000001</v>
      </c>
      <c r="AA114" s="85">
        <f>(14.92-0.21)*0.02</f>
        <v>0.29419999999999996</v>
      </c>
      <c r="AB114" s="85">
        <f>14.89*0.02</f>
        <v>0.29780000000000001</v>
      </c>
      <c r="AC114" s="85">
        <f>14.89*0.02</f>
        <v>0.29780000000000001</v>
      </c>
      <c r="AD114" s="85"/>
    </row>
    <row r="115" spans="1:30">
      <c r="A115" s="82" t="s">
        <v>748</v>
      </c>
      <c r="B115" s="83" t="s">
        <v>600</v>
      </c>
      <c r="C115" s="84" t="s">
        <v>680</v>
      </c>
      <c r="D115" s="84" t="s">
        <v>680</v>
      </c>
      <c r="E115" s="89">
        <f>2.72*0.022</f>
        <v>5.9839999999999997E-2</v>
      </c>
      <c r="F115" s="84" t="s">
        <v>680</v>
      </c>
      <c r="G115" s="85">
        <v>0</v>
      </c>
      <c r="H115" s="85">
        <v>0</v>
      </c>
      <c r="I115" s="88">
        <f>19.44*0.022</f>
        <v>0.42768</v>
      </c>
      <c r="J115" s="88">
        <v>0</v>
      </c>
      <c r="K115" s="85">
        <v>0</v>
      </c>
      <c r="L115" s="85">
        <v>0</v>
      </c>
      <c r="M115" s="85">
        <v>0</v>
      </c>
      <c r="N115" s="85">
        <f>203.79*0.022</f>
        <v>4.4833799999999995</v>
      </c>
      <c r="O115" s="85">
        <f>520.29*0.022</f>
        <v>11.446379999999998</v>
      </c>
      <c r="P115" s="85">
        <f>166.54*0.022</f>
        <v>3.6638799999999998</v>
      </c>
      <c r="Q115" s="85">
        <f>(386.6-0.88)*0.022</f>
        <v>8.4858399999999996</v>
      </c>
      <c r="R115" s="85">
        <f>316.9*0.022</f>
        <v>6.9717999999999991</v>
      </c>
      <c r="S115" s="85">
        <f>246.94*0.022</f>
        <v>5.4326799999999995</v>
      </c>
      <c r="T115" s="85">
        <f>204.83*0.022</f>
        <v>4.5062600000000002</v>
      </c>
      <c r="U115" s="85">
        <f>164.59*0.022</f>
        <v>3.6209799999999999</v>
      </c>
      <c r="V115" s="85">
        <f>113.2*0.022</f>
        <v>2.4903999999999997</v>
      </c>
      <c r="W115" s="85">
        <f>238.12*0.022</f>
        <v>5.2386400000000002</v>
      </c>
      <c r="X115" s="85">
        <f>69.22*0.022</f>
        <v>1.52284</v>
      </c>
      <c r="Y115" s="85">
        <f>42.98*0.022</f>
        <v>0.94555999999999985</v>
      </c>
      <c r="Z115" s="85">
        <f>26.21*0.022</f>
        <v>0.57662000000000002</v>
      </c>
      <c r="AA115" s="85">
        <f>26.69*0.022</f>
        <v>0.58718000000000004</v>
      </c>
      <c r="AB115" s="85">
        <f>24.73*0.022</f>
        <v>0.54405999999999999</v>
      </c>
      <c r="AC115" s="85">
        <f>19.85*0.022</f>
        <v>0.43670000000000003</v>
      </c>
      <c r="AD115" s="85"/>
    </row>
    <row r="116" spans="1:30">
      <c r="A116" s="82" t="s">
        <v>748</v>
      </c>
      <c r="B116" s="83" t="s">
        <v>595</v>
      </c>
      <c r="C116" s="84" t="s">
        <v>680</v>
      </c>
      <c r="D116" s="84" t="s">
        <v>680</v>
      </c>
      <c r="E116" s="89">
        <f>514.55*0.11</f>
        <v>56.600499999999997</v>
      </c>
      <c r="F116" s="84" t="s">
        <v>680</v>
      </c>
      <c r="G116" s="85">
        <f>1270*0.11</f>
        <v>139.69999999999999</v>
      </c>
      <c r="H116" s="85">
        <v>0</v>
      </c>
      <c r="I116" s="88">
        <f>3683.8*0.11</f>
        <v>405.21800000000002</v>
      </c>
      <c r="J116" s="88">
        <f>(2820-18)*0.11</f>
        <v>308.22000000000003</v>
      </c>
      <c r="K116" s="85">
        <v>353.28</v>
      </c>
      <c r="L116" s="85">
        <f>(3894.12-15.42)*0.11</f>
        <v>426.65699999999998</v>
      </c>
      <c r="M116" s="84" t="s">
        <v>685</v>
      </c>
      <c r="N116" s="84">
        <f>(4180.6-3)*0.11</f>
        <v>459.53600000000006</v>
      </c>
      <c r="O116" s="84">
        <f>(5286.41-69.593)*0.11</f>
        <v>573.84987000000001</v>
      </c>
      <c r="P116" s="84">
        <f>(3957.34-24.503)*0.11</f>
        <v>432.61207000000002</v>
      </c>
      <c r="Q116" s="84">
        <f>(5927.78-24.93)*0.11</f>
        <v>649.31349999999998</v>
      </c>
      <c r="R116" s="84">
        <f>3670.45*0.11</f>
        <v>403.74949999999995</v>
      </c>
      <c r="S116" s="84">
        <f>3884.69*0.11</f>
        <v>427.3159</v>
      </c>
      <c r="T116" s="84">
        <f>4246.02*0.11</f>
        <v>467.06220000000008</v>
      </c>
      <c r="U116" s="84">
        <f>3641.42*0.11</f>
        <v>400.55619999999999</v>
      </c>
      <c r="V116" s="84">
        <f>3373.04*0.11</f>
        <v>371.03440000000001</v>
      </c>
      <c r="W116" s="84">
        <f>2863.05*0.11</f>
        <v>314.93550000000005</v>
      </c>
      <c r="X116" s="84">
        <f>2371.8*0.11</f>
        <v>260.89800000000002</v>
      </c>
      <c r="Y116" s="84">
        <f>2586.9*0.11</f>
        <v>284.55900000000003</v>
      </c>
      <c r="Z116" s="84">
        <f>(3095.78-19.59)*0.11</f>
        <v>338.3809</v>
      </c>
      <c r="AA116" s="84">
        <f>(2480.75-1.65)*0.11</f>
        <v>272.70099999999996</v>
      </c>
      <c r="AB116" s="84">
        <f>(282.48-0.05)*0.11</f>
        <v>31.067299999999999</v>
      </c>
      <c r="AC116" s="84">
        <f>280.02*0.11</f>
        <v>30.802199999999999</v>
      </c>
      <c r="AD116" s="84"/>
    </row>
    <row r="117" spans="1:30">
      <c r="A117" s="82" t="s">
        <v>748</v>
      </c>
      <c r="B117" s="83" t="s">
        <v>700</v>
      </c>
      <c r="C117" s="84"/>
      <c r="D117" s="84"/>
      <c r="E117" s="89"/>
      <c r="F117" s="84"/>
      <c r="G117" s="85"/>
      <c r="H117" s="85"/>
      <c r="I117" s="88"/>
      <c r="J117" s="88"/>
      <c r="K117" s="85"/>
      <c r="L117" s="85"/>
      <c r="M117" s="84"/>
      <c r="N117" s="84"/>
      <c r="O117" s="84"/>
      <c r="P117" s="84"/>
      <c r="Q117" s="84"/>
      <c r="R117" s="84">
        <f>-90.83*0.11</f>
        <v>-9.9913000000000007</v>
      </c>
      <c r="S117" s="84">
        <f>-174.45*0.11</f>
        <v>-19.189499999999999</v>
      </c>
      <c r="T117" s="84">
        <f>-218.2*0.11</f>
        <v>-24.001999999999999</v>
      </c>
      <c r="U117" s="84">
        <f>-79.15*0.11</f>
        <v>-8.7065000000000001</v>
      </c>
      <c r="V117" s="84">
        <f>-42.74*0.11</f>
        <v>-4.7014000000000005</v>
      </c>
      <c r="W117" s="84">
        <f>-7.64*0.11</f>
        <v>-0.84039999999999992</v>
      </c>
      <c r="X117" s="84">
        <f>-0.22*0.11</f>
        <v>-2.4199999999999999E-2</v>
      </c>
      <c r="Y117" s="84">
        <v>0</v>
      </c>
      <c r="Z117" s="84">
        <v>0</v>
      </c>
      <c r="AA117" s="84">
        <v>0</v>
      </c>
      <c r="AB117" s="84">
        <v>0</v>
      </c>
      <c r="AC117" s="84">
        <v>0</v>
      </c>
      <c r="AD117" s="84"/>
    </row>
    <row r="118" spans="1:30">
      <c r="A118" s="82" t="s">
        <v>748</v>
      </c>
      <c r="B118" s="83" t="s">
        <v>596</v>
      </c>
      <c r="C118" s="84" t="s">
        <v>680</v>
      </c>
      <c r="D118" s="84" t="s">
        <v>680</v>
      </c>
      <c r="E118" s="89">
        <f>0.52*0.065</f>
        <v>3.3800000000000004E-2</v>
      </c>
      <c r="F118" s="84" t="s">
        <v>680</v>
      </c>
      <c r="G118" s="85">
        <v>0</v>
      </c>
      <c r="H118" s="85">
        <v>0</v>
      </c>
      <c r="I118" s="88">
        <f>2.64*0.065</f>
        <v>0.1716</v>
      </c>
      <c r="J118" s="88">
        <v>0</v>
      </c>
      <c r="K118" s="85">
        <v>0</v>
      </c>
      <c r="L118" s="85">
        <f>0.18*0.065</f>
        <v>1.17E-2</v>
      </c>
      <c r="M118" s="84" t="s">
        <v>685</v>
      </c>
      <c r="N118" s="84">
        <f>15.13*0.065</f>
        <v>0.98345000000000005</v>
      </c>
      <c r="O118" s="84">
        <f>32.98*0.065</f>
        <v>2.1436999999999999</v>
      </c>
      <c r="P118" s="84">
        <f>22.69*0.065</f>
        <v>1.4748500000000002</v>
      </c>
      <c r="Q118" s="84">
        <f>(67.31-0.08)*0.065</f>
        <v>4.3699500000000002</v>
      </c>
      <c r="R118" s="84">
        <f>105.28*0.065</f>
        <v>6.8432000000000004</v>
      </c>
      <c r="S118" s="84">
        <f>68.69*0.065</f>
        <v>4.4648500000000002</v>
      </c>
      <c r="T118" s="84">
        <f>12.02*0.065</f>
        <v>0.78129999999999999</v>
      </c>
      <c r="U118" s="84">
        <f>14.88*0.065</f>
        <v>0.96720000000000006</v>
      </c>
      <c r="V118" s="84">
        <f>54.06*0.065</f>
        <v>3.5139000000000005</v>
      </c>
      <c r="W118" s="84">
        <f>60.96*0.065</f>
        <v>3.9624000000000001</v>
      </c>
      <c r="X118" s="84">
        <f>35.74*0.065</f>
        <v>2.3231000000000002</v>
      </c>
      <c r="Y118" s="84">
        <f>(1.1-21.6)*0.065</f>
        <v>-1.3325</v>
      </c>
      <c r="Z118" s="84">
        <f>2.02*0.065</f>
        <v>0.1313</v>
      </c>
      <c r="AA118" s="84">
        <f>0.35*0.065</f>
        <v>2.2749999999999999E-2</v>
      </c>
      <c r="AB118" s="84">
        <v>0</v>
      </c>
      <c r="AC118" s="84">
        <v>0</v>
      </c>
      <c r="AD118" s="84"/>
    </row>
    <row r="119" spans="1:30">
      <c r="A119" s="82" t="s">
        <v>748</v>
      </c>
      <c r="B119" s="83" t="s">
        <v>594</v>
      </c>
      <c r="C119" s="84" t="s">
        <v>680</v>
      </c>
      <c r="D119" s="84" t="s">
        <v>680</v>
      </c>
      <c r="E119" s="89">
        <f>(4161.31-768.6+2383)*0.055</f>
        <v>317.66405000000003</v>
      </c>
      <c r="F119" s="84" t="s">
        <v>680</v>
      </c>
      <c r="G119" s="85">
        <f>(5899-102+326)*0.055</f>
        <v>336.76499999999999</v>
      </c>
      <c r="H119" s="85">
        <f>9499*0.055</f>
        <v>522.44500000000005</v>
      </c>
      <c r="I119" s="88">
        <f>(6359.95-0.03)*0.055</f>
        <v>349.79559999999998</v>
      </c>
      <c r="J119" s="88">
        <f>(7362-13)*0.055</f>
        <v>404.19499999999999</v>
      </c>
      <c r="K119" s="85">
        <v>399.69</v>
      </c>
      <c r="L119" s="85">
        <f>7804.71*0.055</f>
        <v>429.25905</v>
      </c>
      <c r="M119" s="85">
        <f>(7953.48-82.71)*0.055</f>
        <v>432.89234999999996</v>
      </c>
      <c r="N119" s="85">
        <f>(8879.85-0.298)*0.055</f>
        <v>488.37536</v>
      </c>
      <c r="O119" s="85">
        <f>(10308.79-72.804)*0.055</f>
        <v>562.97923000000003</v>
      </c>
      <c r="P119" s="85">
        <f>(10599.75-0.645)*0.055</f>
        <v>582.95077500000002</v>
      </c>
      <c r="Q119" s="85">
        <f>(13701.23-8.56)*0.055</f>
        <v>753.09685000000002</v>
      </c>
      <c r="R119" s="85">
        <f>(15109.37-0.027)*0.055</f>
        <v>831.01386500000001</v>
      </c>
      <c r="S119" s="85">
        <f>11408.8*0.055</f>
        <v>627.48399999999992</v>
      </c>
      <c r="T119" s="85">
        <f>(17020.44-0.4)*0.055</f>
        <v>936.10219999999981</v>
      </c>
      <c r="U119" s="85">
        <f>14256.44*0.055</f>
        <v>784.10419999999999</v>
      </c>
      <c r="V119" s="85">
        <f>14320.78*0.055</f>
        <v>787.64290000000005</v>
      </c>
      <c r="W119" s="85">
        <f>12757.62*0.055</f>
        <v>701.66910000000007</v>
      </c>
      <c r="X119" s="85">
        <f>11101.86*0.055</f>
        <v>610.60230000000001</v>
      </c>
      <c r="Y119" s="85">
        <f>(10204.76-154.29)*0.055</f>
        <v>552.77584999999999</v>
      </c>
      <c r="Z119" s="85">
        <f>8830.72*0.055</f>
        <v>485.68959999999998</v>
      </c>
      <c r="AA119" s="85">
        <f>10277.15*0.055</f>
        <v>565.24324999999999</v>
      </c>
      <c r="AB119" s="85">
        <f>7652.8*0.055</f>
        <v>420.904</v>
      </c>
      <c r="AC119" s="85">
        <f>(8375.41-22.88)*0.055</f>
        <v>459.38915000000003</v>
      </c>
      <c r="AD119" s="85"/>
    </row>
    <row r="120" spans="1:30">
      <c r="A120" s="82" t="s">
        <v>748</v>
      </c>
      <c r="B120" s="87" t="s">
        <v>643</v>
      </c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>
        <v>0</v>
      </c>
      <c r="O120" s="85">
        <f>0.2*0.07</f>
        <v>1.4000000000000002E-2</v>
      </c>
      <c r="P120" s="85">
        <f>0.1*0.07</f>
        <v>7.000000000000001E-3</v>
      </c>
      <c r="Q120" s="85">
        <f>0.05*0.07</f>
        <v>3.5000000000000005E-3</v>
      </c>
      <c r="R120" s="85">
        <v>0</v>
      </c>
      <c r="S120" s="85">
        <v>0</v>
      </c>
      <c r="T120" s="85">
        <v>0</v>
      </c>
      <c r="U120" s="85">
        <v>0</v>
      </c>
      <c r="V120" s="85">
        <v>0</v>
      </c>
      <c r="W120" s="85">
        <v>0</v>
      </c>
      <c r="X120" s="85">
        <v>0</v>
      </c>
      <c r="Y120" s="85">
        <v>0</v>
      </c>
      <c r="Z120" s="85">
        <v>0</v>
      </c>
      <c r="AA120" s="85">
        <v>0</v>
      </c>
      <c r="AB120" s="85">
        <v>0</v>
      </c>
      <c r="AC120" s="85">
        <v>0</v>
      </c>
      <c r="AD120" s="85"/>
    </row>
    <row r="121" spans="1:30">
      <c r="A121" s="82" t="s">
        <v>763</v>
      </c>
      <c r="B121" s="83" t="s">
        <v>597</v>
      </c>
      <c r="C121" s="84" t="s">
        <v>680</v>
      </c>
      <c r="D121" s="84" t="s">
        <v>680</v>
      </c>
      <c r="E121" s="84" t="s">
        <v>680</v>
      </c>
      <c r="F121" s="84" t="s">
        <v>680</v>
      </c>
      <c r="G121" s="84" t="s">
        <v>680</v>
      </c>
      <c r="H121" s="84" t="s">
        <v>680</v>
      </c>
      <c r="I121" s="85">
        <v>0</v>
      </c>
      <c r="J121" s="85">
        <v>0</v>
      </c>
      <c r="K121" s="85">
        <v>0</v>
      </c>
      <c r="L121" s="85"/>
      <c r="M121" s="85"/>
      <c r="N121" s="85"/>
      <c r="O121" s="85"/>
      <c r="P121" s="85">
        <v>0</v>
      </c>
      <c r="Q121" s="85">
        <v>0</v>
      </c>
      <c r="R121" s="85">
        <v>0</v>
      </c>
      <c r="S121" s="85">
        <v>0</v>
      </c>
      <c r="T121" s="85">
        <f>0.8*0.02</f>
        <v>1.6E-2</v>
      </c>
      <c r="U121" s="85">
        <v>0</v>
      </c>
      <c r="V121" s="85">
        <v>0</v>
      </c>
      <c r="W121" s="85">
        <v>0</v>
      </c>
      <c r="X121" s="85">
        <v>0</v>
      </c>
      <c r="Y121" s="85">
        <v>0</v>
      </c>
      <c r="Z121" s="85">
        <v>0</v>
      </c>
      <c r="AA121" s="85">
        <v>0</v>
      </c>
      <c r="AB121" s="85">
        <v>0</v>
      </c>
      <c r="AC121" s="85">
        <f>0.6*0.02</f>
        <v>1.2E-2</v>
      </c>
      <c r="AD121" s="85"/>
    </row>
    <row r="122" spans="1:30">
      <c r="A122" s="82" t="s">
        <v>763</v>
      </c>
      <c r="B122" s="83" t="s">
        <v>600</v>
      </c>
      <c r="C122" s="84" t="s">
        <v>680</v>
      </c>
      <c r="D122" s="84" t="s">
        <v>680</v>
      </c>
      <c r="E122" s="84" t="s">
        <v>680</v>
      </c>
      <c r="F122" s="84" t="s">
        <v>680</v>
      </c>
      <c r="G122" s="84" t="s">
        <v>680</v>
      </c>
      <c r="H122" s="84" t="s">
        <v>680</v>
      </c>
      <c r="I122" s="85">
        <v>0</v>
      </c>
      <c r="J122" s="85">
        <v>0</v>
      </c>
      <c r="K122" s="85">
        <v>0</v>
      </c>
      <c r="L122" s="85"/>
      <c r="M122" s="85"/>
      <c r="N122" s="85"/>
      <c r="O122" s="85"/>
      <c r="P122" s="85">
        <v>0</v>
      </c>
      <c r="Q122" s="85">
        <v>0</v>
      </c>
      <c r="R122" s="85">
        <v>0</v>
      </c>
      <c r="S122" s="85">
        <v>0</v>
      </c>
      <c r="T122" s="85">
        <v>0</v>
      </c>
      <c r="U122" s="85">
        <v>0</v>
      </c>
      <c r="V122" s="85">
        <v>0</v>
      </c>
      <c r="W122" s="85">
        <v>0</v>
      </c>
      <c r="X122" s="85">
        <v>0</v>
      </c>
      <c r="Y122" s="85">
        <v>0</v>
      </c>
      <c r="Z122" s="85">
        <v>0</v>
      </c>
      <c r="AA122" s="85">
        <v>0</v>
      </c>
      <c r="AB122" s="85">
        <v>0</v>
      </c>
      <c r="AC122" s="85">
        <v>0</v>
      </c>
      <c r="AD122" s="85"/>
    </row>
    <row r="123" spans="1:30">
      <c r="A123" s="82" t="s">
        <v>763</v>
      </c>
      <c r="B123" s="83" t="s">
        <v>595</v>
      </c>
      <c r="C123" s="84" t="s">
        <v>680</v>
      </c>
      <c r="D123" s="84" t="s">
        <v>680</v>
      </c>
      <c r="E123" s="84" t="s">
        <v>680</v>
      </c>
      <c r="F123" s="84" t="s">
        <v>680</v>
      </c>
      <c r="G123" s="84" t="s">
        <v>680</v>
      </c>
      <c r="H123" s="84" t="s">
        <v>680</v>
      </c>
      <c r="I123" s="85">
        <v>0</v>
      </c>
      <c r="J123" s="85">
        <v>0</v>
      </c>
      <c r="K123" s="85">
        <v>0</v>
      </c>
      <c r="L123" s="85"/>
      <c r="M123" s="85"/>
      <c r="N123" s="85"/>
      <c r="O123" s="85"/>
      <c r="P123" s="85">
        <f>0.71*0.11</f>
        <v>7.8100000000000003E-2</v>
      </c>
      <c r="Q123" s="85">
        <f>0.71*0.11</f>
        <v>7.8100000000000003E-2</v>
      </c>
      <c r="R123" s="85">
        <v>0</v>
      </c>
      <c r="S123" s="85">
        <f>0.95*0.11</f>
        <v>0.1045</v>
      </c>
      <c r="T123" s="85">
        <f>1.118*0.11</f>
        <v>0.12298000000000001</v>
      </c>
      <c r="U123" s="85">
        <v>0</v>
      </c>
      <c r="V123" s="85">
        <v>0</v>
      </c>
      <c r="W123" s="85">
        <v>0</v>
      </c>
      <c r="X123" s="85">
        <v>0</v>
      </c>
      <c r="Y123" s="85">
        <v>0</v>
      </c>
      <c r="Z123" s="85">
        <v>0</v>
      </c>
      <c r="AA123" s="85">
        <v>0</v>
      </c>
      <c r="AB123" s="85">
        <v>0</v>
      </c>
      <c r="AC123" s="85">
        <v>0</v>
      </c>
      <c r="AD123" s="85"/>
    </row>
    <row r="124" spans="1:30">
      <c r="A124" s="82" t="s">
        <v>763</v>
      </c>
      <c r="B124" s="83" t="s">
        <v>596</v>
      </c>
      <c r="C124" s="84" t="s">
        <v>680</v>
      </c>
      <c r="D124" s="84" t="s">
        <v>680</v>
      </c>
      <c r="E124" s="84" t="s">
        <v>680</v>
      </c>
      <c r="F124" s="84" t="s">
        <v>680</v>
      </c>
      <c r="G124" s="84" t="s">
        <v>680</v>
      </c>
      <c r="H124" s="84" t="s">
        <v>680</v>
      </c>
      <c r="I124" s="85">
        <v>0</v>
      </c>
      <c r="J124" s="85">
        <v>0</v>
      </c>
      <c r="K124" s="85">
        <v>0</v>
      </c>
      <c r="L124" s="85"/>
      <c r="M124" s="85"/>
      <c r="N124" s="85"/>
      <c r="O124" s="85"/>
      <c r="P124" s="85">
        <v>0</v>
      </c>
      <c r="Q124" s="85">
        <v>0</v>
      </c>
      <c r="R124" s="85">
        <v>0</v>
      </c>
      <c r="S124" s="85">
        <v>0</v>
      </c>
      <c r="T124" s="85">
        <v>0</v>
      </c>
      <c r="U124" s="85">
        <v>0</v>
      </c>
      <c r="V124" s="85">
        <v>0</v>
      </c>
      <c r="W124" s="85">
        <v>0</v>
      </c>
      <c r="X124" s="85">
        <v>0</v>
      </c>
      <c r="Y124" s="85">
        <v>0</v>
      </c>
      <c r="Z124" s="85">
        <v>0</v>
      </c>
      <c r="AA124" s="85">
        <v>0</v>
      </c>
      <c r="AB124" s="85">
        <v>0</v>
      </c>
      <c r="AC124" s="85">
        <v>0</v>
      </c>
      <c r="AD124" s="85"/>
    </row>
    <row r="125" spans="1:30">
      <c r="A125" s="82" t="s">
        <v>763</v>
      </c>
      <c r="B125" s="83" t="s">
        <v>594</v>
      </c>
      <c r="C125" s="84" t="s">
        <v>680</v>
      </c>
      <c r="D125" s="84" t="s">
        <v>680</v>
      </c>
      <c r="E125" s="84" t="s">
        <v>680</v>
      </c>
      <c r="F125" s="84" t="s">
        <v>680</v>
      </c>
      <c r="G125" s="84" t="s">
        <v>680</v>
      </c>
      <c r="H125" s="84" t="s">
        <v>680</v>
      </c>
      <c r="I125" s="85">
        <f>30.03*0.055</f>
        <v>1.6516500000000001</v>
      </c>
      <c r="J125" s="85">
        <f>51.84*0.055</f>
        <v>2.8512000000000004</v>
      </c>
      <c r="K125" s="85">
        <f>26.07*0.055</f>
        <v>1.4338500000000001</v>
      </c>
      <c r="L125" s="85"/>
      <c r="M125" s="85"/>
      <c r="N125" s="85"/>
      <c r="O125" s="85"/>
      <c r="P125" s="85">
        <f>92.77*0.055</f>
        <v>5.1023499999999995</v>
      </c>
      <c r="Q125" s="85">
        <f>96.69*0.055</f>
        <v>5.3179499999999997</v>
      </c>
      <c r="R125" s="85">
        <f>124.55*0.055</f>
        <v>6.85025</v>
      </c>
      <c r="S125" s="85">
        <f>144.94*0.055</f>
        <v>7.9717000000000002</v>
      </c>
      <c r="T125" s="85">
        <f>105.1*0.055</f>
        <v>5.7805</v>
      </c>
      <c r="U125" s="85">
        <f>77.63*0.055</f>
        <v>4.2696499999999995</v>
      </c>
      <c r="V125" s="85">
        <f>72.75*0.055</f>
        <v>4.0012499999999998</v>
      </c>
      <c r="W125" s="85">
        <f>64.89*0.055</f>
        <v>3.5689500000000001</v>
      </c>
      <c r="X125" s="85">
        <f>68.13*0.055</f>
        <v>3.74715</v>
      </c>
      <c r="Y125" s="85">
        <f>62.69*0.055</f>
        <v>3.4479500000000001</v>
      </c>
      <c r="Z125" s="85">
        <f>61.336*0.055</f>
        <v>3.3734799999999998</v>
      </c>
      <c r="AA125" s="85">
        <f>60.52*0.055</f>
        <v>3.3286000000000002</v>
      </c>
      <c r="AB125" s="85">
        <f>66.64*0.055</f>
        <v>3.6652</v>
      </c>
      <c r="AC125" s="85">
        <f>68*0.055</f>
        <v>3.74</v>
      </c>
      <c r="AD125" s="85"/>
    </row>
    <row r="126" spans="1:30">
      <c r="A126" s="82" t="s">
        <v>763</v>
      </c>
      <c r="B126" s="87" t="s">
        <v>643</v>
      </c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>
        <v>0</v>
      </c>
      <c r="Q126" s="85">
        <v>0</v>
      </c>
      <c r="R126" s="85">
        <v>0</v>
      </c>
      <c r="S126" s="85">
        <v>0</v>
      </c>
      <c r="T126" s="85">
        <v>0</v>
      </c>
      <c r="U126" s="85">
        <v>0</v>
      </c>
      <c r="V126" s="85">
        <v>0</v>
      </c>
      <c r="W126" s="85">
        <v>0</v>
      </c>
      <c r="X126" s="85">
        <v>0</v>
      </c>
      <c r="Y126" s="85">
        <v>0</v>
      </c>
      <c r="Z126" s="85">
        <v>0</v>
      </c>
      <c r="AA126" s="85">
        <v>0</v>
      </c>
      <c r="AB126" s="85">
        <v>0</v>
      </c>
      <c r="AC126" s="85">
        <v>0</v>
      </c>
      <c r="AD126" s="85"/>
    </row>
    <row r="127" spans="1:30">
      <c r="A127" s="82" t="s">
        <v>544</v>
      </c>
      <c r="B127" s="83" t="s">
        <v>597</v>
      </c>
      <c r="C127" s="85">
        <v>0</v>
      </c>
      <c r="D127" s="85">
        <v>0</v>
      </c>
      <c r="E127" s="85">
        <v>0</v>
      </c>
      <c r="F127" s="85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0</v>
      </c>
      <c r="O127" s="85">
        <v>0</v>
      </c>
      <c r="P127" s="85">
        <v>0</v>
      </c>
      <c r="Q127" s="85">
        <v>0</v>
      </c>
      <c r="R127" s="85">
        <v>0</v>
      </c>
      <c r="S127" s="85">
        <v>0</v>
      </c>
      <c r="T127" s="85">
        <v>0</v>
      </c>
      <c r="U127" s="85">
        <v>0</v>
      </c>
      <c r="V127" s="85">
        <v>0</v>
      </c>
      <c r="W127" s="85">
        <v>0</v>
      </c>
      <c r="X127" s="85">
        <v>0</v>
      </c>
      <c r="Y127" s="85">
        <v>0</v>
      </c>
      <c r="Z127" s="85">
        <v>0</v>
      </c>
      <c r="AA127" s="85">
        <v>0</v>
      </c>
      <c r="AB127" s="85">
        <v>0</v>
      </c>
      <c r="AC127" s="85">
        <v>0</v>
      </c>
      <c r="AD127" s="85">
        <v>0</v>
      </c>
    </row>
    <row r="128" spans="1:30">
      <c r="A128" s="82" t="s">
        <v>544</v>
      </c>
      <c r="B128" s="83" t="s">
        <v>600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5">
        <v>0</v>
      </c>
      <c r="Q128" s="85">
        <v>0</v>
      </c>
      <c r="R128" s="85">
        <v>0</v>
      </c>
      <c r="S128" s="85">
        <v>0</v>
      </c>
      <c r="T128" s="85">
        <v>0</v>
      </c>
      <c r="U128" s="85">
        <v>0</v>
      </c>
      <c r="V128" s="85">
        <v>0</v>
      </c>
      <c r="W128" s="85">
        <v>0</v>
      </c>
      <c r="X128" s="85">
        <v>0</v>
      </c>
      <c r="Y128" s="85">
        <v>0</v>
      </c>
      <c r="Z128" s="85">
        <v>0</v>
      </c>
      <c r="AA128" s="85">
        <v>0</v>
      </c>
      <c r="AB128" s="85">
        <v>0</v>
      </c>
      <c r="AC128" s="85">
        <v>0</v>
      </c>
      <c r="AD128" s="85">
        <v>0</v>
      </c>
    </row>
    <row r="129" spans="1:30">
      <c r="A129" s="82" t="s">
        <v>544</v>
      </c>
      <c r="B129" s="83" t="s">
        <v>595</v>
      </c>
      <c r="C129" s="85">
        <v>0</v>
      </c>
      <c r="D129" s="85">
        <v>0</v>
      </c>
      <c r="E129" s="85">
        <v>0</v>
      </c>
      <c r="F129" s="85">
        <v>0</v>
      </c>
      <c r="G129" s="85">
        <v>0</v>
      </c>
      <c r="H129" s="85">
        <v>0</v>
      </c>
      <c r="I129" s="85">
        <v>0</v>
      </c>
      <c r="J129" s="85">
        <v>0</v>
      </c>
      <c r="K129" s="85">
        <v>0</v>
      </c>
      <c r="L129" s="85">
        <v>0</v>
      </c>
      <c r="M129" s="85">
        <v>0</v>
      </c>
      <c r="N129" s="85">
        <v>0</v>
      </c>
      <c r="O129" s="85">
        <v>0</v>
      </c>
      <c r="P129" s="85">
        <v>0</v>
      </c>
      <c r="Q129" s="85">
        <v>0</v>
      </c>
      <c r="R129" s="85">
        <v>0</v>
      </c>
      <c r="S129" s="85">
        <v>0</v>
      </c>
      <c r="T129" s="85">
        <v>0</v>
      </c>
      <c r="U129" s="85">
        <v>0</v>
      </c>
      <c r="V129" s="85">
        <v>0</v>
      </c>
      <c r="W129" s="85">
        <v>0</v>
      </c>
      <c r="X129" s="85">
        <v>0</v>
      </c>
      <c r="Y129" s="85">
        <v>0</v>
      </c>
      <c r="Z129" s="85">
        <v>0</v>
      </c>
      <c r="AA129" s="85">
        <v>0</v>
      </c>
      <c r="AB129" s="85">
        <v>0</v>
      </c>
      <c r="AC129" s="85">
        <v>0</v>
      </c>
      <c r="AD129" s="85">
        <v>0</v>
      </c>
    </row>
    <row r="130" spans="1:30">
      <c r="A130" s="82" t="s">
        <v>544</v>
      </c>
      <c r="B130" s="83" t="s">
        <v>596</v>
      </c>
      <c r="C130" s="85">
        <v>0</v>
      </c>
      <c r="D130" s="85">
        <v>0</v>
      </c>
      <c r="E130" s="85">
        <v>0</v>
      </c>
      <c r="F130" s="85">
        <v>0</v>
      </c>
      <c r="G130" s="85">
        <v>0</v>
      </c>
      <c r="H130" s="85">
        <v>0</v>
      </c>
      <c r="I130" s="85">
        <v>0</v>
      </c>
      <c r="J130" s="85">
        <v>0</v>
      </c>
      <c r="K130" s="85">
        <v>0</v>
      </c>
      <c r="L130" s="85">
        <v>0</v>
      </c>
      <c r="M130" s="85">
        <v>0</v>
      </c>
      <c r="N130" s="85">
        <v>0</v>
      </c>
      <c r="O130" s="85">
        <v>0</v>
      </c>
      <c r="P130" s="85">
        <v>0</v>
      </c>
      <c r="Q130" s="85">
        <v>0</v>
      </c>
      <c r="R130" s="85">
        <v>0</v>
      </c>
      <c r="S130" s="85">
        <v>0</v>
      </c>
      <c r="T130" s="85">
        <v>0</v>
      </c>
      <c r="U130" s="85">
        <v>0</v>
      </c>
      <c r="V130" s="85">
        <v>0</v>
      </c>
      <c r="W130" s="85">
        <v>0</v>
      </c>
      <c r="X130" s="85">
        <v>0</v>
      </c>
      <c r="Y130" s="85">
        <v>0</v>
      </c>
      <c r="Z130" s="85">
        <v>0</v>
      </c>
      <c r="AA130" s="85">
        <v>0</v>
      </c>
      <c r="AB130" s="85">
        <v>0</v>
      </c>
      <c r="AC130" s="85">
        <v>0</v>
      </c>
      <c r="AD130" s="85">
        <v>0</v>
      </c>
    </row>
    <row r="131" spans="1:30">
      <c r="A131" s="82" t="s">
        <v>544</v>
      </c>
      <c r="B131" s="83" t="s">
        <v>594</v>
      </c>
      <c r="C131" s="85">
        <v>0</v>
      </c>
      <c r="D131" s="85">
        <v>0</v>
      </c>
      <c r="E131" s="85">
        <v>0</v>
      </c>
      <c r="F131" s="85">
        <v>0</v>
      </c>
      <c r="G131" s="85">
        <v>0</v>
      </c>
      <c r="H131" s="85">
        <v>0</v>
      </c>
      <c r="I131" s="85">
        <v>0</v>
      </c>
      <c r="J131" s="85">
        <v>0</v>
      </c>
      <c r="K131" s="85">
        <v>0</v>
      </c>
      <c r="L131" s="85">
        <v>0</v>
      </c>
      <c r="M131" s="85">
        <v>0</v>
      </c>
      <c r="N131" s="85">
        <v>0</v>
      </c>
      <c r="O131" s="85">
        <v>0</v>
      </c>
      <c r="P131" s="85">
        <f>424*0.055</f>
        <v>23.32</v>
      </c>
      <c r="Q131" s="85">
        <f>486*0.055</f>
        <v>26.73</v>
      </c>
      <c r="R131" s="85">
        <f>564.25*0.055</f>
        <v>31.033750000000001</v>
      </c>
      <c r="S131" s="85">
        <f>507.75*0.055</f>
        <v>27.92625</v>
      </c>
      <c r="T131" s="85">
        <f>483.5*0.055</f>
        <v>26.592500000000001</v>
      </c>
      <c r="U131" s="85">
        <f>270.5*0.055</f>
        <v>14.8775</v>
      </c>
      <c r="V131" s="85">
        <f>225*0.055</f>
        <v>12.375</v>
      </c>
      <c r="W131" s="85">
        <f>218*0.055</f>
        <v>11.99</v>
      </c>
      <c r="X131" s="85">
        <f>262*0.055</f>
        <v>14.41</v>
      </c>
      <c r="Y131" s="85">
        <f>236*0.055</f>
        <v>12.98</v>
      </c>
      <c r="Z131" s="85">
        <f>189*0.055</f>
        <v>10.395</v>
      </c>
      <c r="AA131" s="85">
        <f>148*0.055</f>
        <v>8.14</v>
      </c>
      <c r="AB131" s="85">
        <f>115.44*0.055</f>
        <v>6.3491999999999997</v>
      </c>
      <c r="AC131" s="85">
        <f>105*0.055</f>
        <v>5.7750000000000004</v>
      </c>
      <c r="AD131" s="85">
        <f>96.5*0.055</f>
        <v>5.3075000000000001</v>
      </c>
    </row>
    <row r="132" spans="1:30">
      <c r="A132" s="82" t="s">
        <v>544</v>
      </c>
      <c r="B132" s="87" t="s">
        <v>643</v>
      </c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>
        <v>0</v>
      </c>
      <c r="O132" s="85">
        <v>0</v>
      </c>
      <c r="P132" s="85">
        <v>0</v>
      </c>
      <c r="Q132" s="85">
        <v>0</v>
      </c>
      <c r="R132" s="85">
        <v>0</v>
      </c>
      <c r="S132" s="85">
        <v>0</v>
      </c>
      <c r="T132" s="85">
        <v>0</v>
      </c>
      <c r="U132" s="85">
        <v>0</v>
      </c>
      <c r="V132" s="85">
        <v>0</v>
      </c>
      <c r="W132" s="85">
        <v>0</v>
      </c>
      <c r="X132" s="85">
        <v>0</v>
      </c>
      <c r="Y132" s="85">
        <v>0</v>
      </c>
      <c r="Z132" s="85">
        <v>0</v>
      </c>
      <c r="AA132" s="85">
        <v>0</v>
      </c>
      <c r="AB132" s="85">
        <v>0</v>
      </c>
      <c r="AC132" s="85">
        <v>0</v>
      </c>
      <c r="AD132" s="85">
        <v>0</v>
      </c>
    </row>
    <row r="133" spans="1:30">
      <c r="A133" s="82" t="s">
        <v>539</v>
      </c>
      <c r="B133" s="83" t="s">
        <v>597</v>
      </c>
      <c r="C133" s="85">
        <v>0</v>
      </c>
      <c r="D133" s="85">
        <v>0</v>
      </c>
      <c r="E133" s="85">
        <v>0</v>
      </c>
      <c r="F133" s="85">
        <v>0</v>
      </c>
      <c r="G133" s="85">
        <v>0</v>
      </c>
      <c r="H133" s="85">
        <v>0</v>
      </c>
      <c r="I133" s="85">
        <v>0</v>
      </c>
      <c r="J133" s="85">
        <v>0</v>
      </c>
      <c r="K133" s="85">
        <v>0</v>
      </c>
      <c r="L133" s="85">
        <v>0</v>
      </c>
      <c r="M133" s="85">
        <v>0</v>
      </c>
      <c r="N133" s="85">
        <v>0</v>
      </c>
      <c r="O133" s="85">
        <v>0</v>
      </c>
      <c r="P133" s="85">
        <v>0</v>
      </c>
      <c r="Q133" s="85">
        <v>0</v>
      </c>
      <c r="R133" s="85">
        <v>0</v>
      </c>
      <c r="S133" s="85">
        <v>0</v>
      </c>
      <c r="T133" s="85">
        <v>0</v>
      </c>
      <c r="U133" s="85">
        <v>0</v>
      </c>
      <c r="V133" s="85">
        <v>0</v>
      </c>
      <c r="W133" s="85">
        <v>0</v>
      </c>
      <c r="X133" s="85">
        <v>0</v>
      </c>
      <c r="Y133" s="85">
        <v>0</v>
      </c>
      <c r="Z133" s="85">
        <v>0</v>
      </c>
      <c r="AA133" s="85">
        <v>0</v>
      </c>
      <c r="AB133" s="85">
        <v>0</v>
      </c>
      <c r="AC133" s="85">
        <v>0</v>
      </c>
      <c r="AD133" s="85"/>
    </row>
    <row r="134" spans="1:30">
      <c r="A134" s="82" t="s">
        <v>539</v>
      </c>
      <c r="B134" s="83" t="s">
        <v>600</v>
      </c>
      <c r="C134" s="85">
        <v>0</v>
      </c>
      <c r="D134" s="85">
        <v>0</v>
      </c>
      <c r="E134" s="85">
        <v>0</v>
      </c>
      <c r="F134" s="85">
        <v>0</v>
      </c>
      <c r="G134" s="85">
        <v>0</v>
      </c>
      <c r="H134" s="85">
        <v>0</v>
      </c>
      <c r="I134" s="85">
        <v>0</v>
      </c>
      <c r="J134" s="85">
        <v>0</v>
      </c>
      <c r="K134" s="85">
        <v>0</v>
      </c>
      <c r="L134" s="85">
        <v>0</v>
      </c>
      <c r="M134" s="85">
        <v>0</v>
      </c>
      <c r="N134" s="85">
        <v>0</v>
      </c>
      <c r="O134" s="85">
        <v>0</v>
      </c>
      <c r="P134" s="85">
        <v>0</v>
      </c>
      <c r="Q134" s="85">
        <v>0</v>
      </c>
      <c r="R134" s="85">
        <v>0</v>
      </c>
      <c r="S134" s="85">
        <v>0</v>
      </c>
      <c r="T134" s="85">
        <v>0</v>
      </c>
      <c r="U134" s="85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0</v>
      </c>
      <c r="AB134" s="85">
        <v>0</v>
      </c>
      <c r="AC134" s="85">
        <v>0</v>
      </c>
      <c r="AD134" s="85"/>
    </row>
    <row r="135" spans="1:30">
      <c r="A135" s="82" t="s">
        <v>539</v>
      </c>
      <c r="B135" s="83" t="s">
        <v>595</v>
      </c>
      <c r="C135" s="85">
        <v>0</v>
      </c>
      <c r="D135" s="85">
        <v>0</v>
      </c>
      <c r="E135" s="85">
        <v>0</v>
      </c>
      <c r="F135" s="85">
        <v>0</v>
      </c>
      <c r="G135" s="85">
        <v>0</v>
      </c>
      <c r="H135" s="85">
        <v>0</v>
      </c>
      <c r="I135" s="85">
        <v>0</v>
      </c>
      <c r="J135" s="85">
        <v>0</v>
      </c>
      <c r="K135" s="85">
        <v>0</v>
      </c>
      <c r="L135" s="85">
        <v>0</v>
      </c>
      <c r="M135" s="85">
        <v>0</v>
      </c>
      <c r="N135" s="85">
        <v>0</v>
      </c>
      <c r="O135" s="85">
        <v>0</v>
      </c>
      <c r="P135" s="85">
        <v>0</v>
      </c>
      <c r="Q135" s="85">
        <v>0</v>
      </c>
      <c r="R135" s="85">
        <v>0</v>
      </c>
      <c r="S135" s="85">
        <v>0</v>
      </c>
      <c r="T135" s="85">
        <v>0</v>
      </c>
      <c r="U135" s="85">
        <v>0</v>
      </c>
      <c r="V135" s="85">
        <v>0</v>
      </c>
      <c r="W135" s="85">
        <v>0</v>
      </c>
      <c r="X135" s="85">
        <v>0</v>
      </c>
      <c r="Y135" s="85">
        <v>0</v>
      </c>
      <c r="Z135" s="85">
        <v>0</v>
      </c>
      <c r="AA135" s="85">
        <v>0</v>
      </c>
      <c r="AB135" s="85">
        <v>0</v>
      </c>
      <c r="AC135" s="85">
        <v>0</v>
      </c>
      <c r="AD135" s="85"/>
    </row>
    <row r="136" spans="1:30">
      <c r="A136" s="82" t="s">
        <v>539</v>
      </c>
      <c r="B136" s="83" t="s">
        <v>596</v>
      </c>
      <c r="C136" s="85">
        <v>0</v>
      </c>
      <c r="D136" s="85">
        <v>0</v>
      </c>
      <c r="E136" s="85">
        <v>0</v>
      </c>
      <c r="F136" s="85">
        <v>0</v>
      </c>
      <c r="G136" s="85">
        <v>0</v>
      </c>
      <c r="H136" s="85">
        <v>0</v>
      </c>
      <c r="I136" s="85">
        <v>0</v>
      </c>
      <c r="J136" s="85">
        <v>0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85">
        <v>0</v>
      </c>
      <c r="Q136" s="85">
        <v>0</v>
      </c>
      <c r="R136" s="85">
        <v>0</v>
      </c>
      <c r="S136" s="85">
        <v>0</v>
      </c>
      <c r="T136" s="85">
        <v>0</v>
      </c>
      <c r="U136" s="85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0</v>
      </c>
      <c r="AB136" s="85">
        <v>0</v>
      </c>
      <c r="AC136" s="85">
        <v>0</v>
      </c>
      <c r="AD136" s="85"/>
    </row>
    <row r="137" spans="1:30">
      <c r="A137" s="82" t="s">
        <v>539</v>
      </c>
      <c r="B137" s="83" t="s">
        <v>594</v>
      </c>
      <c r="C137" s="85">
        <v>0</v>
      </c>
      <c r="D137" s="85">
        <v>0</v>
      </c>
      <c r="E137" s="85">
        <v>0</v>
      </c>
      <c r="F137" s="85">
        <v>0</v>
      </c>
      <c r="G137" s="85">
        <v>0</v>
      </c>
      <c r="H137" s="85">
        <v>0</v>
      </c>
      <c r="I137" s="85">
        <v>0</v>
      </c>
      <c r="J137" s="85">
        <v>0</v>
      </c>
      <c r="K137" s="85">
        <v>0</v>
      </c>
      <c r="L137" s="85">
        <f>18.56*0.055</f>
        <v>1.0207999999999999</v>
      </c>
      <c r="M137" s="85">
        <v>0</v>
      </c>
      <c r="N137" s="85">
        <f>14.7*0.055</f>
        <v>0.8085</v>
      </c>
      <c r="O137" s="85">
        <f>21.9*0.055</f>
        <v>1.2044999999999999</v>
      </c>
      <c r="P137" s="85">
        <v>0</v>
      </c>
      <c r="Q137" s="85">
        <f>124.71*0.055</f>
        <v>6.8590499999999999</v>
      </c>
      <c r="R137" s="85">
        <f>133.69*0.055</f>
        <v>7.3529499999999999</v>
      </c>
      <c r="S137" s="85">
        <f>127*0.055</f>
        <v>6.9850000000000003</v>
      </c>
      <c r="T137" s="85">
        <f>118*0.055</f>
        <v>6.49</v>
      </c>
      <c r="U137" s="85">
        <f>129.2*0.055</f>
        <v>7.105999999999999</v>
      </c>
      <c r="V137" s="85">
        <f>124*0.055</f>
        <v>6.82</v>
      </c>
      <c r="W137" s="85">
        <f>118*0.055</f>
        <v>6.49</v>
      </c>
      <c r="X137" s="85">
        <f>95.236*0.055</f>
        <v>5.2379800000000003</v>
      </c>
      <c r="Y137" s="85">
        <f>82.02*0.055</f>
        <v>4.5110999999999999</v>
      </c>
      <c r="Z137" s="85">
        <f>37*0.055</f>
        <v>2.0350000000000001</v>
      </c>
      <c r="AA137" s="90">
        <f>32.5*0.055</f>
        <v>1.7875000000000001</v>
      </c>
      <c r="AB137" s="91">
        <f>24.3*0.055</f>
        <v>1.3365</v>
      </c>
      <c r="AC137" s="91">
        <f>21.4*0.055</f>
        <v>1.1769999999999998</v>
      </c>
      <c r="AD137" s="85"/>
    </row>
    <row r="138" spans="1:30">
      <c r="A138" s="82" t="s">
        <v>539</v>
      </c>
      <c r="B138" s="87" t="s">
        <v>643</v>
      </c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>
        <v>0</v>
      </c>
      <c r="O138" s="85">
        <v>0</v>
      </c>
      <c r="P138" s="85">
        <v>0</v>
      </c>
      <c r="Q138" s="85">
        <v>0</v>
      </c>
      <c r="R138" s="85">
        <v>0</v>
      </c>
      <c r="S138" s="85">
        <v>0</v>
      </c>
      <c r="T138" s="85">
        <v>0</v>
      </c>
      <c r="U138" s="85">
        <v>0</v>
      </c>
      <c r="V138" s="85">
        <v>0</v>
      </c>
      <c r="W138" s="85">
        <v>0</v>
      </c>
      <c r="X138" s="85">
        <v>0</v>
      </c>
      <c r="Y138" s="85">
        <v>0</v>
      </c>
      <c r="Z138" s="85">
        <v>0</v>
      </c>
      <c r="AA138" s="85">
        <v>0</v>
      </c>
      <c r="AB138" s="85">
        <v>0</v>
      </c>
      <c r="AC138" s="85">
        <v>0</v>
      </c>
      <c r="AD138" s="85"/>
    </row>
    <row r="139" spans="1:30">
      <c r="A139" s="82" t="s">
        <v>769</v>
      </c>
      <c r="B139" s="83" t="s">
        <v>597</v>
      </c>
      <c r="C139" s="85">
        <f>0.95*0.02</f>
        <v>1.9E-2</v>
      </c>
      <c r="D139" s="85">
        <f>0.95*0.02</f>
        <v>1.9E-2</v>
      </c>
      <c r="E139" s="85">
        <f>0.95*0.02</f>
        <v>1.9E-2</v>
      </c>
      <c r="F139" s="84" t="s">
        <v>680</v>
      </c>
      <c r="G139" s="84" t="s">
        <v>680</v>
      </c>
      <c r="H139" s="84" t="s">
        <v>680</v>
      </c>
      <c r="I139" s="84" t="s">
        <v>680</v>
      </c>
      <c r="J139" s="85">
        <f>0.95*0.02</f>
        <v>1.9E-2</v>
      </c>
      <c r="K139" s="85">
        <f>0.87*0.02</f>
        <v>1.7399999999999999E-2</v>
      </c>
      <c r="L139" s="85">
        <v>0</v>
      </c>
      <c r="M139" s="85">
        <v>0</v>
      </c>
      <c r="N139" s="85">
        <v>0</v>
      </c>
      <c r="O139" s="85">
        <v>0</v>
      </c>
      <c r="P139" s="85">
        <v>0</v>
      </c>
      <c r="Q139" s="85">
        <v>0</v>
      </c>
      <c r="R139" s="85">
        <v>0</v>
      </c>
      <c r="S139" s="85">
        <v>0</v>
      </c>
      <c r="T139" s="85">
        <v>0</v>
      </c>
      <c r="U139" s="85">
        <v>0</v>
      </c>
      <c r="V139" s="85">
        <f>1.135*0.02</f>
        <v>2.2700000000000001E-2</v>
      </c>
      <c r="W139" s="85">
        <f>2.13*0.02</f>
        <v>4.2599999999999999E-2</v>
      </c>
      <c r="X139" s="85">
        <v>0</v>
      </c>
      <c r="Y139" s="85">
        <v>0</v>
      </c>
      <c r="Z139" s="85">
        <v>0</v>
      </c>
      <c r="AA139" s="85">
        <f>8.17*0.02</f>
        <v>0.16339999999999999</v>
      </c>
      <c r="AB139" s="85">
        <v>0</v>
      </c>
      <c r="AC139" s="85">
        <v>0</v>
      </c>
      <c r="AD139" s="85"/>
    </row>
    <row r="140" spans="1:30">
      <c r="A140" s="82" t="s">
        <v>769</v>
      </c>
      <c r="B140" s="83" t="s">
        <v>600</v>
      </c>
      <c r="C140" s="85">
        <v>0</v>
      </c>
      <c r="D140" s="85">
        <v>0</v>
      </c>
      <c r="E140" s="85">
        <v>0</v>
      </c>
      <c r="F140" s="84" t="s">
        <v>680</v>
      </c>
      <c r="G140" s="84" t="s">
        <v>680</v>
      </c>
      <c r="H140" s="84" t="s">
        <v>680</v>
      </c>
      <c r="I140" s="84" t="s">
        <v>680</v>
      </c>
      <c r="J140" s="85">
        <v>0</v>
      </c>
      <c r="K140" s="85">
        <v>0</v>
      </c>
      <c r="L140" s="85">
        <v>0</v>
      </c>
      <c r="M140" s="85">
        <v>0</v>
      </c>
      <c r="N140" s="85">
        <v>0</v>
      </c>
      <c r="O140" s="85">
        <v>0</v>
      </c>
      <c r="P140" s="85">
        <v>0</v>
      </c>
      <c r="Q140" s="85">
        <v>0</v>
      </c>
      <c r="R140" s="85">
        <v>0</v>
      </c>
      <c r="S140" s="85">
        <v>0</v>
      </c>
      <c r="T140" s="85">
        <v>0</v>
      </c>
      <c r="U140" s="85">
        <v>0</v>
      </c>
      <c r="V140" s="85">
        <v>0</v>
      </c>
      <c r="W140" s="85">
        <v>0</v>
      </c>
      <c r="X140" s="85">
        <v>0</v>
      </c>
      <c r="Y140" s="85">
        <v>0</v>
      </c>
      <c r="Z140" s="85">
        <v>0</v>
      </c>
      <c r="AA140" s="85">
        <v>0</v>
      </c>
      <c r="AB140" s="85">
        <v>0</v>
      </c>
      <c r="AC140" s="85">
        <v>0</v>
      </c>
      <c r="AD140" s="85"/>
    </row>
    <row r="141" spans="1:30">
      <c r="A141" s="82" t="s">
        <v>769</v>
      </c>
      <c r="B141" s="83" t="s">
        <v>595</v>
      </c>
      <c r="C141" s="85">
        <v>0</v>
      </c>
      <c r="D141" s="85">
        <v>0</v>
      </c>
      <c r="E141" s="85">
        <v>0</v>
      </c>
      <c r="F141" s="84" t="s">
        <v>680</v>
      </c>
      <c r="G141" s="84" t="s">
        <v>680</v>
      </c>
      <c r="H141" s="84" t="s">
        <v>680</v>
      </c>
      <c r="I141" s="84" t="s">
        <v>680</v>
      </c>
      <c r="J141" s="85">
        <v>0</v>
      </c>
      <c r="K141" s="85">
        <v>0</v>
      </c>
      <c r="L141" s="85">
        <v>0</v>
      </c>
      <c r="M141" s="85">
        <v>0</v>
      </c>
      <c r="N141" s="85">
        <v>0</v>
      </c>
      <c r="O141" s="85">
        <v>0</v>
      </c>
      <c r="P141" s="85">
        <v>0</v>
      </c>
      <c r="Q141" s="85">
        <v>0</v>
      </c>
      <c r="R141" s="85">
        <v>0</v>
      </c>
      <c r="S141" s="85">
        <v>0</v>
      </c>
      <c r="T141" s="85">
        <v>0</v>
      </c>
      <c r="U141" s="85">
        <v>0</v>
      </c>
      <c r="V141" s="85">
        <v>0</v>
      </c>
      <c r="W141" s="85">
        <v>0</v>
      </c>
      <c r="X141" s="85">
        <v>0</v>
      </c>
      <c r="Y141" s="85">
        <v>0</v>
      </c>
      <c r="Z141" s="85">
        <v>0</v>
      </c>
      <c r="AA141" s="85">
        <v>0</v>
      </c>
      <c r="AB141" s="85">
        <v>0</v>
      </c>
      <c r="AC141" s="85">
        <v>0</v>
      </c>
      <c r="AD141" s="85"/>
    </row>
    <row r="142" spans="1:30">
      <c r="A142" s="82" t="s">
        <v>769</v>
      </c>
      <c r="B142" s="83" t="s">
        <v>700</v>
      </c>
      <c r="C142" s="85"/>
      <c r="D142" s="85"/>
      <c r="E142" s="85"/>
      <c r="F142" s="84"/>
      <c r="G142" s="84"/>
      <c r="H142" s="84"/>
      <c r="I142" s="84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>
        <f>8.404*0.11</f>
        <v>0.92444000000000004</v>
      </c>
      <c r="Z142" s="85">
        <f>28.64*0.11</f>
        <v>3.1503999999999999</v>
      </c>
      <c r="AA142" s="85">
        <v>0</v>
      </c>
      <c r="AB142" s="85">
        <v>0</v>
      </c>
      <c r="AC142" s="85">
        <v>0</v>
      </c>
      <c r="AD142" s="85"/>
    </row>
    <row r="143" spans="1:30">
      <c r="A143" s="82" t="s">
        <v>769</v>
      </c>
      <c r="B143" s="83" t="s">
        <v>596</v>
      </c>
      <c r="C143" s="85">
        <v>0</v>
      </c>
      <c r="D143" s="85">
        <v>0</v>
      </c>
      <c r="E143" s="85">
        <v>0</v>
      </c>
      <c r="F143" s="84" t="s">
        <v>680</v>
      </c>
      <c r="G143" s="84" t="s">
        <v>680</v>
      </c>
      <c r="H143" s="84" t="s">
        <v>680</v>
      </c>
      <c r="I143" s="84" t="s">
        <v>680</v>
      </c>
      <c r="J143" s="85">
        <v>0</v>
      </c>
      <c r="K143" s="85">
        <v>0</v>
      </c>
      <c r="L143" s="85">
        <v>0</v>
      </c>
      <c r="M143" s="85">
        <v>0</v>
      </c>
      <c r="N143" s="85">
        <v>0</v>
      </c>
      <c r="O143" s="85">
        <v>0</v>
      </c>
      <c r="P143" s="85">
        <v>0</v>
      </c>
      <c r="Q143" s="85">
        <v>0</v>
      </c>
      <c r="R143" s="85">
        <v>0</v>
      </c>
      <c r="S143" s="85">
        <v>0</v>
      </c>
      <c r="T143" s="85">
        <v>0</v>
      </c>
      <c r="U143" s="85">
        <v>0</v>
      </c>
      <c r="V143" s="85">
        <v>0</v>
      </c>
      <c r="W143" s="85">
        <v>0</v>
      </c>
      <c r="X143" s="85">
        <v>0</v>
      </c>
      <c r="Y143" s="85">
        <v>0</v>
      </c>
      <c r="Z143" s="85">
        <v>0</v>
      </c>
      <c r="AA143" s="85">
        <v>0</v>
      </c>
      <c r="AB143" s="85">
        <v>0</v>
      </c>
      <c r="AC143" s="85">
        <v>0</v>
      </c>
      <c r="AD143" s="85"/>
    </row>
    <row r="144" spans="1:30">
      <c r="A144" s="82" t="s">
        <v>769</v>
      </c>
      <c r="B144" s="83" t="s">
        <v>594</v>
      </c>
      <c r="C144" s="85">
        <f>41.2*0.055</f>
        <v>2.266</v>
      </c>
      <c r="D144" s="85">
        <f>41.2*0.055</f>
        <v>2.266</v>
      </c>
      <c r="E144" s="85">
        <f>41.2*0.055</f>
        <v>2.266</v>
      </c>
      <c r="F144" s="84" t="s">
        <v>680</v>
      </c>
      <c r="G144" s="84" t="s">
        <v>680</v>
      </c>
      <c r="H144" s="84" t="s">
        <v>680</v>
      </c>
      <c r="I144" s="84" t="s">
        <v>680</v>
      </c>
      <c r="J144" s="85">
        <f>41.2*0.055</f>
        <v>2.266</v>
      </c>
      <c r="K144" s="85">
        <f>51.08*0.055</f>
        <v>2.8094000000000001</v>
      </c>
      <c r="L144" s="85">
        <f>77.02*0.055</f>
        <v>4.2360999999999995</v>
      </c>
      <c r="M144" s="85">
        <f>112.52*0.055</f>
        <v>6.1886000000000001</v>
      </c>
      <c r="N144" s="85">
        <v>6.00875</v>
      </c>
      <c r="O144" s="85">
        <f>145.69*0.055</f>
        <v>8.01295</v>
      </c>
      <c r="P144" s="85">
        <f>143.27*0.055</f>
        <v>7.8798500000000002</v>
      </c>
      <c r="Q144" s="85">
        <f>311.17*0.055</f>
        <v>17.114350000000002</v>
      </c>
      <c r="R144" s="85">
        <f>233.24*0.055</f>
        <v>12.828200000000001</v>
      </c>
      <c r="S144" s="85">
        <f>249.21*0.055</f>
        <v>13.70655</v>
      </c>
      <c r="T144" s="85">
        <f>183.96*0.055</f>
        <v>10.117800000000001</v>
      </c>
      <c r="U144" s="85">
        <f>172.16*0.055</f>
        <v>9.4687999999999999</v>
      </c>
      <c r="V144" s="85">
        <f>203.011*0.055</f>
        <v>11.165604999999999</v>
      </c>
      <c r="W144" s="85">
        <f>211.74*0.055</f>
        <v>11.6457</v>
      </c>
      <c r="X144" s="85">
        <f>82.13*0.055</f>
        <v>4.51715</v>
      </c>
      <c r="Y144" s="85">
        <f>84.279*0.055</f>
        <v>4.635345</v>
      </c>
      <c r="Z144" s="85">
        <f>90.53*0.055</f>
        <v>4.9791499999999997</v>
      </c>
      <c r="AA144" s="85">
        <f>143.96*0.055</f>
        <v>7.9178000000000006</v>
      </c>
      <c r="AB144" s="85">
        <f>120.95*0.055</f>
        <v>6.6522500000000004</v>
      </c>
      <c r="AC144" s="85">
        <f>99.633*0.055</f>
        <v>5.4798149999999994</v>
      </c>
      <c r="AD144" s="85"/>
    </row>
    <row r="145" spans="1:30">
      <c r="A145" s="82" t="s">
        <v>769</v>
      </c>
      <c r="B145" s="87" t="s">
        <v>643</v>
      </c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>
        <v>0</v>
      </c>
      <c r="O145" s="85">
        <v>0</v>
      </c>
      <c r="P145" s="85">
        <v>0</v>
      </c>
      <c r="Q145" s="85">
        <v>0</v>
      </c>
      <c r="R145" s="85">
        <v>0</v>
      </c>
      <c r="S145" s="85">
        <v>0</v>
      </c>
      <c r="T145" s="85">
        <v>0</v>
      </c>
      <c r="U145" s="85">
        <v>0</v>
      </c>
      <c r="V145" s="85">
        <v>0</v>
      </c>
      <c r="W145" s="85">
        <v>0</v>
      </c>
      <c r="X145" s="85">
        <v>0</v>
      </c>
      <c r="Y145" s="85">
        <v>0</v>
      </c>
      <c r="Z145" s="85">
        <v>0</v>
      </c>
      <c r="AA145" s="85">
        <v>0</v>
      </c>
      <c r="AB145" s="85">
        <v>0</v>
      </c>
      <c r="AC145" s="85">
        <v>0</v>
      </c>
      <c r="AD145" s="85"/>
    </row>
    <row r="146" spans="1:30">
      <c r="A146" s="82" t="s">
        <v>753</v>
      </c>
      <c r="B146" s="83" t="s">
        <v>597</v>
      </c>
      <c r="C146" s="85">
        <v>0</v>
      </c>
      <c r="D146" s="85">
        <v>0</v>
      </c>
      <c r="E146" s="85">
        <v>0</v>
      </c>
      <c r="F146" s="85">
        <v>0</v>
      </c>
      <c r="G146" s="85">
        <v>0</v>
      </c>
      <c r="H146" s="85">
        <v>0</v>
      </c>
      <c r="I146" s="85">
        <v>0</v>
      </c>
      <c r="J146" s="85">
        <v>0</v>
      </c>
      <c r="K146" s="85">
        <v>0</v>
      </c>
      <c r="L146" s="85">
        <v>0</v>
      </c>
      <c r="M146" s="85">
        <v>0</v>
      </c>
      <c r="N146" s="85">
        <v>0</v>
      </c>
      <c r="O146" s="85">
        <v>0</v>
      </c>
      <c r="P146" s="85">
        <v>0</v>
      </c>
      <c r="Q146" s="85">
        <v>0</v>
      </c>
      <c r="R146" s="85">
        <v>0</v>
      </c>
      <c r="S146" s="85">
        <v>0</v>
      </c>
      <c r="T146" s="85">
        <v>0</v>
      </c>
      <c r="U146" s="85">
        <v>0</v>
      </c>
      <c r="V146" s="85">
        <v>0</v>
      </c>
      <c r="W146" s="85">
        <v>0</v>
      </c>
      <c r="X146" s="85">
        <v>0</v>
      </c>
      <c r="Y146" s="85">
        <v>0</v>
      </c>
      <c r="Z146" s="85">
        <v>0</v>
      </c>
      <c r="AA146" s="85">
        <v>0</v>
      </c>
      <c r="AB146" s="85">
        <v>0</v>
      </c>
      <c r="AC146" s="85">
        <v>0</v>
      </c>
      <c r="AD146" s="85"/>
    </row>
    <row r="147" spans="1:30">
      <c r="A147" s="82" t="s">
        <v>753</v>
      </c>
      <c r="B147" s="83" t="s">
        <v>600</v>
      </c>
      <c r="C147" s="85">
        <v>0</v>
      </c>
      <c r="D147" s="85">
        <v>0</v>
      </c>
      <c r="E147" s="85">
        <v>0</v>
      </c>
      <c r="F147" s="85">
        <v>0</v>
      </c>
      <c r="G147" s="85">
        <v>0</v>
      </c>
      <c r="H147" s="85">
        <v>0</v>
      </c>
      <c r="I147" s="85">
        <v>0</v>
      </c>
      <c r="J147" s="85">
        <v>0</v>
      </c>
      <c r="K147" s="85">
        <v>0</v>
      </c>
      <c r="L147" s="85">
        <v>0</v>
      </c>
      <c r="M147" s="85">
        <v>0</v>
      </c>
      <c r="N147" s="85">
        <v>0</v>
      </c>
      <c r="O147" s="85">
        <v>0</v>
      </c>
      <c r="P147" s="85">
        <v>0</v>
      </c>
      <c r="Q147" s="85">
        <v>0</v>
      </c>
      <c r="R147" s="85">
        <v>0</v>
      </c>
      <c r="S147" s="85">
        <v>0</v>
      </c>
      <c r="T147" s="85">
        <v>0</v>
      </c>
      <c r="U147" s="85">
        <v>0</v>
      </c>
      <c r="V147" s="85">
        <v>0</v>
      </c>
      <c r="W147" s="85">
        <v>0</v>
      </c>
      <c r="X147" s="85">
        <v>0</v>
      </c>
      <c r="Y147" s="85">
        <v>0</v>
      </c>
      <c r="Z147" s="85">
        <v>0</v>
      </c>
      <c r="AA147" s="85">
        <v>0</v>
      </c>
      <c r="AB147" s="85">
        <v>0</v>
      </c>
      <c r="AC147" s="85">
        <v>0</v>
      </c>
      <c r="AD147" s="85"/>
    </row>
    <row r="148" spans="1:30">
      <c r="A148" s="82" t="s">
        <v>753</v>
      </c>
      <c r="B148" s="83" t="s">
        <v>595</v>
      </c>
      <c r="C148" s="85">
        <v>0</v>
      </c>
      <c r="D148" s="85">
        <v>0</v>
      </c>
      <c r="E148" s="85">
        <v>0</v>
      </c>
      <c r="F148" s="85">
        <v>0</v>
      </c>
      <c r="G148" s="85">
        <v>0</v>
      </c>
      <c r="H148" s="85">
        <v>0</v>
      </c>
      <c r="I148" s="85">
        <v>0</v>
      </c>
      <c r="J148" s="85">
        <v>0</v>
      </c>
      <c r="K148" s="85">
        <v>0</v>
      </c>
      <c r="L148" s="85">
        <v>0</v>
      </c>
      <c r="M148" s="85">
        <v>0</v>
      </c>
      <c r="N148" s="85">
        <v>0</v>
      </c>
      <c r="O148" s="85">
        <v>0</v>
      </c>
      <c r="P148" s="85">
        <f>35.5*0.11</f>
        <v>3.9049999999999998</v>
      </c>
      <c r="Q148" s="85">
        <f>344.2*0.11</f>
        <v>37.862000000000002</v>
      </c>
      <c r="R148" s="85">
        <f>56.7*0.11</f>
        <v>6.2370000000000001</v>
      </c>
      <c r="S148" s="85">
        <f>56.7*0.11</f>
        <v>6.2370000000000001</v>
      </c>
      <c r="T148" s="85">
        <f>56.7*0.11</f>
        <v>6.2370000000000001</v>
      </c>
      <c r="U148" s="85">
        <f>138*0.11</f>
        <v>15.18</v>
      </c>
      <c r="V148" s="85">
        <f>9.3*0.11</f>
        <v>1.0230000000000001</v>
      </c>
      <c r="W148" s="85">
        <v>0</v>
      </c>
      <c r="X148" s="85">
        <v>0</v>
      </c>
      <c r="Y148" s="85">
        <v>0</v>
      </c>
      <c r="Z148" s="85">
        <v>0</v>
      </c>
      <c r="AA148" s="85">
        <v>0</v>
      </c>
      <c r="AB148" s="85">
        <v>0</v>
      </c>
      <c r="AC148" s="85">
        <v>0</v>
      </c>
      <c r="AD148" s="85"/>
    </row>
    <row r="149" spans="1:30">
      <c r="A149" s="82" t="s">
        <v>753</v>
      </c>
      <c r="B149" s="83" t="s">
        <v>700</v>
      </c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>
        <f>88.3*0.11</f>
        <v>9.7129999999999992</v>
      </c>
      <c r="S149" s="85">
        <f>88.3*0.11</f>
        <v>9.7129999999999992</v>
      </c>
      <c r="T149" s="85">
        <f>88.3*0.11</f>
        <v>9.7129999999999992</v>
      </c>
      <c r="U149" s="85">
        <v>0</v>
      </c>
      <c r="V149" s="85">
        <f>11.7*0.11</f>
        <v>1.2869999999999999</v>
      </c>
      <c r="W149" s="85">
        <v>0</v>
      </c>
      <c r="X149" s="85">
        <v>0</v>
      </c>
      <c r="Y149" s="85">
        <v>0</v>
      </c>
      <c r="Z149" s="85">
        <v>0</v>
      </c>
      <c r="AA149" s="85">
        <v>0</v>
      </c>
      <c r="AB149" s="85">
        <v>0</v>
      </c>
      <c r="AC149" s="85">
        <v>0</v>
      </c>
      <c r="AD149" s="85"/>
    </row>
    <row r="150" spans="1:30">
      <c r="A150" s="82" t="s">
        <v>753</v>
      </c>
      <c r="B150" s="83" t="s">
        <v>596</v>
      </c>
      <c r="C150" s="85">
        <v>0</v>
      </c>
      <c r="D150" s="85">
        <v>0</v>
      </c>
      <c r="E150" s="85">
        <v>0</v>
      </c>
      <c r="F150" s="85">
        <v>0</v>
      </c>
      <c r="G150" s="85">
        <v>0</v>
      </c>
      <c r="H150" s="85">
        <v>0</v>
      </c>
      <c r="I150" s="85">
        <v>0</v>
      </c>
      <c r="J150" s="85">
        <v>0</v>
      </c>
      <c r="K150" s="85">
        <v>0</v>
      </c>
      <c r="L150" s="85">
        <v>0</v>
      </c>
      <c r="M150" s="85">
        <v>0</v>
      </c>
      <c r="N150" s="85">
        <v>0</v>
      </c>
      <c r="O150" s="85">
        <v>0</v>
      </c>
      <c r="P150" s="85">
        <v>0</v>
      </c>
      <c r="Q150" s="85">
        <v>0</v>
      </c>
      <c r="R150" s="85">
        <v>0</v>
      </c>
      <c r="S150" s="85">
        <v>0</v>
      </c>
      <c r="T150" s="85">
        <v>0</v>
      </c>
      <c r="U150" s="85">
        <v>0</v>
      </c>
      <c r="V150" s="85">
        <v>0</v>
      </c>
      <c r="W150" s="85">
        <v>0</v>
      </c>
      <c r="X150" s="85">
        <v>0</v>
      </c>
      <c r="Y150" s="85">
        <v>0</v>
      </c>
      <c r="Z150" s="85">
        <v>0</v>
      </c>
      <c r="AA150" s="85">
        <v>0</v>
      </c>
      <c r="AB150" s="85">
        <v>0</v>
      </c>
      <c r="AC150" s="85">
        <v>0</v>
      </c>
      <c r="AD150" s="85"/>
    </row>
    <row r="151" spans="1:30">
      <c r="A151" s="82" t="s">
        <v>753</v>
      </c>
      <c r="B151" s="83" t="s">
        <v>594</v>
      </c>
      <c r="C151" s="85">
        <f>105.89*0.055</f>
        <v>5.82395</v>
      </c>
      <c r="D151" s="85">
        <f>44.71*0.055</f>
        <v>2.45905</v>
      </c>
      <c r="E151" s="85">
        <f>27.78*0.055</f>
        <v>1.5279</v>
      </c>
      <c r="F151" s="85">
        <f>21.6*0.055</f>
        <v>1.1880000000000002</v>
      </c>
      <c r="G151" s="85">
        <f>42.2*0.055</f>
        <v>2.3210000000000002</v>
      </c>
      <c r="H151" s="85">
        <f>34.8*0.055</f>
        <v>1.9139999999999999</v>
      </c>
      <c r="I151" s="85">
        <f>34.8*0.055</f>
        <v>1.9139999999999999</v>
      </c>
      <c r="J151" s="85">
        <f>23.5*0.055</f>
        <v>1.2925</v>
      </c>
      <c r="K151" s="85">
        <f>23.5*0.055</f>
        <v>1.2925</v>
      </c>
      <c r="L151" s="85">
        <f>23.5*0.055</f>
        <v>1.2925</v>
      </c>
      <c r="M151" s="85">
        <f>80*0.055</f>
        <v>4.4000000000000004</v>
      </c>
      <c r="N151" s="85">
        <f>170*0.055</f>
        <v>9.35</v>
      </c>
      <c r="O151" s="85">
        <f>185*0.055</f>
        <v>10.175000000000001</v>
      </c>
      <c r="P151" s="85">
        <f>198.5*0.055</f>
        <v>10.9175</v>
      </c>
      <c r="Q151" s="85">
        <f>1206.6*0.055</f>
        <v>66.363</v>
      </c>
      <c r="R151" s="85">
        <f>1221.02*0.055</f>
        <v>67.156099999999995</v>
      </c>
      <c r="S151" s="85">
        <f>1228.1*0.055</f>
        <v>67.54549999999999</v>
      </c>
      <c r="T151" s="85">
        <f>1228.1*0.055</f>
        <v>67.54549999999999</v>
      </c>
      <c r="U151" s="85">
        <f>1221*0.055</f>
        <v>67.155000000000001</v>
      </c>
      <c r="V151" s="85">
        <f>1222.5*0.055</f>
        <v>67.237499999999997</v>
      </c>
      <c r="W151" s="85">
        <f>978*0.055</f>
        <v>53.79</v>
      </c>
      <c r="X151" s="85">
        <f>862*0.055</f>
        <v>47.410000000000004</v>
      </c>
      <c r="Y151" s="85">
        <f>692.4*0.055</f>
        <v>38.082000000000001</v>
      </c>
      <c r="Z151" s="85">
        <f>692*0.055</f>
        <v>38.06</v>
      </c>
      <c r="AA151" s="85">
        <f>643.6*0.055</f>
        <v>35.398000000000003</v>
      </c>
      <c r="AB151" s="85">
        <f>591.5*0.055</f>
        <v>32.532499999999999</v>
      </c>
      <c r="AC151" s="85">
        <f>536.4*0.055</f>
        <v>29.501999999999999</v>
      </c>
      <c r="AD151" s="85"/>
    </row>
    <row r="152" spans="1:30">
      <c r="A152" s="82" t="s">
        <v>753</v>
      </c>
      <c r="B152" s="87" t="s">
        <v>643</v>
      </c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>
        <v>0</v>
      </c>
      <c r="O152" s="85">
        <v>0</v>
      </c>
      <c r="P152" s="85">
        <v>0</v>
      </c>
      <c r="Q152" s="85">
        <v>0</v>
      </c>
      <c r="R152" s="85">
        <v>0</v>
      </c>
      <c r="S152" s="85">
        <v>0</v>
      </c>
      <c r="T152" s="85">
        <v>0</v>
      </c>
      <c r="U152" s="85">
        <v>0</v>
      </c>
      <c r="V152" s="85">
        <v>0</v>
      </c>
      <c r="W152" s="85">
        <v>0</v>
      </c>
      <c r="X152" s="85">
        <v>0</v>
      </c>
      <c r="Y152" s="85">
        <v>0</v>
      </c>
      <c r="Z152" s="85">
        <v>0</v>
      </c>
      <c r="AA152" s="85">
        <v>0</v>
      </c>
      <c r="AB152" s="85">
        <v>0</v>
      </c>
      <c r="AC152" s="85">
        <v>0</v>
      </c>
      <c r="AD152" s="85"/>
    </row>
    <row r="153" spans="1:30">
      <c r="A153" s="92" t="s">
        <v>770</v>
      </c>
      <c r="B153" s="86" t="s">
        <v>597</v>
      </c>
      <c r="C153" s="84" t="s">
        <v>680</v>
      </c>
      <c r="D153" s="84" t="s">
        <v>680</v>
      </c>
      <c r="E153" s="84" t="s">
        <v>680</v>
      </c>
      <c r="F153" s="84" t="s">
        <v>680</v>
      </c>
      <c r="G153" s="84" t="s">
        <v>680</v>
      </c>
      <c r="H153" s="84" t="s">
        <v>680</v>
      </c>
      <c r="I153" s="84" t="s">
        <v>680</v>
      </c>
      <c r="J153" s="84" t="s">
        <v>680</v>
      </c>
      <c r="K153" s="84" t="s">
        <v>680</v>
      </c>
      <c r="L153" s="84" t="s">
        <v>680</v>
      </c>
      <c r="M153" s="85">
        <v>0</v>
      </c>
      <c r="N153" s="85">
        <v>0</v>
      </c>
      <c r="O153" s="85">
        <v>0</v>
      </c>
      <c r="P153" s="85">
        <v>0</v>
      </c>
      <c r="Q153" s="85">
        <v>0</v>
      </c>
      <c r="R153" s="85">
        <v>0</v>
      </c>
      <c r="S153" s="85">
        <v>0</v>
      </c>
      <c r="T153" s="85">
        <v>0</v>
      </c>
      <c r="U153" s="85">
        <v>0</v>
      </c>
      <c r="V153" s="85">
        <v>0</v>
      </c>
      <c r="W153" s="85">
        <v>0</v>
      </c>
      <c r="X153" s="85">
        <v>0</v>
      </c>
      <c r="Y153" s="85">
        <v>0</v>
      </c>
      <c r="Z153" s="85">
        <v>0</v>
      </c>
      <c r="AA153" s="85">
        <v>0</v>
      </c>
      <c r="AB153" s="85">
        <v>0</v>
      </c>
      <c r="AC153" s="85">
        <v>0</v>
      </c>
      <c r="AD153" s="85"/>
    </row>
    <row r="154" spans="1:30">
      <c r="A154" s="82" t="s">
        <v>770</v>
      </c>
      <c r="B154" s="83" t="s">
        <v>600</v>
      </c>
      <c r="C154" s="84" t="s">
        <v>680</v>
      </c>
      <c r="D154" s="84" t="s">
        <v>680</v>
      </c>
      <c r="E154" s="84" t="s">
        <v>680</v>
      </c>
      <c r="F154" s="84" t="s">
        <v>680</v>
      </c>
      <c r="G154" s="84" t="s">
        <v>680</v>
      </c>
      <c r="H154" s="84" t="s">
        <v>680</v>
      </c>
      <c r="I154" s="84" t="s">
        <v>680</v>
      </c>
      <c r="J154" s="84" t="s">
        <v>680</v>
      </c>
      <c r="K154" s="84" t="s">
        <v>680</v>
      </c>
      <c r="L154" s="84" t="s">
        <v>680</v>
      </c>
      <c r="M154" s="85">
        <v>0</v>
      </c>
      <c r="N154" s="85">
        <v>0</v>
      </c>
      <c r="O154" s="85">
        <v>0</v>
      </c>
      <c r="P154" s="85">
        <v>0</v>
      </c>
      <c r="Q154" s="85">
        <v>0</v>
      </c>
      <c r="R154" s="85">
        <v>0</v>
      </c>
      <c r="S154" s="85">
        <v>0</v>
      </c>
      <c r="T154" s="85">
        <v>0</v>
      </c>
      <c r="U154" s="85">
        <v>0</v>
      </c>
      <c r="V154" s="85">
        <v>0</v>
      </c>
      <c r="W154" s="85">
        <v>0</v>
      </c>
      <c r="X154" s="85">
        <v>0</v>
      </c>
      <c r="Y154" s="85">
        <v>0</v>
      </c>
      <c r="Z154" s="85">
        <v>0</v>
      </c>
      <c r="AA154" s="85">
        <v>0</v>
      </c>
      <c r="AB154" s="85">
        <v>0</v>
      </c>
      <c r="AC154" s="85">
        <v>0</v>
      </c>
      <c r="AD154" s="85"/>
    </row>
    <row r="155" spans="1:30">
      <c r="A155" s="82" t="s">
        <v>770</v>
      </c>
      <c r="B155" s="83" t="s">
        <v>595</v>
      </c>
      <c r="C155" s="84" t="s">
        <v>680</v>
      </c>
      <c r="D155" s="84" t="s">
        <v>680</v>
      </c>
      <c r="E155" s="84" t="s">
        <v>680</v>
      </c>
      <c r="F155" s="84" t="s">
        <v>680</v>
      </c>
      <c r="G155" s="84" t="s">
        <v>680</v>
      </c>
      <c r="H155" s="84" t="s">
        <v>680</v>
      </c>
      <c r="I155" s="84" t="s">
        <v>680</v>
      </c>
      <c r="J155" s="84" t="s">
        <v>680</v>
      </c>
      <c r="K155" s="84" t="s">
        <v>680</v>
      </c>
      <c r="L155" s="84" t="s">
        <v>680</v>
      </c>
      <c r="M155" s="85">
        <v>0</v>
      </c>
      <c r="N155" s="85">
        <v>0</v>
      </c>
      <c r="O155" s="85">
        <v>0</v>
      </c>
      <c r="P155" s="85">
        <v>0</v>
      </c>
      <c r="Q155" s="85">
        <v>0</v>
      </c>
      <c r="R155" s="85">
        <v>0</v>
      </c>
      <c r="S155" s="85">
        <v>0</v>
      </c>
      <c r="T155" s="85">
        <v>0</v>
      </c>
      <c r="U155" s="85">
        <v>0</v>
      </c>
      <c r="V155" s="85">
        <v>0</v>
      </c>
      <c r="W155" s="85">
        <v>0</v>
      </c>
      <c r="X155" s="85">
        <v>0</v>
      </c>
      <c r="Y155" s="85">
        <v>0</v>
      </c>
      <c r="Z155" s="85">
        <v>0</v>
      </c>
      <c r="AA155" s="85">
        <v>0</v>
      </c>
      <c r="AB155" s="85">
        <v>0</v>
      </c>
      <c r="AC155" s="85">
        <v>0</v>
      </c>
      <c r="AD155" s="85"/>
    </row>
    <row r="156" spans="1:30">
      <c r="A156" s="82" t="s">
        <v>770</v>
      </c>
      <c r="B156" s="83" t="s">
        <v>596</v>
      </c>
      <c r="C156" s="84" t="s">
        <v>680</v>
      </c>
      <c r="D156" s="84" t="s">
        <v>680</v>
      </c>
      <c r="E156" s="84" t="s">
        <v>680</v>
      </c>
      <c r="F156" s="84" t="s">
        <v>680</v>
      </c>
      <c r="G156" s="84" t="s">
        <v>680</v>
      </c>
      <c r="H156" s="84" t="s">
        <v>680</v>
      </c>
      <c r="I156" s="84" t="s">
        <v>680</v>
      </c>
      <c r="J156" s="84" t="s">
        <v>680</v>
      </c>
      <c r="K156" s="84" t="s">
        <v>680</v>
      </c>
      <c r="L156" s="84" t="s">
        <v>680</v>
      </c>
      <c r="M156" s="85">
        <v>0</v>
      </c>
      <c r="N156" s="85">
        <v>0</v>
      </c>
      <c r="O156" s="85">
        <v>0</v>
      </c>
      <c r="P156" s="85">
        <v>0</v>
      </c>
      <c r="Q156" s="85">
        <v>0</v>
      </c>
      <c r="R156" s="85">
        <v>0</v>
      </c>
      <c r="S156" s="85">
        <v>0</v>
      </c>
      <c r="T156" s="85">
        <v>0</v>
      </c>
      <c r="U156" s="85">
        <v>0</v>
      </c>
      <c r="V156" s="85">
        <v>0</v>
      </c>
      <c r="W156" s="85">
        <v>0</v>
      </c>
      <c r="X156" s="85">
        <v>0</v>
      </c>
      <c r="Y156" s="85">
        <v>0</v>
      </c>
      <c r="Z156" s="85">
        <v>0</v>
      </c>
      <c r="AA156" s="85">
        <v>0</v>
      </c>
      <c r="AB156" s="85">
        <v>0</v>
      </c>
      <c r="AC156" s="85">
        <v>0</v>
      </c>
      <c r="AD156" s="85"/>
    </row>
    <row r="157" spans="1:30">
      <c r="A157" s="82" t="s">
        <v>770</v>
      </c>
      <c r="B157" s="83" t="s">
        <v>594</v>
      </c>
      <c r="C157" s="84" t="s">
        <v>680</v>
      </c>
      <c r="D157" s="84" t="s">
        <v>680</v>
      </c>
      <c r="E157" s="84" t="s">
        <v>680</v>
      </c>
      <c r="F157" s="84" t="s">
        <v>680</v>
      </c>
      <c r="G157" s="84" t="s">
        <v>680</v>
      </c>
      <c r="H157" s="84" t="s">
        <v>680</v>
      </c>
      <c r="I157" s="84" t="s">
        <v>680</v>
      </c>
      <c r="J157" s="84" t="s">
        <v>680</v>
      </c>
      <c r="K157" s="84" t="s">
        <v>680</v>
      </c>
      <c r="L157" s="84" t="s">
        <v>680</v>
      </c>
      <c r="M157" s="85">
        <v>0</v>
      </c>
      <c r="N157" s="85">
        <f>0.976*0.055</f>
        <v>5.3679999999999999E-2</v>
      </c>
      <c r="O157" s="85">
        <f>2.5*0.055</f>
        <v>0.13750000000000001</v>
      </c>
      <c r="P157" s="85">
        <f>15*0.055</f>
        <v>0.82499999999999996</v>
      </c>
      <c r="Q157" s="85">
        <f>4.5*0.055</f>
        <v>0.2475</v>
      </c>
      <c r="R157" s="85">
        <f>4.78*0.055</f>
        <v>0.26290000000000002</v>
      </c>
      <c r="S157" s="85">
        <f>5.13*0.055</f>
        <v>0.28215000000000001</v>
      </c>
      <c r="T157" s="85">
        <f>4.2*0.055</f>
        <v>0.23100000000000001</v>
      </c>
      <c r="U157" s="85">
        <f>3.15*0.055</f>
        <v>0.17324999999999999</v>
      </c>
      <c r="V157" s="85">
        <f>3.02*0.055</f>
        <v>0.1661</v>
      </c>
      <c r="W157" s="85">
        <f>2.5*0.055</f>
        <v>0.13750000000000001</v>
      </c>
      <c r="X157" s="85">
        <f>2.3*0.055</f>
        <v>0.1265</v>
      </c>
      <c r="Y157" s="85">
        <f>1.5*0.055</f>
        <v>8.2500000000000004E-2</v>
      </c>
      <c r="Z157" s="85">
        <f>1*0.055</f>
        <v>5.5E-2</v>
      </c>
      <c r="AA157" s="85">
        <f>1*0.055</f>
        <v>5.5E-2</v>
      </c>
      <c r="AB157" s="85">
        <f>0.8*0.055</f>
        <v>4.4000000000000004E-2</v>
      </c>
      <c r="AC157" s="85">
        <f>0.8*0.055</f>
        <v>4.4000000000000004E-2</v>
      </c>
      <c r="AD157" s="85"/>
    </row>
    <row r="158" spans="1:30">
      <c r="A158" s="82" t="s">
        <v>770</v>
      </c>
      <c r="B158" s="87" t="s">
        <v>643</v>
      </c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>
        <v>0</v>
      </c>
      <c r="O158" s="85">
        <v>0</v>
      </c>
      <c r="P158" s="85">
        <v>0</v>
      </c>
      <c r="Q158" s="85">
        <v>0</v>
      </c>
      <c r="R158" s="85">
        <v>0</v>
      </c>
      <c r="S158" s="85">
        <v>0</v>
      </c>
      <c r="T158" s="85">
        <v>0</v>
      </c>
      <c r="U158" s="85">
        <v>0</v>
      </c>
      <c r="V158" s="85">
        <v>0</v>
      </c>
      <c r="W158" s="85">
        <v>0</v>
      </c>
      <c r="X158" s="85">
        <v>0</v>
      </c>
      <c r="Y158" s="85">
        <v>0</v>
      </c>
      <c r="Z158" s="85">
        <v>0</v>
      </c>
      <c r="AA158" s="85">
        <v>0</v>
      </c>
      <c r="AB158" s="85">
        <v>0</v>
      </c>
      <c r="AC158" s="85">
        <v>0</v>
      </c>
      <c r="AD158" s="85"/>
    </row>
    <row r="159" spans="1:30">
      <c r="A159" s="82" t="s">
        <v>749</v>
      </c>
      <c r="B159" s="83" t="s">
        <v>597</v>
      </c>
      <c r="C159" s="85">
        <v>0</v>
      </c>
      <c r="D159" s="85">
        <v>0</v>
      </c>
      <c r="E159" s="85">
        <v>0</v>
      </c>
      <c r="F159" s="85">
        <v>0</v>
      </c>
      <c r="G159" s="85">
        <v>0</v>
      </c>
      <c r="H159" s="85">
        <v>0</v>
      </c>
      <c r="I159" s="85">
        <v>0</v>
      </c>
      <c r="J159" s="85">
        <v>0</v>
      </c>
      <c r="K159" s="85">
        <v>0</v>
      </c>
      <c r="L159" s="85"/>
      <c r="M159" s="85"/>
      <c r="N159" s="85">
        <v>0</v>
      </c>
      <c r="O159" s="85">
        <v>0</v>
      </c>
      <c r="P159" s="85">
        <v>0</v>
      </c>
      <c r="Q159" s="85">
        <v>0</v>
      </c>
      <c r="R159" s="85">
        <v>0</v>
      </c>
      <c r="S159" s="85">
        <v>0</v>
      </c>
      <c r="T159" s="85">
        <v>0</v>
      </c>
      <c r="U159" s="85">
        <v>0</v>
      </c>
      <c r="V159" s="85">
        <v>0</v>
      </c>
      <c r="W159" s="85">
        <v>0</v>
      </c>
      <c r="X159" s="85">
        <v>0</v>
      </c>
      <c r="Y159" s="85">
        <v>0</v>
      </c>
      <c r="Z159" s="85">
        <v>0</v>
      </c>
      <c r="AA159" s="85">
        <v>0</v>
      </c>
      <c r="AB159" s="85">
        <v>0</v>
      </c>
      <c r="AC159" s="85">
        <v>0</v>
      </c>
      <c r="AD159" s="85"/>
    </row>
    <row r="160" spans="1:30">
      <c r="A160" s="82" t="s">
        <v>749</v>
      </c>
      <c r="B160" s="83" t="s">
        <v>600</v>
      </c>
      <c r="C160" s="85">
        <v>0</v>
      </c>
      <c r="D160" s="85">
        <v>0</v>
      </c>
      <c r="E160" s="85">
        <v>0</v>
      </c>
      <c r="F160" s="85">
        <v>0</v>
      </c>
      <c r="G160" s="85">
        <v>0</v>
      </c>
      <c r="H160" s="85">
        <v>0</v>
      </c>
      <c r="I160" s="85">
        <v>0</v>
      </c>
      <c r="J160" s="85">
        <v>0</v>
      </c>
      <c r="K160" s="85">
        <v>0</v>
      </c>
      <c r="L160" s="85"/>
      <c r="M160" s="85"/>
      <c r="N160" s="85">
        <v>0</v>
      </c>
      <c r="O160" s="85">
        <v>0</v>
      </c>
      <c r="P160" s="85">
        <v>0</v>
      </c>
      <c r="Q160" s="85">
        <v>0</v>
      </c>
      <c r="R160" s="85">
        <v>0</v>
      </c>
      <c r="S160" s="85">
        <v>0</v>
      </c>
      <c r="T160" s="85">
        <v>0</v>
      </c>
      <c r="U160" s="85">
        <v>0</v>
      </c>
      <c r="V160" s="85">
        <v>0</v>
      </c>
      <c r="W160" s="85">
        <v>0</v>
      </c>
      <c r="X160" s="85">
        <v>0</v>
      </c>
      <c r="Y160" s="85">
        <v>0</v>
      </c>
      <c r="Z160" s="85">
        <v>0</v>
      </c>
      <c r="AA160" s="85">
        <v>0</v>
      </c>
      <c r="AB160" s="85">
        <v>0</v>
      </c>
      <c r="AC160" s="85">
        <v>0</v>
      </c>
      <c r="AD160" s="85"/>
    </row>
    <row r="161" spans="1:30">
      <c r="A161" s="82" t="s">
        <v>749</v>
      </c>
      <c r="B161" s="83" t="s">
        <v>595</v>
      </c>
      <c r="C161" s="85">
        <v>0</v>
      </c>
      <c r="D161" s="85">
        <v>0</v>
      </c>
      <c r="E161" s="85">
        <v>0</v>
      </c>
      <c r="F161" s="85">
        <v>0</v>
      </c>
      <c r="G161" s="85">
        <v>0</v>
      </c>
      <c r="H161" s="85">
        <v>0</v>
      </c>
      <c r="I161" s="85">
        <v>0</v>
      </c>
      <c r="J161" s="85">
        <v>0</v>
      </c>
      <c r="K161" s="85">
        <v>0</v>
      </c>
      <c r="L161" s="85"/>
      <c r="M161" s="85"/>
      <c r="N161" s="85">
        <v>0</v>
      </c>
      <c r="O161" s="85">
        <v>0</v>
      </c>
      <c r="P161" s="85">
        <v>0</v>
      </c>
      <c r="Q161" s="85">
        <v>0</v>
      </c>
      <c r="R161" s="85">
        <v>0</v>
      </c>
      <c r="S161" s="85">
        <v>0</v>
      </c>
      <c r="T161" s="85">
        <v>0</v>
      </c>
      <c r="U161" s="85">
        <v>0</v>
      </c>
      <c r="V161" s="85">
        <v>0</v>
      </c>
      <c r="W161" s="85">
        <v>0</v>
      </c>
      <c r="X161" s="85">
        <v>0</v>
      </c>
      <c r="Y161" s="85">
        <v>0</v>
      </c>
      <c r="Z161" s="85">
        <v>0</v>
      </c>
      <c r="AA161" s="85">
        <v>0</v>
      </c>
      <c r="AB161" s="85">
        <v>0</v>
      </c>
      <c r="AC161" s="85">
        <v>0</v>
      </c>
      <c r="AD161" s="85"/>
    </row>
    <row r="162" spans="1:30">
      <c r="A162" s="82" t="s">
        <v>749</v>
      </c>
      <c r="B162" s="83" t="s">
        <v>596</v>
      </c>
      <c r="C162" s="85">
        <v>0</v>
      </c>
      <c r="D162" s="85">
        <v>0</v>
      </c>
      <c r="E162" s="85">
        <v>0</v>
      </c>
      <c r="F162" s="85">
        <v>0</v>
      </c>
      <c r="G162" s="85">
        <v>0</v>
      </c>
      <c r="H162" s="85">
        <v>0</v>
      </c>
      <c r="I162" s="85">
        <v>0</v>
      </c>
      <c r="J162" s="85">
        <v>0</v>
      </c>
      <c r="K162" s="85">
        <v>0</v>
      </c>
      <c r="L162" s="85"/>
      <c r="M162" s="85"/>
      <c r="N162" s="85">
        <v>0</v>
      </c>
      <c r="O162" s="85">
        <v>0</v>
      </c>
      <c r="P162" s="85">
        <v>0</v>
      </c>
      <c r="Q162" s="85">
        <v>0</v>
      </c>
      <c r="R162" s="85">
        <v>0</v>
      </c>
      <c r="S162" s="85">
        <v>0</v>
      </c>
      <c r="T162" s="85">
        <v>0</v>
      </c>
      <c r="U162" s="85">
        <v>0</v>
      </c>
      <c r="V162" s="85">
        <v>0</v>
      </c>
      <c r="W162" s="85">
        <v>0</v>
      </c>
      <c r="X162" s="85">
        <v>0</v>
      </c>
      <c r="Y162" s="85">
        <v>0</v>
      </c>
      <c r="Z162" s="85">
        <v>0</v>
      </c>
      <c r="AA162" s="85">
        <v>0</v>
      </c>
      <c r="AB162" s="85">
        <v>0</v>
      </c>
      <c r="AC162" s="85">
        <v>0</v>
      </c>
      <c r="AD162" s="85"/>
    </row>
    <row r="163" spans="1:30">
      <c r="A163" s="82" t="s">
        <v>749</v>
      </c>
      <c r="B163" s="83" t="s">
        <v>594</v>
      </c>
      <c r="C163" s="85">
        <f>16.33*0.055</f>
        <v>0.89814999999999989</v>
      </c>
      <c r="D163" s="85">
        <f>2.04*0.055</f>
        <v>0.11220000000000001</v>
      </c>
      <c r="E163" s="85">
        <f>0.82*0.055</f>
        <v>4.5099999999999994E-2</v>
      </c>
      <c r="F163" s="85">
        <f>4.74*0.055</f>
        <v>0.26069999999999999</v>
      </c>
      <c r="G163" s="85">
        <f>6.58*0.055</f>
        <v>0.3619</v>
      </c>
      <c r="H163" s="85">
        <f>2.96*0.055</f>
        <v>0.1628</v>
      </c>
      <c r="I163" s="85">
        <f>2.88*0.055</f>
        <v>0.15839999999999999</v>
      </c>
      <c r="J163" s="85">
        <f>3.65*0.055</f>
        <v>0.20074999999999998</v>
      </c>
      <c r="K163" s="85">
        <f>3.42*0.055</f>
        <v>0.18809999999999999</v>
      </c>
      <c r="L163" s="85"/>
      <c r="M163" s="85"/>
      <c r="N163" s="85">
        <f>4.6*0.055</f>
        <v>0.253</v>
      </c>
      <c r="O163" s="85">
        <f>5.1*0.055</f>
        <v>0.28049999999999997</v>
      </c>
      <c r="P163" s="85">
        <f>121*0.055</f>
        <v>6.6550000000000002</v>
      </c>
      <c r="Q163" s="85">
        <f>216*0.055</f>
        <v>11.88</v>
      </c>
      <c r="R163" s="85">
        <f>219.88*0.055</f>
        <v>12.093399999999999</v>
      </c>
      <c r="S163" s="85">
        <f>218.62*0.055</f>
        <v>12.024100000000001</v>
      </c>
      <c r="T163" s="85">
        <f>215*0.055</f>
        <v>11.824999999999999</v>
      </c>
      <c r="U163" s="85">
        <f>209*0.055</f>
        <v>11.494999999999999</v>
      </c>
      <c r="V163" s="85">
        <f>202*0.055</f>
        <v>11.11</v>
      </c>
      <c r="W163" s="85">
        <f>190*0.055</f>
        <v>10.45</v>
      </c>
      <c r="X163" s="85">
        <f>180*0.055</f>
        <v>9.9</v>
      </c>
      <c r="Y163" s="85">
        <f>180*0.055</f>
        <v>9.9</v>
      </c>
      <c r="Z163" s="85">
        <f>170*0.055</f>
        <v>9.35</v>
      </c>
      <c r="AA163" s="85">
        <f>180*0.055</f>
        <v>9.9</v>
      </c>
      <c r="AB163" s="85">
        <f>160*0.055</f>
        <v>8.8000000000000007</v>
      </c>
      <c r="AC163" s="85">
        <f>110*0.055</f>
        <v>6.05</v>
      </c>
      <c r="AD163" s="85"/>
    </row>
    <row r="164" spans="1:30">
      <c r="A164" s="82" t="s">
        <v>749</v>
      </c>
      <c r="B164" s="87" t="s">
        <v>643</v>
      </c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>
        <v>0</v>
      </c>
      <c r="O164" s="85">
        <v>0</v>
      </c>
      <c r="P164" s="85">
        <v>0</v>
      </c>
      <c r="Q164" s="85">
        <v>0</v>
      </c>
      <c r="R164" s="85">
        <v>0</v>
      </c>
      <c r="S164" s="85">
        <v>0</v>
      </c>
      <c r="T164" s="85">
        <v>0</v>
      </c>
      <c r="U164" s="85">
        <v>0</v>
      </c>
      <c r="V164" s="85">
        <v>0</v>
      </c>
      <c r="W164" s="85">
        <v>0</v>
      </c>
      <c r="X164" s="85">
        <v>0</v>
      </c>
      <c r="Y164" s="85">
        <v>0</v>
      </c>
      <c r="Z164" s="85">
        <v>0</v>
      </c>
      <c r="AA164" s="85">
        <v>0</v>
      </c>
      <c r="AB164" s="85">
        <v>0</v>
      </c>
      <c r="AC164" s="85">
        <v>0</v>
      </c>
      <c r="AD164" s="85"/>
    </row>
    <row r="165" spans="1:30">
      <c r="A165" s="82" t="s">
        <v>750</v>
      </c>
      <c r="B165" s="83" t="s">
        <v>597</v>
      </c>
      <c r="C165" s="84" t="s">
        <v>680</v>
      </c>
      <c r="D165" s="84" t="s">
        <v>680</v>
      </c>
      <c r="E165" s="84" t="s">
        <v>680</v>
      </c>
      <c r="F165" s="84" t="s">
        <v>680</v>
      </c>
      <c r="G165" s="85">
        <v>0</v>
      </c>
      <c r="H165" s="85">
        <v>0</v>
      </c>
      <c r="I165" s="84" t="s">
        <v>680</v>
      </c>
      <c r="J165" s="84" t="s">
        <v>680</v>
      </c>
      <c r="K165" s="85">
        <v>0</v>
      </c>
      <c r="L165" s="85">
        <v>0</v>
      </c>
      <c r="M165" s="85">
        <v>0</v>
      </c>
      <c r="N165" s="85">
        <v>0</v>
      </c>
      <c r="O165" s="85">
        <v>0</v>
      </c>
      <c r="P165" s="85"/>
      <c r="Q165" s="85">
        <v>0</v>
      </c>
      <c r="R165" s="85">
        <v>0</v>
      </c>
      <c r="S165" s="85">
        <v>0</v>
      </c>
      <c r="T165" s="85">
        <v>0</v>
      </c>
      <c r="U165" s="85">
        <v>0</v>
      </c>
      <c r="V165" s="85">
        <v>0</v>
      </c>
      <c r="W165" s="85">
        <v>0</v>
      </c>
      <c r="X165" s="85">
        <v>0</v>
      </c>
      <c r="Y165" s="85">
        <v>0</v>
      </c>
      <c r="Z165" s="85">
        <v>0</v>
      </c>
      <c r="AA165" s="85">
        <v>0</v>
      </c>
      <c r="AB165" s="85">
        <v>0</v>
      </c>
      <c r="AC165" s="85">
        <v>0</v>
      </c>
      <c r="AD165" s="85">
        <v>0</v>
      </c>
    </row>
    <row r="166" spans="1:30">
      <c r="A166" s="82" t="s">
        <v>750</v>
      </c>
      <c r="B166" s="83" t="s">
        <v>600</v>
      </c>
      <c r="C166" s="84" t="s">
        <v>680</v>
      </c>
      <c r="D166" s="84" t="s">
        <v>680</v>
      </c>
      <c r="E166" s="84" t="s">
        <v>680</v>
      </c>
      <c r="F166" s="84" t="s">
        <v>680</v>
      </c>
      <c r="G166" s="85">
        <v>0</v>
      </c>
      <c r="H166" s="85">
        <v>0</v>
      </c>
      <c r="I166" s="84" t="s">
        <v>680</v>
      </c>
      <c r="J166" s="84" t="s">
        <v>680</v>
      </c>
      <c r="K166" s="85">
        <v>0</v>
      </c>
      <c r="L166" s="85">
        <v>0</v>
      </c>
      <c r="M166" s="85">
        <v>0</v>
      </c>
      <c r="N166" s="85">
        <v>0</v>
      </c>
      <c r="O166" s="85">
        <v>0</v>
      </c>
      <c r="P166" s="85"/>
      <c r="Q166" s="85">
        <v>0</v>
      </c>
      <c r="R166" s="85">
        <v>0</v>
      </c>
      <c r="S166" s="85">
        <v>0</v>
      </c>
      <c r="T166" s="85">
        <v>0</v>
      </c>
      <c r="U166" s="85">
        <v>0</v>
      </c>
      <c r="V166" s="85">
        <v>0</v>
      </c>
      <c r="W166" s="85">
        <v>0</v>
      </c>
      <c r="X166" s="85">
        <v>0</v>
      </c>
      <c r="Y166" s="85">
        <v>0</v>
      </c>
      <c r="Z166" s="85">
        <v>0</v>
      </c>
      <c r="AA166" s="85">
        <v>0</v>
      </c>
      <c r="AB166" s="85">
        <v>0</v>
      </c>
      <c r="AC166" s="85">
        <v>0</v>
      </c>
      <c r="AD166" s="85">
        <v>0</v>
      </c>
    </row>
    <row r="167" spans="1:30">
      <c r="A167" s="82" t="s">
        <v>750</v>
      </c>
      <c r="B167" s="83" t="s">
        <v>595</v>
      </c>
      <c r="C167" s="84" t="s">
        <v>680</v>
      </c>
      <c r="D167" s="84" t="s">
        <v>680</v>
      </c>
      <c r="E167" s="84" t="s">
        <v>680</v>
      </c>
      <c r="F167" s="84" t="s">
        <v>680</v>
      </c>
      <c r="G167" s="85">
        <v>0</v>
      </c>
      <c r="H167" s="85">
        <v>0</v>
      </c>
      <c r="I167" s="84" t="s">
        <v>680</v>
      </c>
      <c r="J167" s="84" t="s">
        <v>680</v>
      </c>
      <c r="K167" s="85">
        <v>0</v>
      </c>
      <c r="L167" s="85">
        <v>0</v>
      </c>
      <c r="M167" s="85">
        <v>0</v>
      </c>
      <c r="N167" s="85">
        <v>0</v>
      </c>
      <c r="O167" s="85">
        <v>0</v>
      </c>
      <c r="P167" s="85"/>
      <c r="Q167" s="85">
        <v>0</v>
      </c>
      <c r="R167" s="85">
        <v>0</v>
      </c>
      <c r="S167" s="85">
        <v>0</v>
      </c>
      <c r="T167" s="85">
        <v>0</v>
      </c>
      <c r="U167" s="85">
        <v>0</v>
      </c>
      <c r="V167" s="85">
        <v>0</v>
      </c>
      <c r="W167" s="85">
        <v>0</v>
      </c>
      <c r="X167" s="85">
        <v>0</v>
      </c>
      <c r="Y167" s="85">
        <v>0</v>
      </c>
      <c r="Z167" s="85">
        <v>0</v>
      </c>
      <c r="AA167" s="85">
        <v>0</v>
      </c>
      <c r="AB167" s="85">
        <v>0</v>
      </c>
      <c r="AC167" s="85">
        <v>0</v>
      </c>
      <c r="AD167" s="85">
        <v>0</v>
      </c>
    </row>
    <row r="168" spans="1:30">
      <c r="A168" s="82" t="s">
        <v>750</v>
      </c>
      <c r="B168" s="83" t="s">
        <v>596</v>
      </c>
      <c r="C168" s="84" t="s">
        <v>680</v>
      </c>
      <c r="D168" s="84" t="s">
        <v>680</v>
      </c>
      <c r="E168" s="84" t="s">
        <v>680</v>
      </c>
      <c r="F168" s="84" t="s">
        <v>680</v>
      </c>
      <c r="G168" s="85">
        <v>0</v>
      </c>
      <c r="H168" s="85">
        <v>0</v>
      </c>
      <c r="I168" s="84" t="s">
        <v>680</v>
      </c>
      <c r="J168" s="84" t="s">
        <v>680</v>
      </c>
      <c r="K168" s="85">
        <v>0</v>
      </c>
      <c r="L168" s="85">
        <v>0</v>
      </c>
      <c r="M168" s="85">
        <v>0</v>
      </c>
      <c r="N168" s="85">
        <v>0</v>
      </c>
      <c r="O168" s="85">
        <v>0</v>
      </c>
      <c r="P168" s="85"/>
      <c r="Q168" s="85">
        <v>0</v>
      </c>
      <c r="R168" s="85">
        <v>0</v>
      </c>
      <c r="S168" s="85">
        <v>0</v>
      </c>
      <c r="T168" s="85">
        <v>0</v>
      </c>
      <c r="U168" s="85">
        <v>0</v>
      </c>
      <c r="V168" s="85">
        <v>0</v>
      </c>
      <c r="W168" s="85">
        <v>0</v>
      </c>
      <c r="X168" s="85">
        <v>0</v>
      </c>
      <c r="Y168" s="85">
        <v>0</v>
      </c>
      <c r="Z168" s="85">
        <v>0</v>
      </c>
      <c r="AA168" s="85">
        <v>0</v>
      </c>
      <c r="AB168" s="85">
        <v>0</v>
      </c>
      <c r="AC168" s="85">
        <v>0</v>
      </c>
      <c r="AD168" s="85">
        <v>0</v>
      </c>
    </row>
    <row r="169" spans="1:30">
      <c r="A169" s="82" t="s">
        <v>750</v>
      </c>
      <c r="B169" s="83" t="s">
        <v>594</v>
      </c>
      <c r="C169" s="84" t="s">
        <v>680</v>
      </c>
      <c r="D169" s="84" t="s">
        <v>680</v>
      </c>
      <c r="E169" s="84" t="s">
        <v>680</v>
      </c>
      <c r="F169" s="84" t="s">
        <v>680</v>
      </c>
      <c r="G169" s="85">
        <f>1.3*0.055</f>
        <v>7.1500000000000008E-2</v>
      </c>
      <c r="H169" s="85">
        <f>1.7*0.055</f>
        <v>9.35E-2</v>
      </c>
      <c r="I169" s="84" t="s">
        <v>680</v>
      </c>
      <c r="J169" s="84" t="s">
        <v>680</v>
      </c>
      <c r="K169" s="85">
        <f>2.72*0.055</f>
        <v>0.14960000000000001</v>
      </c>
      <c r="L169" s="85">
        <f>4.36*0.055</f>
        <v>0.23980000000000001</v>
      </c>
      <c r="M169" s="85">
        <f>4.94*0.055</f>
        <v>0.2717</v>
      </c>
      <c r="N169" s="85">
        <f>0.4*0.055</f>
        <v>2.2000000000000002E-2</v>
      </c>
      <c r="O169" s="85">
        <f>1*0.055</f>
        <v>5.5E-2</v>
      </c>
      <c r="P169" s="85"/>
      <c r="Q169" s="85">
        <f>513.9*0.055</f>
        <v>28.264499999999998</v>
      </c>
      <c r="R169" s="85">
        <f>112.4*0.055</f>
        <v>6.1820000000000004</v>
      </c>
      <c r="S169" s="85">
        <f>309.12*0.055</f>
        <v>17.0016</v>
      </c>
      <c r="T169" s="85">
        <f>300*0.055</f>
        <v>16.5</v>
      </c>
      <c r="U169" s="85">
        <f>276.4*0.055</f>
        <v>15.201999999999998</v>
      </c>
      <c r="V169" s="85">
        <f>265.8*0.055</f>
        <v>14.619000000000002</v>
      </c>
      <c r="W169" s="85">
        <f>258.2*0.055</f>
        <v>14.200999999999999</v>
      </c>
      <c r="X169" s="85">
        <f>255*0.055</f>
        <v>14.025</v>
      </c>
      <c r="Y169" s="85">
        <f>216*0.055</f>
        <v>11.88</v>
      </c>
      <c r="Z169" s="85">
        <f>188.7*0.055</f>
        <v>10.378499999999999</v>
      </c>
      <c r="AA169" s="85">
        <f>185.4*0.055</f>
        <v>10.197000000000001</v>
      </c>
      <c r="AB169" s="85">
        <f>184.2*0.055</f>
        <v>10.131</v>
      </c>
      <c r="AC169" s="85">
        <f>183.6*0.055</f>
        <v>10.097999999999999</v>
      </c>
      <c r="AD169" s="85">
        <f>180.1*0.055</f>
        <v>9.9055</v>
      </c>
    </row>
    <row r="170" spans="1:30">
      <c r="A170" s="82" t="s">
        <v>750</v>
      </c>
      <c r="B170" s="87" t="s">
        <v>643</v>
      </c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>
        <v>0</v>
      </c>
      <c r="N170" s="85">
        <v>0</v>
      </c>
      <c r="O170" s="85">
        <v>0</v>
      </c>
      <c r="P170" s="85"/>
      <c r="Q170" s="85">
        <v>0</v>
      </c>
      <c r="R170" s="85">
        <v>0</v>
      </c>
      <c r="S170" s="85">
        <v>0</v>
      </c>
      <c r="T170" s="85">
        <v>0</v>
      </c>
      <c r="U170" s="85">
        <v>0</v>
      </c>
      <c r="V170" s="85">
        <v>0</v>
      </c>
      <c r="W170" s="85">
        <v>0</v>
      </c>
      <c r="X170" s="85">
        <v>0</v>
      </c>
      <c r="Y170" s="85">
        <v>0</v>
      </c>
      <c r="Z170" s="85">
        <v>0</v>
      </c>
      <c r="AA170" s="85">
        <v>0</v>
      </c>
      <c r="AB170" s="85">
        <v>0</v>
      </c>
      <c r="AC170" s="85">
        <v>0</v>
      </c>
      <c r="AD170" s="85">
        <v>0</v>
      </c>
    </row>
    <row r="171" spans="1:30">
      <c r="A171" s="82" t="s">
        <v>751</v>
      </c>
      <c r="B171" s="83" t="s">
        <v>597</v>
      </c>
      <c r="C171" s="88">
        <v>0</v>
      </c>
      <c r="D171" s="88">
        <v>0</v>
      </c>
      <c r="E171" s="88">
        <v>0</v>
      </c>
      <c r="F171" s="88">
        <v>0</v>
      </c>
      <c r="G171" s="88">
        <v>0</v>
      </c>
      <c r="H171" s="88">
        <v>0</v>
      </c>
      <c r="I171" s="88">
        <f>2.18*0.02</f>
        <v>4.3600000000000007E-2</v>
      </c>
      <c r="J171" s="88">
        <f>2.36*0.02</f>
        <v>4.7199999999999999E-2</v>
      </c>
      <c r="K171" s="88">
        <f>6.75*0.02</f>
        <v>0.13500000000000001</v>
      </c>
      <c r="L171" s="85">
        <f>2.36*0.02</f>
        <v>4.7199999999999999E-2</v>
      </c>
      <c r="M171" s="85">
        <f>0.72*0.02</f>
        <v>1.44E-2</v>
      </c>
      <c r="N171" s="85">
        <v>5.96E-2</v>
      </c>
      <c r="O171" s="85">
        <f>1.99*0.02</f>
        <v>3.9800000000000002E-2</v>
      </c>
      <c r="P171" s="85">
        <f>0.01*0.02</f>
        <v>2.0000000000000001E-4</v>
      </c>
      <c r="Q171" s="85">
        <f>0.37*0.02</f>
        <v>7.4000000000000003E-3</v>
      </c>
      <c r="R171" s="85">
        <f>2.45*0.02</f>
        <v>4.9000000000000002E-2</v>
      </c>
      <c r="S171" s="85">
        <f>2.53*0.02</f>
        <v>5.0599999999999999E-2</v>
      </c>
      <c r="T171" s="85">
        <f>6.05*0.02</f>
        <v>0.121</v>
      </c>
      <c r="U171" s="85">
        <f>1.54*0.02</f>
        <v>3.0800000000000001E-2</v>
      </c>
      <c r="V171" s="85">
        <f>2*0.02</f>
        <v>0.04</v>
      </c>
      <c r="W171" s="85">
        <f>2.26*0.02</f>
        <v>4.5199999999999997E-2</v>
      </c>
      <c r="X171" s="85">
        <f>3.77*0.02</f>
        <v>7.5400000000000009E-2</v>
      </c>
      <c r="Y171" s="85">
        <f>0.91*0.02</f>
        <v>1.8200000000000001E-2</v>
      </c>
      <c r="Z171" s="85">
        <f>10.34*0.02</f>
        <v>0.20680000000000001</v>
      </c>
      <c r="AA171" s="85">
        <f>2.7064*0.02</f>
        <v>5.4128000000000003E-2</v>
      </c>
      <c r="AB171" s="85">
        <f>-0.5448*0.02</f>
        <v>-1.0895999999999999E-2</v>
      </c>
      <c r="AC171" s="88">
        <f>(0.6-0.758)*0.02</f>
        <v>-3.1600000000000005E-3</v>
      </c>
      <c r="AD171" s="85"/>
    </row>
    <row r="172" spans="1:30">
      <c r="A172" s="82" t="s">
        <v>751</v>
      </c>
      <c r="B172" s="83" t="s">
        <v>600</v>
      </c>
      <c r="C172" s="88">
        <v>0</v>
      </c>
      <c r="D172" s="88">
        <v>0</v>
      </c>
      <c r="E172" s="88">
        <v>0</v>
      </c>
      <c r="F172" s="88">
        <v>0</v>
      </c>
      <c r="G172" s="88">
        <v>0</v>
      </c>
      <c r="H172" s="88">
        <v>0</v>
      </c>
      <c r="I172" s="88">
        <v>0</v>
      </c>
      <c r="J172" s="88">
        <v>0</v>
      </c>
      <c r="K172" s="88">
        <v>0</v>
      </c>
      <c r="L172" s="85">
        <v>0</v>
      </c>
      <c r="M172" s="85">
        <f>0.52*0.022</f>
        <v>1.1440000000000001E-2</v>
      </c>
      <c r="N172" s="85">
        <f>1.24*0.022</f>
        <v>2.7279999999999999E-2</v>
      </c>
      <c r="O172" s="85">
        <f>1.22*0.022</f>
        <v>2.6839999999999999E-2</v>
      </c>
      <c r="P172" s="85">
        <f>-0.003*0.022</f>
        <v>-6.5999999999999992E-5</v>
      </c>
      <c r="Q172" s="85">
        <f>(0.53-0.14)*0.022</f>
        <v>8.5799999999999991E-3</v>
      </c>
      <c r="R172" s="85">
        <f>0.65*0.022</f>
        <v>1.43E-2</v>
      </c>
      <c r="S172" s="85">
        <f>0.41*0.022</f>
        <v>9.0199999999999985E-3</v>
      </c>
      <c r="T172" s="85">
        <f>0.31*0.022</f>
        <v>6.8199999999999997E-3</v>
      </c>
      <c r="U172" s="85">
        <f>0.07*0.022</f>
        <v>1.5400000000000001E-3</v>
      </c>
      <c r="V172" s="85">
        <f>0.68*0.022</f>
        <v>1.4959999999999999E-2</v>
      </c>
      <c r="W172" s="85">
        <f>1.09*0.022</f>
        <v>2.3980000000000001E-2</v>
      </c>
      <c r="X172" s="85">
        <f>0.27*0.022</f>
        <v>5.94E-3</v>
      </c>
      <c r="Y172" s="85">
        <v>0</v>
      </c>
      <c r="Z172" s="85">
        <v>0</v>
      </c>
      <c r="AA172" s="85">
        <f>0.565*0.022</f>
        <v>1.2429999999999998E-2</v>
      </c>
      <c r="AB172" s="85">
        <v>0</v>
      </c>
      <c r="AC172" s="85">
        <f>0.952*0.022</f>
        <v>2.0943999999999997E-2</v>
      </c>
      <c r="AD172" s="85"/>
    </row>
    <row r="173" spans="1:30">
      <c r="A173" s="82" t="s">
        <v>751</v>
      </c>
      <c r="B173" s="83" t="s">
        <v>595</v>
      </c>
      <c r="C173" s="88">
        <f>43.01*0.11</f>
        <v>4.7310999999999996</v>
      </c>
      <c r="D173" s="88">
        <f>24.16*0.11</f>
        <v>2.6576</v>
      </c>
      <c r="E173" s="88">
        <f>68.87*0.11</f>
        <v>7.5757000000000003</v>
      </c>
      <c r="F173" s="88">
        <f>94.65*0.11</f>
        <v>10.4115</v>
      </c>
      <c r="G173" s="88">
        <f>87.87*0.11</f>
        <v>9.6657000000000011</v>
      </c>
      <c r="H173" s="88">
        <f>188.5*0.11</f>
        <v>20.734999999999999</v>
      </c>
      <c r="I173" s="88">
        <f>150.63*0.11</f>
        <v>16.569299999999998</v>
      </c>
      <c r="J173" s="88">
        <f>210.73*0.11</f>
        <v>23.180299999999999</v>
      </c>
      <c r="K173" s="88">
        <f>58*0.11</f>
        <v>6.38</v>
      </c>
      <c r="L173" s="85">
        <f>254.05*0.11</f>
        <v>27.945500000000003</v>
      </c>
      <c r="M173" s="85">
        <f>274.54*0.11</f>
        <v>30.199400000000001</v>
      </c>
      <c r="N173" s="85">
        <v>28.3811</v>
      </c>
      <c r="O173" s="85">
        <f>(390.63-0.02)*0.11</f>
        <v>42.967100000000002</v>
      </c>
      <c r="P173" s="85">
        <f>413.66*0.11</f>
        <v>45.502600000000001</v>
      </c>
      <c r="Q173" s="85">
        <f>219.68*0.11</f>
        <v>24.1648</v>
      </c>
      <c r="R173" s="85">
        <f>(496.6-2)*0.11</f>
        <v>54.406000000000006</v>
      </c>
      <c r="S173" s="85">
        <f>(459.84-0.14)*0.11</f>
        <v>50.567</v>
      </c>
      <c r="T173" s="85">
        <f>514.73*0.11</f>
        <v>56.6203</v>
      </c>
      <c r="U173" s="85">
        <f>383.66*0.11</f>
        <v>42.202600000000004</v>
      </c>
      <c r="V173" s="85">
        <f>292.34*0.11</f>
        <v>32.157399999999996</v>
      </c>
      <c r="W173" s="85">
        <f>282.36*0.11</f>
        <v>31.059600000000003</v>
      </c>
      <c r="X173" s="85">
        <f>116.98*0.11</f>
        <v>12.867800000000001</v>
      </c>
      <c r="Y173" s="85">
        <f>244.74*0.11</f>
        <v>26.921400000000002</v>
      </c>
      <c r="Z173" s="85">
        <f>59.32*0.11</f>
        <v>6.5251999999999999</v>
      </c>
      <c r="AA173" s="85">
        <f>(73.8768-1)*0.11</f>
        <v>8.0164480000000005</v>
      </c>
      <c r="AB173" s="85">
        <v>0</v>
      </c>
      <c r="AC173" s="85">
        <v>0</v>
      </c>
      <c r="AD173" s="85"/>
    </row>
    <row r="174" spans="1:30">
      <c r="A174" s="82" t="s">
        <v>751</v>
      </c>
      <c r="B174" s="83" t="s">
        <v>700</v>
      </c>
      <c r="C174" s="88"/>
      <c r="D174" s="88"/>
      <c r="E174" s="88"/>
      <c r="F174" s="88"/>
      <c r="G174" s="88"/>
      <c r="H174" s="88"/>
      <c r="I174" s="88"/>
      <c r="J174" s="88"/>
      <c r="K174" s="88"/>
      <c r="L174" s="85"/>
      <c r="M174" s="85"/>
      <c r="N174" s="85"/>
      <c r="O174" s="85"/>
      <c r="P174" s="85"/>
      <c r="Q174" s="85"/>
      <c r="R174" s="85">
        <f>(63.82-89.8)*0.11</f>
        <v>-2.8577999999999997</v>
      </c>
      <c r="S174" s="85">
        <f>(78.1-101.4)*0.11</f>
        <v>-2.5630000000000011</v>
      </c>
      <c r="T174" s="85">
        <f>(98.92-159.31)*0.11</f>
        <v>-6.6429</v>
      </c>
      <c r="U174" s="85">
        <f>(301.86-77.25)*0.11</f>
        <v>24.707100000000001</v>
      </c>
      <c r="V174" s="85">
        <f>(58.44-61.68)*0.11</f>
        <v>-0.35640000000000022</v>
      </c>
      <c r="W174" s="85">
        <f>(56.69-53.54)*0.11</f>
        <v>0.34649999999999986</v>
      </c>
      <c r="X174" s="85">
        <f>(63.24-3.73)*0.11</f>
        <v>6.5461000000000009</v>
      </c>
      <c r="Y174" s="85">
        <f>(40.33-11.47)*0.11</f>
        <v>3.1745999999999999</v>
      </c>
      <c r="Z174" s="85">
        <f>(51.87-19.36)*0.11</f>
        <v>3.5760999999999998</v>
      </c>
      <c r="AA174" s="85">
        <f>(38.8473-11.2681)*0.11</f>
        <v>3.0337119999999995</v>
      </c>
      <c r="AB174" s="85">
        <v>0</v>
      </c>
      <c r="AC174" s="85">
        <v>0</v>
      </c>
      <c r="AD174" s="85"/>
    </row>
    <row r="175" spans="1:30">
      <c r="A175" s="82" t="s">
        <v>751</v>
      </c>
      <c r="B175" s="83" t="s">
        <v>596</v>
      </c>
      <c r="C175" s="88">
        <v>0</v>
      </c>
      <c r="D175" s="88">
        <v>0</v>
      </c>
      <c r="E175" s="88">
        <v>0</v>
      </c>
      <c r="F175" s="88">
        <v>0</v>
      </c>
      <c r="G175" s="88">
        <v>0</v>
      </c>
      <c r="H175" s="88">
        <v>0</v>
      </c>
      <c r="I175" s="88">
        <f>0.02*0.065</f>
        <v>1.3000000000000002E-3</v>
      </c>
      <c r="J175" s="88">
        <v>0</v>
      </c>
      <c r="K175" s="88">
        <v>0</v>
      </c>
      <c r="L175" s="85">
        <v>0</v>
      </c>
      <c r="M175" s="85">
        <f>0.19*0.065</f>
        <v>1.235E-2</v>
      </c>
      <c r="N175" s="85">
        <v>0.21775000000000003</v>
      </c>
      <c r="O175" s="85">
        <f>4.13*0.065</f>
        <v>0.26845000000000002</v>
      </c>
      <c r="P175" s="85">
        <f>4.64*0.065</f>
        <v>0.30159999999999998</v>
      </c>
      <c r="Q175" s="85">
        <f>(8.88-2.87)*0.065</f>
        <v>0.39065000000000005</v>
      </c>
      <c r="R175" s="85">
        <f>13.32*0.065</f>
        <v>0.86580000000000001</v>
      </c>
      <c r="S175" s="85">
        <f>8.85*0.065</f>
        <v>0.57525000000000004</v>
      </c>
      <c r="T175" s="85">
        <f>15.72*0.065</f>
        <v>1.0218</v>
      </c>
      <c r="U175" s="85">
        <f>2.86*0.065</f>
        <v>0.18590000000000001</v>
      </c>
      <c r="V175" s="85">
        <f>3.98*0.065</f>
        <v>0.25869999999999999</v>
      </c>
      <c r="W175" s="85">
        <f>2.23*0.065</f>
        <v>0.14495</v>
      </c>
      <c r="X175" s="85">
        <f>0.28*0.065</f>
        <v>1.8200000000000001E-2</v>
      </c>
      <c r="Y175" s="85">
        <f>3.24*0.065</f>
        <v>0.21060000000000001</v>
      </c>
      <c r="Z175" s="85">
        <f>0.93*0.065</f>
        <v>6.0450000000000004E-2</v>
      </c>
      <c r="AA175" s="85">
        <f>1.70724*0.065</f>
        <v>0.11097060000000002</v>
      </c>
      <c r="AB175" s="85">
        <f>0.33456*0.065</f>
        <v>2.1746400000000003E-2</v>
      </c>
      <c r="AC175" s="85">
        <v>0</v>
      </c>
      <c r="AD175" s="85"/>
    </row>
    <row r="176" spans="1:30">
      <c r="A176" s="82" t="s">
        <v>751</v>
      </c>
      <c r="B176" s="83" t="s">
        <v>594</v>
      </c>
      <c r="C176" s="88">
        <f>401.71*0.055</f>
        <v>22.094049999999999</v>
      </c>
      <c r="D176" s="88">
        <f>349.31*0.055</f>
        <v>19.212050000000001</v>
      </c>
      <c r="E176" s="88">
        <f>580.75*0.055</f>
        <v>31.94125</v>
      </c>
      <c r="F176" s="88">
        <f>640.38*0.055</f>
        <v>35.2209</v>
      </c>
      <c r="G176" s="88">
        <f>580.93*0.055</f>
        <v>31.951149999999998</v>
      </c>
      <c r="H176" s="88">
        <f>690.67*0.055</f>
        <v>37.986849999999997</v>
      </c>
      <c r="I176" s="88">
        <f>651.98*0.055</f>
        <v>35.858899999999998</v>
      </c>
      <c r="J176" s="88">
        <f>534.64*0.055</f>
        <v>29.405200000000001</v>
      </c>
      <c r="K176" s="88">
        <f>554.08*0.055</f>
        <v>30.474400000000003</v>
      </c>
      <c r="L176" s="85">
        <f>764.96*0.055</f>
        <v>42.072800000000001</v>
      </c>
      <c r="M176" s="85">
        <f>(793.77-3.52)*0.055</f>
        <v>43.463749999999997</v>
      </c>
      <c r="N176" s="85">
        <v>50.841450000000002</v>
      </c>
      <c r="O176" s="85">
        <f>(658.42-15)*0.055</f>
        <v>35.388100000000001</v>
      </c>
      <c r="P176" s="85">
        <f>(833.62-4.13)*0.055</f>
        <v>45.621949999999998</v>
      </c>
      <c r="Q176" s="85">
        <f>(925.76-5.11)*0.055</f>
        <v>50.635750000000002</v>
      </c>
      <c r="R176" s="85">
        <f>(797.79-0.07)*0.055</f>
        <v>43.874599999999994</v>
      </c>
      <c r="S176" s="85">
        <f>(1048.68-3.4)*0.055</f>
        <v>57.490400000000001</v>
      </c>
      <c r="T176" s="85">
        <f>(864.99-0.14)*0.055</f>
        <v>47.566749999999999</v>
      </c>
      <c r="U176" s="85">
        <f>606.96*0.055</f>
        <v>33.382800000000003</v>
      </c>
      <c r="V176" s="85">
        <f>758.56*0.055</f>
        <v>41.720799999999997</v>
      </c>
      <c r="W176" s="85">
        <f>(666.52-5.46)*0.055</f>
        <v>36.3583</v>
      </c>
      <c r="X176" s="85">
        <f>915.63*0.055</f>
        <v>50.359650000000002</v>
      </c>
      <c r="Y176" s="85">
        <f>710.09*0.055</f>
        <v>39.054950000000005</v>
      </c>
      <c r="Z176" s="85">
        <f>570.73*0.055</f>
        <v>31.390150000000002</v>
      </c>
      <c r="AA176" s="85">
        <f>436.56354*0.055</f>
        <v>24.010994700000001</v>
      </c>
      <c r="AB176" s="85">
        <f>490.716*0.055</f>
        <v>26.989380000000001</v>
      </c>
      <c r="AC176" s="85">
        <f>268.586*0.055</f>
        <v>14.77223</v>
      </c>
      <c r="AD176" s="85"/>
    </row>
    <row r="177" spans="1:30">
      <c r="A177" s="82" t="s">
        <v>751</v>
      </c>
      <c r="B177" s="87" t="s">
        <v>643</v>
      </c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>
        <v>4.2000000000000003E-2</v>
      </c>
      <c r="O177" s="85">
        <f>1.2*0.07</f>
        <v>8.4000000000000005E-2</v>
      </c>
      <c r="P177" s="85">
        <f>3.9*0.07</f>
        <v>0.27300000000000002</v>
      </c>
      <c r="Q177" s="85">
        <v>0</v>
      </c>
      <c r="R177" s="85">
        <f>8.4*0.07</f>
        <v>0.58800000000000008</v>
      </c>
      <c r="S177" s="85">
        <f>4.5*0.07</f>
        <v>0.31500000000000006</v>
      </c>
      <c r="T177" s="85">
        <f>6.3*0.07</f>
        <v>0.441</v>
      </c>
      <c r="U177" s="85">
        <f>2.7*0.07</f>
        <v>0.18900000000000003</v>
      </c>
      <c r="V177" s="85">
        <f>0.6*0.07</f>
        <v>4.2000000000000003E-2</v>
      </c>
      <c r="W177" s="85">
        <v>0</v>
      </c>
      <c r="X177" s="85">
        <v>0</v>
      </c>
      <c r="Y177" s="85">
        <v>0</v>
      </c>
      <c r="Z177" s="85">
        <v>0</v>
      </c>
      <c r="AA177" s="85">
        <v>0</v>
      </c>
      <c r="AB177" s="85">
        <v>0</v>
      </c>
      <c r="AC177" s="85">
        <v>0</v>
      </c>
      <c r="AD177" s="85"/>
    </row>
    <row r="178" spans="1:30">
      <c r="A178" s="82" t="s">
        <v>564</v>
      </c>
      <c r="B178" s="83" t="s">
        <v>597</v>
      </c>
      <c r="C178" s="85">
        <v>0</v>
      </c>
      <c r="D178" s="84" t="s">
        <v>680</v>
      </c>
      <c r="E178" s="84" t="s">
        <v>680</v>
      </c>
      <c r="F178" s="84" t="s">
        <v>680</v>
      </c>
      <c r="G178" s="85">
        <v>0</v>
      </c>
      <c r="H178" s="85">
        <v>0</v>
      </c>
      <c r="I178" s="85">
        <v>0</v>
      </c>
      <c r="J178" s="85">
        <v>0</v>
      </c>
      <c r="K178" s="85">
        <v>16.100000000000001</v>
      </c>
      <c r="L178" s="85">
        <f>503*0.02</f>
        <v>10.06</v>
      </c>
      <c r="M178" s="85">
        <f>(167.55+1115.802-901.33)*0.02</f>
        <v>7.6404399999999963</v>
      </c>
      <c r="N178" s="85">
        <f>(397.67+2135.743-1718.437)*0.02</f>
        <v>16.299520000000001</v>
      </c>
      <c r="O178" s="85">
        <f>(237.78+2072-2158.46)*0.02</f>
        <v>3.0264000000000033</v>
      </c>
      <c r="P178" s="85">
        <f>(118.75-2310.08+2558)*0.02</f>
        <v>7.3334000000000019</v>
      </c>
      <c r="Q178" s="85">
        <v>5.9566000000000034</v>
      </c>
      <c r="R178" s="85">
        <f>(2819.18+98.59-2203.11)*0.02</f>
        <v>14.293199999999997</v>
      </c>
      <c r="S178" s="85">
        <f>(119.92-2430.71+3082.82)*0.02</f>
        <v>15.440600000000005</v>
      </c>
      <c r="T178" s="85">
        <f>((98.68+1687.43-1007.46)*0.02)</f>
        <v>15.573000000000002</v>
      </c>
      <c r="U178" s="85">
        <f>(88.34+2079.21-1156.58)*0.02</f>
        <v>20.219400000000004</v>
      </c>
      <c r="V178" s="85">
        <f>(87.885-1012.72+1930.61)*0.02</f>
        <v>20.115499999999997</v>
      </c>
      <c r="W178" s="85">
        <f>(65.01-915.53+1750.43)*0.02</f>
        <v>17.998200000000001</v>
      </c>
      <c r="X178" s="85">
        <f>(65.02+1737.27-859.45)*0.02</f>
        <v>18.8568</v>
      </c>
      <c r="Y178" s="85">
        <f>(73.55+1504.25-586.51)*0.02</f>
        <v>19.825800000000001</v>
      </c>
      <c r="Z178" s="85">
        <f>(73.91+1947.42-1030.76)*0.02</f>
        <v>19.811400000000003</v>
      </c>
      <c r="AA178" s="85">
        <f>(73.91+2206.7-1323.03)*0.02</f>
        <v>19.151599999999995</v>
      </c>
      <c r="AB178" s="85">
        <f>(73.96-1105.4+1899.62)*0.02</f>
        <v>17.363599999999998</v>
      </c>
      <c r="AC178" s="85">
        <f>(1978.13-1031.83)*0.02</f>
        <v>18.926000000000005</v>
      </c>
      <c r="AD178" s="85"/>
    </row>
    <row r="179" spans="1:30">
      <c r="A179" s="82" t="s">
        <v>564</v>
      </c>
      <c r="B179" s="83" t="s">
        <v>600</v>
      </c>
      <c r="C179" s="85">
        <v>0</v>
      </c>
      <c r="D179" s="84" t="s">
        <v>680</v>
      </c>
      <c r="E179" s="84" t="s">
        <v>680</v>
      </c>
      <c r="F179" s="84" t="s">
        <v>680</v>
      </c>
      <c r="G179" s="85">
        <v>0</v>
      </c>
      <c r="H179" s="85">
        <v>0</v>
      </c>
      <c r="I179" s="85">
        <v>0</v>
      </c>
      <c r="J179" s="85">
        <v>0</v>
      </c>
      <c r="K179" s="85">
        <f>195*0.022</f>
        <v>4.29</v>
      </c>
      <c r="L179" s="85">
        <f>174.88*0.022</f>
        <v>3.8473599999999997</v>
      </c>
      <c r="M179" s="85">
        <v>0</v>
      </c>
      <c r="N179" s="84" t="s">
        <v>357</v>
      </c>
      <c r="O179" s="84">
        <f>(398-305.49)*0.022</f>
        <v>2.0352199999999998</v>
      </c>
      <c r="P179" s="84">
        <f>((-392.736--27.668)+365)*0.022</f>
        <v>-1.4959999999996398E-3</v>
      </c>
      <c r="Q179" s="84">
        <v>6.1404199999999998</v>
      </c>
      <c r="R179" s="85">
        <f>(401.01-415.21)*0.022</f>
        <v>-0.31239999999999973</v>
      </c>
      <c r="S179" s="85">
        <f>(232.63-215.84)*0.022</f>
        <v>0.36937999999999982</v>
      </c>
      <c r="T179" s="84">
        <f>((221.26-226.97)*0.022)</f>
        <v>-0.12562000000000018</v>
      </c>
      <c r="U179" s="84">
        <f>(208.62-88.73)*0.022</f>
        <v>2.6375799999999998</v>
      </c>
      <c r="V179" s="84">
        <f>(315.25-219.021)*0.022</f>
        <v>2.117038</v>
      </c>
      <c r="W179" s="84">
        <f>(76.31-122.63)*0.022</f>
        <v>-1.0190399999999997</v>
      </c>
      <c r="X179" s="84">
        <f>(152.02-84.86)*0.022</f>
        <v>1.4775200000000002</v>
      </c>
      <c r="Y179" s="84">
        <f>(112.94-118.65)*0.022</f>
        <v>-0.12562000000000018</v>
      </c>
      <c r="Z179" s="84">
        <f>(58.01-63.33)*0.022</f>
        <v>-0.11704000000000001</v>
      </c>
      <c r="AA179" s="84">
        <f>(163.34-125.63)*0.022</f>
        <v>0.82962000000000014</v>
      </c>
      <c r="AB179" s="84">
        <f>(52.93-76.13)*0.022</f>
        <v>-0.51039999999999985</v>
      </c>
      <c r="AC179" s="84">
        <f>(9.52-41.17)*0.022</f>
        <v>-0.69630000000000003</v>
      </c>
      <c r="AD179" s="84"/>
    </row>
    <row r="180" spans="1:30">
      <c r="A180" s="82" t="s">
        <v>564</v>
      </c>
      <c r="B180" s="87" t="s">
        <v>242</v>
      </c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4" t="s">
        <v>357</v>
      </c>
      <c r="O180" s="84">
        <f>(222-35.46)*0.06</f>
        <v>11.192399999999999</v>
      </c>
      <c r="P180" s="84">
        <v>0</v>
      </c>
      <c r="Q180" s="84">
        <v>0</v>
      </c>
      <c r="R180" s="85">
        <v>0</v>
      </c>
      <c r="S180" s="85">
        <v>0</v>
      </c>
      <c r="T180" s="84">
        <v>0</v>
      </c>
      <c r="U180" s="84">
        <v>0</v>
      </c>
      <c r="V180" s="84">
        <v>0</v>
      </c>
      <c r="W180" s="84">
        <v>0</v>
      </c>
      <c r="X180" s="84">
        <v>0</v>
      </c>
      <c r="Y180" s="84">
        <v>0</v>
      </c>
      <c r="Z180" s="84">
        <v>0</v>
      </c>
      <c r="AA180" s="84">
        <v>0</v>
      </c>
      <c r="AB180" s="84">
        <v>0</v>
      </c>
      <c r="AC180" s="84">
        <v>0</v>
      </c>
      <c r="AD180" s="84"/>
    </row>
    <row r="181" spans="1:30">
      <c r="A181" s="82" t="s">
        <v>564</v>
      </c>
      <c r="B181" s="83" t="s">
        <v>595</v>
      </c>
      <c r="C181" s="85">
        <v>0</v>
      </c>
      <c r="D181" s="84" t="s">
        <v>680</v>
      </c>
      <c r="E181" s="84" t="s">
        <v>680</v>
      </c>
      <c r="F181" s="84" t="s">
        <v>680</v>
      </c>
      <c r="G181" s="85">
        <f>5965*0.11</f>
        <v>656.15</v>
      </c>
      <c r="H181" s="85">
        <f>7763*0.11</f>
        <v>853.93</v>
      </c>
      <c r="I181" s="85">
        <f>10488*0.11</f>
        <v>1153.68</v>
      </c>
      <c r="J181" s="85">
        <f>20490*0.11</f>
        <v>2253.9</v>
      </c>
      <c r="K181" s="85">
        <v>3544.75</v>
      </c>
      <c r="L181" s="85">
        <f>39727.9*0.11</f>
        <v>4370.0690000000004</v>
      </c>
      <c r="M181" s="85">
        <f>(412.326+43506.799-17397.624)*0.11</f>
        <v>2917.3651100000002</v>
      </c>
      <c r="N181" s="85">
        <f>(267.3018+74385.35-28340.78)*0.11</f>
        <v>5094.3058980000005</v>
      </c>
      <c r="O181" s="85">
        <f>(69.5+86837-39238.7)*0.11</f>
        <v>5243.4580000000005</v>
      </c>
      <c r="P181" s="85">
        <f>(31.76-41190.57+81298)*0.11</f>
        <v>4415.3109000000004</v>
      </c>
      <c r="Q181" s="85">
        <v>5535.4805000000006</v>
      </c>
      <c r="R181" s="85">
        <f>(98857.06-42176.27)*0.11</f>
        <v>6234.8869000000004</v>
      </c>
      <c r="S181" s="85">
        <f>(111922.3-43600.15+10.1)*0.11</f>
        <v>7516.5474999999997</v>
      </c>
      <c r="T181" s="85">
        <f>((117131.32-53267.38)*0.11)</f>
        <v>7025.0334000000012</v>
      </c>
      <c r="U181" s="85">
        <f>(87123.91-36113.58)*0.11</f>
        <v>5611.1363000000001</v>
      </c>
      <c r="V181" s="85">
        <f>(86911.31-35063.532)*0.11</f>
        <v>5703.25558</v>
      </c>
      <c r="W181" s="85">
        <f>(65876.85-27292.5)*0.11</f>
        <v>4244.2785000000003</v>
      </c>
      <c r="X181" s="85">
        <f>(66165.38-27021.23)*0.11</f>
        <v>4305.8565000000008</v>
      </c>
      <c r="Y181" s="85">
        <f>(64334.49-24295.73)*0.11</f>
        <v>4404.2635999999993</v>
      </c>
      <c r="Z181" s="85">
        <f>(57464.81-19408.07)*0.11</f>
        <v>4186.2413999999999</v>
      </c>
      <c r="AA181" s="85">
        <f>(55468.72-17020.2)*0.11</f>
        <v>4229.3372000000008</v>
      </c>
      <c r="AB181" s="85">
        <f>(42030.06-13053.65)*0.11</f>
        <v>3187.4050999999995</v>
      </c>
      <c r="AC181" s="85">
        <f>(32228.59-6953.09)*0.11</f>
        <v>2780.3049999999998</v>
      </c>
      <c r="AD181" s="85"/>
    </row>
    <row r="182" spans="1:30">
      <c r="A182" s="82" t="s">
        <v>564</v>
      </c>
      <c r="B182" s="87" t="s">
        <v>244</v>
      </c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4" t="s">
        <v>357</v>
      </c>
      <c r="O182" s="84">
        <f>(-69.5)*0.07</f>
        <v>-4.8650000000000002</v>
      </c>
      <c r="P182" s="84">
        <v>0</v>
      </c>
      <c r="Q182" s="84">
        <v>0</v>
      </c>
      <c r="R182" s="85">
        <v>0</v>
      </c>
      <c r="S182" s="85">
        <v>0</v>
      </c>
      <c r="T182" s="84">
        <v>0</v>
      </c>
      <c r="U182" s="84">
        <v>0</v>
      </c>
      <c r="V182" s="84">
        <v>0</v>
      </c>
      <c r="W182" s="84">
        <v>0</v>
      </c>
      <c r="X182" s="84">
        <v>0</v>
      </c>
      <c r="Y182" s="84">
        <v>0</v>
      </c>
      <c r="Z182" s="84">
        <v>0</v>
      </c>
      <c r="AA182" s="84">
        <v>0</v>
      </c>
      <c r="AB182" s="84">
        <v>0</v>
      </c>
      <c r="AC182" s="84">
        <v>0</v>
      </c>
      <c r="AD182" s="84"/>
    </row>
    <row r="183" spans="1:30">
      <c r="A183" s="82" t="s">
        <v>564</v>
      </c>
      <c r="B183" s="83" t="s">
        <v>596</v>
      </c>
      <c r="C183" s="85">
        <v>0</v>
      </c>
      <c r="D183" s="84" t="s">
        <v>680</v>
      </c>
      <c r="E183" s="84" t="s">
        <v>680</v>
      </c>
      <c r="F183" s="84" t="s">
        <v>680</v>
      </c>
      <c r="G183" s="85">
        <v>0</v>
      </c>
      <c r="H183" s="85">
        <v>0</v>
      </c>
      <c r="I183" s="85">
        <v>0</v>
      </c>
      <c r="J183" s="85">
        <v>0</v>
      </c>
      <c r="K183" s="85">
        <v>233.09</v>
      </c>
      <c r="L183" s="85">
        <f>3386.71*0.065</f>
        <v>220.13615000000001</v>
      </c>
      <c r="M183" s="85">
        <f>(59.97+5633.124-785.959)*0.065</f>
        <v>318.963775</v>
      </c>
      <c r="N183" s="85">
        <f>(2+21844.27-2382.06)*0.065</f>
        <v>1265.17365</v>
      </c>
      <c r="O183" s="85">
        <f>(10.22+22994-4492.19)*0.065</f>
        <v>1203.2819500000003</v>
      </c>
      <c r="P183" s="85">
        <f>(-5861.59+22724)*0.065</f>
        <v>1096.05665</v>
      </c>
      <c r="Q183" s="85">
        <v>1417.70135</v>
      </c>
      <c r="R183" s="85">
        <f>(30449.2-7012.82)*0.065</f>
        <v>1523.3647000000001</v>
      </c>
      <c r="S183" s="85">
        <f>(27073.76-4832.44)*0.065</f>
        <v>1445.6858</v>
      </c>
      <c r="T183" s="85">
        <f>((22159.25-6884.97)*0.065)</f>
        <v>992.82819999999992</v>
      </c>
      <c r="U183" s="85">
        <f>(16954.46-4099.42)*0.065</f>
        <v>835.57759999999996</v>
      </c>
      <c r="V183" s="84">
        <f>(16566.05-6647.639)*0.065</f>
        <v>644.69671500000004</v>
      </c>
      <c r="W183" s="84">
        <f>(18835.6-7219.18)*0.065</f>
        <v>755.06729999999993</v>
      </c>
      <c r="X183" s="84">
        <f>(17085.31-7613.87)*0.065</f>
        <v>615.64360000000022</v>
      </c>
      <c r="Y183" s="84">
        <f>(17161.96-6909.53)*0.065</f>
        <v>666.40795000000003</v>
      </c>
      <c r="Z183" s="84">
        <f>(11634.85-6267.88)*0.065</f>
        <v>348.85305000000005</v>
      </c>
      <c r="AA183" s="84">
        <f>(12553.85-6054.3)*0.065</f>
        <v>422.47075000000001</v>
      </c>
      <c r="AB183" s="84">
        <f>(6435.29-4285.93)*0.065</f>
        <v>139.70839999999998</v>
      </c>
      <c r="AC183" s="84">
        <f>(7226.54-2649.94)*0.065</f>
        <v>297.47900000000004</v>
      </c>
      <c r="AD183" s="84"/>
    </row>
    <row r="184" spans="1:30">
      <c r="A184" s="82" t="s">
        <v>564</v>
      </c>
      <c r="B184" s="83" t="s">
        <v>594</v>
      </c>
      <c r="C184" s="85">
        <f>(18000-133)*0.055</f>
        <v>982.68500000000006</v>
      </c>
      <c r="D184" s="84" t="s">
        <v>680</v>
      </c>
      <c r="E184" s="84" t="s">
        <v>680</v>
      </c>
      <c r="F184" s="84" t="s">
        <v>680</v>
      </c>
      <c r="G184" s="85">
        <f>68154*0.055</f>
        <v>3748.47</v>
      </c>
      <c r="H184" s="85">
        <f>(2828-15126+80262)*0.055</f>
        <v>3738.02</v>
      </c>
      <c r="I184" s="85">
        <f>(1917-34726+106671)*0.055</f>
        <v>4062.41</v>
      </c>
      <c r="J184" s="85">
        <f>150337*0.055</f>
        <v>8268.5349999999999</v>
      </c>
      <c r="K184" s="85">
        <v>3470.9906000000005</v>
      </c>
      <c r="L184" s="85">
        <f>(1621.145+189020.19-92958.253)*0.055</f>
        <v>5372.5695099999994</v>
      </c>
      <c r="M184" s="85">
        <f>(943.823+233270.029-90155.215)*0.055</f>
        <v>7923.2250350000013</v>
      </c>
      <c r="N184" s="85">
        <f>(582.1996+263805.474-90645.476)*0.055</f>
        <v>9555.8208679999989</v>
      </c>
      <c r="O184" s="85">
        <f>(119.3+297677-105569.66)*0.055</f>
        <v>10572.465199999999</v>
      </c>
      <c r="P184" s="85">
        <f>(14.99-(113363.418-23414)+287159)*0.055</f>
        <v>10847.35146</v>
      </c>
      <c r="Q184" s="85">
        <v>11030.768375</v>
      </c>
      <c r="R184" s="85">
        <f>(311356.78+132.23-94037.07)*0.055</f>
        <v>11959.8567</v>
      </c>
      <c r="S184" s="85">
        <f>(326691.83-112882.85)*0.055</f>
        <v>11759.493900000001</v>
      </c>
      <c r="T184" s="93">
        <f>((26.06+364550.21-127113.63)*0.055)</f>
        <v>13060.4452</v>
      </c>
      <c r="U184" s="93">
        <f>(7.21+288493.07-93490.99)*0.055</f>
        <v>10725.510950000002</v>
      </c>
      <c r="V184" s="93">
        <f>(7.905-109635.6+299950.13)*0.055</f>
        <v>10467.733925</v>
      </c>
      <c r="W184" s="93">
        <f>(243474.14-89501.37)*0.055</f>
        <v>8468.5023500000007</v>
      </c>
      <c r="X184" s="93">
        <f>(256123.01-87426.62)*0.055</f>
        <v>9278.3014500000008</v>
      </c>
      <c r="Y184" s="93">
        <f>(244479.2-71496.55)*0.055</f>
        <v>9514.0457500000011</v>
      </c>
      <c r="Z184" s="93">
        <f>(247938.28-69276.47)*0.055</f>
        <v>9826.3995500000001</v>
      </c>
      <c r="AA184" s="93">
        <f>(247244.85-73583.3)*0.055</f>
        <v>9551.3852499999994</v>
      </c>
      <c r="AB184" s="93">
        <f>(200766.82-67316.5)*0.055</f>
        <v>7339.7676000000001</v>
      </c>
      <c r="AC184" s="93">
        <f>(182073.24-54352.69)*0.055</f>
        <v>7024.6302499999993</v>
      </c>
      <c r="AD184" s="93"/>
    </row>
    <row r="185" spans="1:30">
      <c r="A185" s="82" t="s">
        <v>564</v>
      </c>
      <c r="B185" s="87" t="s">
        <v>643</v>
      </c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>
        <v>0</v>
      </c>
      <c r="O185" s="85">
        <v>0</v>
      </c>
      <c r="P185" s="85">
        <v>0</v>
      </c>
      <c r="Q185" s="85">
        <v>0</v>
      </c>
      <c r="R185" s="85">
        <v>0</v>
      </c>
      <c r="S185" s="85">
        <v>0</v>
      </c>
      <c r="T185" s="85">
        <v>0</v>
      </c>
      <c r="U185" s="85">
        <v>0</v>
      </c>
      <c r="V185" s="85">
        <v>0</v>
      </c>
      <c r="W185" s="85">
        <v>0</v>
      </c>
      <c r="X185" s="85">
        <v>0</v>
      </c>
      <c r="Y185" s="85">
        <v>0</v>
      </c>
      <c r="Z185" s="85">
        <v>0</v>
      </c>
      <c r="AA185" s="85">
        <v>0</v>
      </c>
      <c r="AB185" s="85">
        <v>0</v>
      </c>
      <c r="AC185" s="85">
        <v>0</v>
      </c>
      <c r="AD185" s="85"/>
    </row>
    <row r="186" spans="1:30">
      <c r="A186" s="82" t="s">
        <v>564</v>
      </c>
      <c r="B186" s="87" t="s">
        <v>405</v>
      </c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4" t="s">
        <v>357</v>
      </c>
      <c r="O186" s="84">
        <f>59.1*0.025</f>
        <v>1.4775</v>
      </c>
      <c r="P186" s="84">
        <f>69.07*0.025</f>
        <v>1.72675</v>
      </c>
      <c r="Q186" s="84">
        <v>1.04525</v>
      </c>
      <c r="R186" s="85">
        <f>55.8*0.025</f>
        <v>1.395</v>
      </c>
      <c r="S186" s="85">
        <f>59.53*0.025</f>
        <v>1.4882500000000001</v>
      </c>
      <c r="T186" s="84">
        <f>(16.22*0.025)</f>
        <v>0.40549999999999997</v>
      </c>
      <c r="U186" s="84">
        <f>28.73*0.025</f>
        <v>0.71825000000000006</v>
      </c>
      <c r="V186" s="84">
        <f>33.225*0.025</f>
        <v>0.83062500000000006</v>
      </c>
      <c r="W186" s="84">
        <v>0</v>
      </c>
      <c r="X186" s="84">
        <f>37.98*0.025</f>
        <v>0.94950000000000001</v>
      </c>
      <c r="Y186" s="84">
        <f>38.38*0.025</f>
        <v>0.95950000000000013</v>
      </c>
      <c r="Z186" s="84">
        <f>17.15*0.025</f>
        <v>0.42874999999999996</v>
      </c>
      <c r="AA186" s="84">
        <f>0.26*0.025</f>
        <v>6.5000000000000006E-3</v>
      </c>
      <c r="AB186" s="84">
        <v>0</v>
      </c>
      <c r="AC186" s="84">
        <v>0</v>
      </c>
      <c r="AD186" s="84"/>
    </row>
    <row r="187" spans="1:30">
      <c r="A187" s="82" t="s">
        <v>564</v>
      </c>
      <c r="B187" s="87" t="s">
        <v>406</v>
      </c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4" t="s">
        <v>357</v>
      </c>
      <c r="O187" s="84">
        <f>57.6*0.033</f>
        <v>1.9008</v>
      </c>
      <c r="P187" s="84">
        <f>6.05*0.033</f>
        <v>0.19964999999999999</v>
      </c>
      <c r="Q187" s="84">
        <v>3.3000000000000004E-3</v>
      </c>
      <c r="R187" s="85">
        <v>0</v>
      </c>
      <c r="S187" s="85">
        <f>0.04*0.033</f>
        <v>1.32E-3</v>
      </c>
      <c r="T187" s="84">
        <f>(19.83*0.033)</f>
        <v>0.65439000000000003</v>
      </c>
      <c r="U187" s="84">
        <v>0</v>
      </c>
      <c r="V187" s="84">
        <v>0</v>
      </c>
      <c r="W187" s="84">
        <f>15.4*0.033</f>
        <v>0.50819999999999999</v>
      </c>
      <c r="X187" s="84">
        <v>0</v>
      </c>
      <c r="Y187" s="84">
        <v>0</v>
      </c>
      <c r="Z187" s="84">
        <f>20.97*0.033</f>
        <v>0.69201000000000001</v>
      </c>
      <c r="AA187" s="84">
        <f>0.31*0.033</f>
        <v>1.0230000000000001E-2</v>
      </c>
      <c r="AB187" s="84">
        <v>0</v>
      </c>
      <c r="AC187" s="84">
        <v>0</v>
      </c>
      <c r="AD187" s="84"/>
    </row>
    <row r="188" spans="1:30">
      <c r="A188" s="82" t="s">
        <v>755</v>
      </c>
      <c r="B188" s="83" t="s">
        <v>597</v>
      </c>
      <c r="C188" s="85">
        <v>0</v>
      </c>
      <c r="D188" s="85">
        <v>0</v>
      </c>
      <c r="E188" s="85">
        <v>0</v>
      </c>
      <c r="F188" s="85">
        <v>0</v>
      </c>
      <c r="G188" s="85">
        <v>0</v>
      </c>
      <c r="H188" s="85">
        <v>0</v>
      </c>
      <c r="I188" s="85">
        <v>0</v>
      </c>
      <c r="J188" s="85">
        <f>27.3*0.02</f>
        <v>0.54600000000000004</v>
      </c>
      <c r="K188" s="85">
        <v>0</v>
      </c>
      <c r="L188" s="85">
        <f>(21.6-0.4)*0.02</f>
        <v>0.42400000000000004</v>
      </c>
      <c r="M188" s="85">
        <f>63.93*0.02</f>
        <v>1.2786</v>
      </c>
      <c r="N188" s="85">
        <v>1.5580000000000001</v>
      </c>
      <c r="O188" s="85">
        <f>77.4*0.02</f>
        <v>1.548</v>
      </c>
      <c r="P188" s="85">
        <f>73.69*0.02</f>
        <v>1.4738</v>
      </c>
      <c r="Q188" s="85">
        <f>106.39*0.02</f>
        <v>2.1278000000000001</v>
      </c>
      <c r="R188" s="85">
        <f>114.4*0.02</f>
        <v>2.2880000000000003</v>
      </c>
      <c r="S188" s="85">
        <f>88.93*0.02</f>
        <v>1.7786000000000002</v>
      </c>
      <c r="T188" s="85">
        <f>117.41*0.02</f>
        <v>2.3481999999999998</v>
      </c>
      <c r="U188" s="85">
        <f>104.3*0.02</f>
        <v>2.0859999999999999</v>
      </c>
      <c r="V188" s="85">
        <f>103.58*0.02</f>
        <v>2.0716000000000001</v>
      </c>
      <c r="W188" s="85">
        <f>93.907*0.02</f>
        <v>1.8781399999999999</v>
      </c>
      <c r="X188" s="85">
        <f>78.81*0.02</f>
        <v>1.5762</v>
      </c>
      <c r="Y188" s="85">
        <f>8.31*0.02</f>
        <v>0.16620000000000001</v>
      </c>
      <c r="Z188" s="85">
        <f>32.5*0.02</f>
        <v>0.65</v>
      </c>
      <c r="AA188" s="85">
        <f>10.5*0.02</f>
        <v>0.21</v>
      </c>
      <c r="AB188" s="85">
        <f>14.5878*0.02</f>
        <v>0.29175600000000002</v>
      </c>
      <c r="AC188" s="85">
        <f>2.5*0.02</f>
        <v>0.05</v>
      </c>
      <c r="AD188" s="85"/>
    </row>
    <row r="189" spans="1:30">
      <c r="A189" s="82" t="s">
        <v>755</v>
      </c>
      <c r="B189" s="83" t="s">
        <v>600</v>
      </c>
      <c r="C189" s="85">
        <v>0</v>
      </c>
      <c r="D189" s="85">
        <v>0</v>
      </c>
      <c r="E189" s="85">
        <v>0</v>
      </c>
      <c r="F189" s="85">
        <v>0</v>
      </c>
      <c r="G189" s="85">
        <v>0</v>
      </c>
      <c r="H189" s="85">
        <v>0</v>
      </c>
      <c r="I189" s="85">
        <v>0</v>
      </c>
      <c r="J189" s="85">
        <v>0</v>
      </c>
      <c r="K189" s="85">
        <f>16.2*0.022</f>
        <v>0.35639999999999994</v>
      </c>
      <c r="L189" s="85">
        <v>0</v>
      </c>
      <c r="M189" s="85">
        <v>0</v>
      </c>
      <c r="N189" s="85">
        <v>0</v>
      </c>
      <c r="O189" s="85">
        <f>2.33*0.022</f>
        <v>5.126E-2</v>
      </c>
      <c r="P189" s="85">
        <f>0.14*0.022</f>
        <v>3.0800000000000003E-3</v>
      </c>
      <c r="Q189" s="85">
        <f>2.88*0.022</f>
        <v>6.336E-2</v>
      </c>
      <c r="R189" s="85">
        <f>0.68*0.022</f>
        <v>1.4959999999999999E-2</v>
      </c>
      <c r="S189" s="85">
        <f>1.19*0.022</f>
        <v>2.6179999999999998E-2</v>
      </c>
      <c r="T189" s="85">
        <f>0.89*0.022</f>
        <v>1.958E-2</v>
      </c>
      <c r="U189" s="85">
        <f>1.34*0.022</f>
        <v>2.9479999999999999E-2</v>
      </c>
      <c r="V189" s="85">
        <f>0.7*0.022</f>
        <v>1.5399999999999999E-2</v>
      </c>
      <c r="W189" s="85">
        <f>0.4*0.022</f>
        <v>8.8000000000000005E-3</v>
      </c>
      <c r="X189" s="85">
        <v>0</v>
      </c>
      <c r="Y189" s="85">
        <v>0</v>
      </c>
      <c r="Z189" s="85">
        <v>0</v>
      </c>
      <c r="AA189" s="85">
        <v>0</v>
      </c>
      <c r="AB189" s="85">
        <v>0</v>
      </c>
      <c r="AC189" s="85">
        <v>0</v>
      </c>
      <c r="AD189" s="85"/>
    </row>
    <row r="190" spans="1:30">
      <c r="A190" s="82" t="s">
        <v>755</v>
      </c>
      <c r="B190" s="83" t="s">
        <v>595</v>
      </c>
      <c r="C190" s="85">
        <v>0</v>
      </c>
      <c r="D190" s="85">
        <v>0</v>
      </c>
      <c r="E190" s="85">
        <v>0</v>
      </c>
      <c r="F190" s="85">
        <v>0</v>
      </c>
      <c r="G190" s="85">
        <v>0</v>
      </c>
      <c r="H190" s="85">
        <v>0</v>
      </c>
      <c r="I190" s="85">
        <f>636.72*0.11</f>
        <v>70.039200000000008</v>
      </c>
      <c r="J190" s="85">
        <f>492.49*0.11</f>
        <v>54.173900000000003</v>
      </c>
      <c r="K190" s="85">
        <f>508.17*0.11</f>
        <v>55.898700000000005</v>
      </c>
      <c r="L190" s="85">
        <f>(598.75-5.59)*0.11</f>
        <v>65.247599999999991</v>
      </c>
      <c r="M190" s="85">
        <f>(856.87-0.1)*0.11</f>
        <v>94.244699999999995</v>
      </c>
      <c r="N190" s="85">
        <v>95.922200000000004</v>
      </c>
      <c r="O190" s="85">
        <f>1431.58*0.11</f>
        <v>157.47379999999998</v>
      </c>
      <c r="P190" s="85">
        <f>(1260.5-10.14)*0.11</f>
        <v>137.53959999999998</v>
      </c>
      <c r="Q190" s="85">
        <f>(1203.73-0.25)*0.11</f>
        <v>132.3828</v>
      </c>
      <c r="R190" s="85">
        <f>(1556.55-1.11)*0.11</f>
        <v>171.0984</v>
      </c>
      <c r="S190" s="85">
        <f>(1530.63-0.8)*0.11</f>
        <v>168.28130000000002</v>
      </c>
      <c r="T190" s="85">
        <f>(1771.74-0.11)*0.11</f>
        <v>194.8793</v>
      </c>
      <c r="U190" s="85">
        <f>1045.95*0.11</f>
        <v>115.0545</v>
      </c>
      <c r="V190" s="85">
        <f>784.22*0.11</f>
        <v>86.264200000000002</v>
      </c>
      <c r="W190" s="85">
        <f>938.406*0.11</f>
        <v>103.22466</v>
      </c>
      <c r="X190" s="85">
        <f>753.64*0.11</f>
        <v>82.900400000000005</v>
      </c>
      <c r="Y190" s="85">
        <f>944.75*0.11</f>
        <v>103.9225</v>
      </c>
      <c r="Z190" s="85">
        <f>319.91*0.11</f>
        <v>35.190100000000001</v>
      </c>
      <c r="AA190" s="85">
        <f>345.27*0.11</f>
        <v>37.979700000000001</v>
      </c>
      <c r="AB190" s="85">
        <f>376.1264*0.11</f>
        <v>41.373903999999996</v>
      </c>
      <c r="AC190" s="85">
        <v>0</v>
      </c>
      <c r="AD190" s="85"/>
    </row>
    <row r="191" spans="1:30">
      <c r="A191" s="82" t="s">
        <v>755</v>
      </c>
      <c r="B191" s="83" t="s">
        <v>700</v>
      </c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>
        <f>28.22*0.11</f>
        <v>3.1042000000000001</v>
      </c>
      <c r="T191" s="85">
        <v>0</v>
      </c>
      <c r="U191" s="85">
        <f>8.27*0.11</f>
        <v>0.90969999999999995</v>
      </c>
      <c r="V191" s="85">
        <f>0.03*0.11</f>
        <v>3.3E-3</v>
      </c>
      <c r="W191" s="85">
        <f>6.3*0.11</f>
        <v>0.69299999999999995</v>
      </c>
      <c r="X191" s="85">
        <f>7.94*0.11</f>
        <v>0.87340000000000007</v>
      </c>
      <c r="Y191" s="85">
        <f>7.75*0.11</f>
        <v>0.85250000000000004</v>
      </c>
      <c r="Z191" s="85">
        <f>12.37*0.11</f>
        <v>1.3607</v>
      </c>
      <c r="AA191" s="85">
        <f>3.36*0.11</f>
        <v>0.36959999999999998</v>
      </c>
      <c r="AB191" s="85">
        <f>0.79*0.11</f>
        <v>8.6900000000000005E-2</v>
      </c>
      <c r="AC191" s="85">
        <v>0</v>
      </c>
      <c r="AD191" s="85"/>
    </row>
    <row r="192" spans="1:30">
      <c r="A192" s="82" t="s">
        <v>755</v>
      </c>
      <c r="B192" s="83" t="s">
        <v>596</v>
      </c>
      <c r="C192" s="85">
        <v>0</v>
      </c>
      <c r="D192" s="85">
        <v>0</v>
      </c>
      <c r="E192" s="85">
        <v>0</v>
      </c>
      <c r="F192" s="85">
        <v>0</v>
      </c>
      <c r="G192" s="85">
        <v>0</v>
      </c>
      <c r="H192" s="85">
        <v>0</v>
      </c>
      <c r="I192" s="85">
        <v>0</v>
      </c>
      <c r="J192" s="85">
        <v>0</v>
      </c>
      <c r="K192" s="85">
        <f>16.2*0.065</f>
        <v>1.0529999999999999</v>
      </c>
      <c r="L192" s="85">
        <f>119.17*0.065</f>
        <v>7.7460500000000003</v>
      </c>
      <c r="M192" s="85">
        <v>0</v>
      </c>
      <c r="N192" s="85">
        <v>0</v>
      </c>
      <c r="O192" s="85">
        <f>1.01*0.065</f>
        <v>6.565E-2</v>
      </c>
      <c r="P192" s="85">
        <f>0.86*0.065</f>
        <v>5.5899999999999998E-2</v>
      </c>
      <c r="Q192" s="85">
        <f>5.39*0.065</f>
        <v>0.35034999999999999</v>
      </c>
      <c r="R192" s="85">
        <f>9.61*0.065</f>
        <v>0.62465000000000004</v>
      </c>
      <c r="S192" s="85">
        <f>14.52*0.065</f>
        <v>0.94379999999999997</v>
      </c>
      <c r="T192" s="85">
        <f>18.93*0.065</f>
        <v>1.23045</v>
      </c>
      <c r="U192" s="85">
        <f>9.77*0.065</f>
        <v>0.63505</v>
      </c>
      <c r="V192" s="85">
        <f>4.35*0.065</f>
        <v>0.28275</v>
      </c>
      <c r="W192" s="85">
        <f>0.1*0.065</f>
        <v>6.5000000000000006E-3</v>
      </c>
      <c r="X192" s="85">
        <v>0</v>
      </c>
      <c r="Y192" s="85">
        <f>1.25*0.065</f>
        <v>8.1250000000000003E-2</v>
      </c>
      <c r="Z192" s="85">
        <v>0</v>
      </c>
      <c r="AA192" s="85">
        <v>0</v>
      </c>
      <c r="AB192" s="85">
        <v>0</v>
      </c>
      <c r="AC192" s="85">
        <v>0</v>
      </c>
      <c r="AD192" s="85"/>
    </row>
    <row r="193" spans="1:30">
      <c r="A193" s="82" t="s">
        <v>755</v>
      </c>
      <c r="B193" s="83" t="s">
        <v>594</v>
      </c>
      <c r="C193" s="85">
        <v>0</v>
      </c>
      <c r="D193" s="85">
        <v>0</v>
      </c>
      <c r="E193" s="85">
        <v>0</v>
      </c>
      <c r="F193" s="85">
        <v>0</v>
      </c>
      <c r="G193" s="85">
        <v>0</v>
      </c>
      <c r="H193" s="85">
        <v>0</v>
      </c>
      <c r="I193" s="85">
        <f>502.63*0.055</f>
        <v>27.644649999999999</v>
      </c>
      <c r="J193" s="85">
        <f>640.3*0.055</f>
        <v>35.216499999999996</v>
      </c>
      <c r="K193" s="85">
        <v>47.754300000000001</v>
      </c>
      <c r="L193" s="85">
        <f>914.86*0.055</f>
        <v>50.317300000000003</v>
      </c>
      <c r="M193" s="85">
        <f>(1029.44-1.16)*0.055</f>
        <v>56.555399999999999</v>
      </c>
      <c r="N193" s="85">
        <v>63.106449999999995</v>
      </c>
      <c r="O193" s="85">
        <f>(855.46-0.3)*0.055</f>
        <v>47.033800000000006</v>
      </c>
      <c r="P193" s="85">
        <f>1221.2*0.055</f>
        <v>67.165999999999997</v>
      </c>
      <c r="Q193" s="85">
        <f>1358.99*0.055</f>
        <v>74.744450000000001</v>
      </c>
      <c r="R193" s="85">
        <f>(1238.46-12.27)*0.055</f>
        <v>67.440449999999998</v>
      </c>
      <c r="S193" s="85">
        <f>(894.13-51.05)*0.055</f>
        <v>46.369400000000006</v>
      </c>
      <c r="T193" s="85">
        <f>(1594.56-12.28)*0.055</f>
        <v>87.025400000000005</v>
      </c>
      <c r="U193" s="85">
        <f>(1053.4-0.0028)*0.055</f>
        <v>57.93684600000001</v>
      </c>
      <c r="V193" s="85">
        <f>1226.16*0.055</f>
        <v>67.438800000000001</v>
      </c>
      <c r="W193" s="85">
        <f>1081.536*0.055</f>
        <v>59.484480000000005</v>
      </c>
      <c r="X193" s="85">
        <f>947.44*0.055</f>
        <v>52.109200000000001</v>
      </c>
      <c r="Y193" s="85">
        <f>806.21*0.055</f>
        <v>44.341550000000005</v>
      </c>
      <c r="Z193" s="85">
        <f>769.29*0.055</f>
        <v>42.310949999999998</v>
      </c>
      <c r="AA193" s="85">
        <f>765.23*0.055</f>
        <v>42.087650000000004</v>
      </c>
      <c r="AB193" s="85">
        <f>391.66*0.055</f>
        <v>21.541300000000003</v>
      </c>
      <c r="AC193" s="85">
        <f>460.71*0.055</f>
        <v>25.33905</v>
      </c>
      <c r="AD193" s="85"/>
    </row>
    <row r="194" spans="1:30">
      <c r="A194" s="82" t="s">
        <v>755</v>
      </c>
      <c r="B194" s="87" t="s">
        <v>643</v>
      </c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>
        <v>0</v>
      </c>
      <c r="O194" s="85">
        <v>0</v>
      </c>
      <c r="P194" s="85">
        <v>0</v>
      </c>
      <c r="Q194" s="85">
        <v>0</v>
      </c>
      <c r="R194" s="85">
        <v>0</v>
      </c>
      <c r="S194" s="85">
        <v>0</v>
      </c>
      <c r="T194" s="85">
        <v>0</v>
      </c>
      <c r="U194" s="85">
        <v>0</v>
      </c>
      <c r="V194" s="85">
        <v>0</v>
      </c>
      <c r="W194" s="85">
        <v>0</v>
      </c>
      <c r="X194" s="85">
        <v>0</v>
      </c>
      <c r="Y194" s="85">
        <v>0</v>
      </c>
      <c r="Z194" s="85">
        <v>0</v>
      </c>
      <c r="AA194" s="85">
        <v>0</v>
      </c>
      <c r="AB194" s="85">
        <v>0</v>
      </c>
      <c r="AC194" s="85">
        <v>0</v>
      </c>
      <c r="AD194" s="85"/>
    </row>
    <row r="195" spans="1:30">
      <c r="A195" s="82" t="s">
        <v>754</v>
      </c>
      <c r="B195" s="83" t="s">
        <v>597</v>
      </c>
      <c r="C195" s="84" t="s">
        <v>680</v>
      </c>
      <c r="D195" s="84" t="s">
        <v>680</v>
      </c>
      <c r="E195" s="85">
        <v>0</v>
      </c>
      <c r="F195" s="85">
        <v>0</v>
      </c>
      <c r="G195" s="85">
        <v>0</v>
      </c>
      <c r="H195" s="84" t="s">
        <v>680</v>
      </c>
      <c r="I195" s="84" t="s">
        <v>680</v>
      </c>
      <c r="J195" s="84" t="s">
        <v>680</v>
      </c>
      <c r="K195" s="85">
        <v>0</v>
      </c>
      <c r="L195" s="85"/>
      <c r="M195" s="85">
        <v>0</v>
      </c>
      <c r="N195" s="85"/>
      <c r="O195" s="85">
        <v>0</v>
      </c>
      <c r="P195" s="85">
        <v>0</v>
      </c>
      <c r="Q195" s="85">
        <v>0</v>
      </c>
      <c r="R195" s="85">
        <v>0</v>
      </c>
      <c r="S195" s="85">
        <v>0</v>
      </c>
      <c r="T195" s="85">
        <v>0</v>
      </c>
      <c r="U195" s="85">
        <v>0</v>
      </c>
      <c r="V195" s="85">
        <v>0</v>
      </c>
      <c r="W195" s="85">
        <v>0</v>
      </c>
      <c r="X195" s="85">
        <v>0</v>
      </c>
      <c r="Y195" s="85">
        <v>0</v>
      </c>
      <c r="Z195" s="85">
        <v>0</v>
      </c>
      <c r="AA195" s="85">
        <v>0</v>
      </c>
      <c r="AB195" s="85">
        <v>0</v>
      </c>
      <c r="AC195" s="85">
        <v>0</v>
      </c>
      <c r="AD195" s="85"/>
    </row>
    <row r="196" spans="1:30">
      <c r="A196" s="82" t="s">
        <v>754</v>
      </c>
      <c r="B196" s="83" t="s">
        <v>600</v>
      </c>
      <c r="C196" s="84" t="s">
        <v>680</v>
      </c>
      <c r="D196" s="84" t="s">
        <v>680</v>
      </c>
      <c r="E196" s="85">
        <v>0</v>
      </c>
      <c r="F196" s="85">
        <v>0</v>
      </c>
      <c r="G196" s="85">
        <v>0</v>
      </c>
      <c r="H196" s="84" t="s">
        <v>680</v>
      </c>
      <c r="I196" s="84" t="s">
        <v>680</v>
      </c>
      <c r="J196" s="84" t="s">
        <v>680</v>
      </c>
      <c r="K196" s="85">
        <v>0</v>
      </c>
      <c r="L196" s="85"/>
      <c r="M196" s="85">
        <v>0</v>
      </c>
      <c r="N196" s="85"/>
      <c r="O196" s="85">
        <v>0</v>
      </c>
      <c r="P196" s="85">
        <v>0</v>
      </c>
      <c r="Q196" s="85">
        <v>0</v>
      </c>
      <c r="R196" s="85">
        <v>0</v>
      </c>
      <c r="S196" s="85">
        <v>0</v>
      </c>
      <c r="T196" s="85">
        <v>0</v>
      </c>
      <c r="U196" s="85">
        <v>0</v>
      </c>
      <c r="V196" s="85">
        <v>0</v>
      </c>
      <c r="W196" s="85">
        <v>0</v>
      </c>
      <c r="X196" s="85">
        <v>0</v>
      </c>
      <c r="Y196" s="85">
        <v>0</v>
      </c>
      <c r="Z196" s="85">
        <v>0</v>
      </c>
      <c r="AA196" s="85">
        <v>0</v>
      </c>
      <c r="AB196" s="85">
        <v>0</v>
      </c>
      <c r="AC196" s="85">
        <v>0</v>
      </c>
      <c r="AD196" s="85"/>
    </row>
    <row r="197" spans="1:30">
      <c r="A197" s="82" t="s">
        <v>754</v>
      </c>
      <c r="B197" s="83" t="s">
        <v>595</v>
      </c>
      <c r="C197" s="84" t="s">
        <v>680</v>
      </c>
      <c r="D197" s="84" t="s">
        <v>680</v>
      </c>
      <c r="E197" s="85">
        <v>0</v>
      </c>
      <c r="F197" s="85">
        <v>0</v>
      </c>
      <c r="G197" s="85">
        <v>0</v>
      </c>
      <c r="H197" s="84" t="s">
        <v>680</v>
      </c>
      <c r="I197" s="84" t="s">
        <v>680</v>
      </c>
      <c r="J197" s="84" t="s">
        <v>680</v>
      </c>
      <c r="K197" s="85">
        <v>0</v>
      </c>
      <c r="L197" s="85"/>
      <c r="M197" s="85">
        <v>0</v>
      </c>
      <c r="N197" s="85"/>
      <c r="O197" s="85">
        <v>0</v>
      </c>
      <c r="P197" s="85">
        <v>0</v>
      </c>
      <c r="Q197" s="85">
        <v>0</v>
      </c>
      <c r="R197" s="85">
        <v>0</v>
      </c>
      <c r="S197" s="85">
        <v>0</v>
      </c>
      <c r="T197" s="85">
        <v>0</v>
      </c>
      <c r="U197" s="85">
        <v>0</v>
      </c>
      <c r="V197" s="85">
        <v>0</v>
      </c>
      <c r="W197" s="85">
        <v>0</v>
      </c>
      <c r="X197" s="85">
        <v>0</v>
      </c>
      <c r="Y197" s="85">
        <v>0</v>
      </c>
      <c r="Z197" s="85">
        <v>0</v>
      </c>
      <c r="AA197" s="85">
        <v>0</v>
      </c>
      <c r="AB197" s="85">
        <v>0</v>
      </c>
      <c r="AC197" s="85">
        <v>0</v>
      </c>
      <c r="AD197" s="85"/>
    </row>
    <row r="198" spans="1:30">
      <c r="A198" s="82" t="s">
        <v>754</v>
      </c>
      <c r="B198" s="83" t="s">
        <v>596</v>
      </c>
      <c r="C198" s="84" t="s">
        <v>680</v>
      </c>
      <c r="D198" s="84" t="s">
        <v>680</v>
      </c>
      <c r="E198" s="85">
        <v>0</v>
      </c>
      <c r="F198" s="85">
        <v>0</v>
      </c>
      <c r="G198" s="85">
        <v>0</v>
      </c>
      <c r="H198" s="84" t="s">
        <v>680</v>
      </c>
      <c r="I198" s="84" t="s">
        <v>680</v>
      </c>
      <c r="J198" s="84" t="s">
        <v>680</v>
      </c>
      <c r="K198" s="85">
        <v>0</v>
      </c>
      <c r="L198" s="85"/>
      <c r="M198" s="85">
        <v>0</v>
      </c>
      <c r="N198" s="85"/>
      <c r="O198" s="85">
        <v>0</v>
      </c>
      <c r="P198" s="85">
        <v>0</v>
      </c>
      <c r="Q198" s="85">
        <v>0</v>
      </c>
      <c r="R198" s="85">
        <v>0</v>
      </c>
      <c r="S198" s="85">
        <v>0</v>
      </c>
      <c r="T198" s="85">
        <v>0</v>
      </c>
      <c r="U198" s="85">
        <v>0</v>
      </c>
      <c r="V198" s="85">
        <v>0</v>
      </c>
      <c r="W198" s="85">
        <v>0</v>
      </c>
      <c r="X198" s="85">
        <v>0</v>
      </c>
      <c r="Y198" s="85">
        <v>0</v>
      </c>
      <c r="Z198" s="85">
        <v>0</v>
      </c>
      <c r="AA198" s="85">
        <v>0</v>
      </c>
      <c r="AB198" s="85">
        <v>0</v>
      </c>
      <c r="AC198" s="85">
        <v>0</v>
      </c>
      <c r="AD198" s="85"/>
    </row>
    <row r="199" spans="1:30">
      <c r="A199" s="82" t="s">
        <v>754</v>
      </c>
      <c r="B199" s="83" t="s">
        <v>594</v>
      </c>
      <c r="C199" s="84" t="s">
        <v>680</v>
      </c>
      <c r="D199" s="84" t="s">
        <v>680</v>
      </c>
      <c r="E199" s="85">
        <v>0</v>
      </c>
      <c r="F199" s="85">
        <v>0</v>
      </c>
      <c r="G199" s="85">
        <f>1.198*0.055</f>
        <v>6.5890000000000004E-2</v>
      </c>
      <c r="H199" s="84" t="s">
        <v>680</v>
      </c>
      <c r="I199" s="84" t="s">
        <v>680</v>
      </c>
      <c r="J199" s="84" t="s">
        <v>680</v>
      </c>
      <c r="K199" s="85">
        <f>1.25*0.055</f>
        <v>6.8750000000000006E-2</v>
      </c>
      <c r="L199" s="85"/>
      <c r="M199" s="85">
        <f>1.72*0.055</f>
        <v>9.4600000000000004E-2</v>
      </c>
      <c r="N199" s="85"/>
      <c r="O199" s="85">
        <v>0</v>
      </c>
      <c r="P199" s="85">
        <f>3.2*0.055</f>
        <v>0.17600000000000002</v>
      </c>
      <c r="Q199" s="85">
        <f>2.5*0.055</f>
        <v>0.13750000000000001</v>
      </c>
      <c r="R199" s="85">
        <f>2.46*0.055</f>
        <v>0.1353</v>
      </c>
      <c r="S199" s="85">
        <f>2.1*0.055</f>
        <v>0.11550000000000001</v>
      </c>
      <c r="T199" s="85">
        <f>1.98*0.055</f>
        <v>0.1089</v>
      </c>
      <c r="U199" s="85">
        <f>2.108*0.055</f>
        <v>0.11594</v>
      </c>
      <c r="V199" s="85">
        <f>1.9*0.055</f>
        <v>0.1045</v>
      </c>
      <c r="W199" s="85">
        <f>1.8*0.055</f>
        <v>9.9000000000000005E-2</v>
      </c>
      <c r="X199" s="85">
        <f>1.56*0.055</f>
        <v>8.5800000000000001E-2</v>
      </c>
      <c r="Y199" s="85">
        <f>1.21*0.055</f>
        <v>6.6549999999999998E-2</v>
      </c>
      <c r="Z199" s="85">
        <f>1*0.055</f>
        <v>5.5E-2</v>
      </c>
      <c r="AA199" s="85">
        <f>0.92*0.055</f>
        <v>5.0599999999999999E-2</v>
      </c>
      <c r="AB199" s="85">
        <f>0.85*0.055</f>
        <v>4.675E-2</v>
      </c>
      <c r="AC199" s="85">
        <f>0.7*0.055</f>
        <v>3.85E-2</v>
      </c>
      <c r="AD199" s="85"/>
    </row>
    <row r="200" spans="1:30">
      <c r="A200" s="82" t="s">
        <v>754</v>
      </c>
      <c r="B200" s="87" t="s">
        <v>643</v>
      </c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>
        <v>0</v>
      </c>
      <c r="P200" s="85">
        <v>0</v>
      </c>
      <c r="Q200" s="85">
        <v>0</v>
      </c>
      <c r="R200" s="85">
        <v>0</v>
      </c>
      <c r="S200" s="85">
        <v>0</v>
      </c>
      <c r="T200" s="85">
        <v>0</v>
      </c>
      <c r="U200" s="85">
        <v>0</v>
      </c>
      <c r="V200" s="85">
        <v>0</v>
      </c>
      <c r="W200" s="85">
        <v>0</v>
      </c>
      <c r="X200" s="85">
        <v>0</v>
      </c>
      <c r="Y200" s="85">
        <v>0</v>
      </c>
      <c r="Z200" s="85">
        <v>0</v>
      </c>
      <c r="AA200" s="85">
        <v>0</v>
      </c>
      <c r="AB200" s="85">
        <v>0</v>
      </c>
      <c r="AC200" s="85">
        <v>0</v>
      </c>
      <c r="AD200" s="85"/>
    </row>
    <row r="201" spans="1:30">
      <c r="A201" s="82" t="s">
        <v>553</v>
      </c>
      <c r="B201" s="83" t="s">
        <v>597</v>
      </c>
      <c r="C201" s="85">
        <v>0</v>
      </c>
      <c r="D201" s="85">
        <v>0</v>
      </c>
      <c r="E201" s="85">
        <v>0</v>
      </c>
      <c r="F201" s="85">
        <v>0</v>
      </c>
      <c r="G201" s="85">
        <v>0</v>
      </c>
      <c r="H201" s="85">
        <v>0</v>
      </c>
      <c r="I201" s="85">
        <v>0</v>
      </c>
      <c r="J201" s="85">
        <v>0</v>
      </c>
      <c r="K201" s="85">
        <v>0</v>
      </c>
      <c r="L201" s="85">
        <v>0</v>
      </c>
      <c r="M201" s="85">
        <v>0</v>
      </c>
      <c r="N201" s="85">
        <v>0</v>
      </c>
      <c r="O201" s="85">
        <v>0</v>
      </c>
      <c r="P201" s="85">
        <v>0</v>
      </c>
      <c r="Q201" s="85">
        <v>0</v>
      </c>
      <c r="R201" s="85">
        <v>0</v>
      </c>
      <c r="S201" s="85">
        <v>0</v>
      </c>
      <c r="T201" s="85">
        <v>0</v>
      </c>
      <c r="U201" s="85">
        <v>0</v>
      </c>
      <c r="V201" s="85">
        <v>0</v>
      </c>
      <c r="W201" s="85">
        <v>0</v>
      </c>
      <c r="X201" s="85">
        <v>0</v>
      </c>
      <c r="Y201" s="85">
        <v>0</v>
      </c>
      <c r="Z201" s="85">
        <v>0</v>
      </c>
      <c r="AA201" s="85">
        <v>0</v>
      </c>
      <c r="AB201" s="85">
        <v>0</v>
      </c>
      <c r="AC201" s="85">
        <v>0</v>
      </c>
      <c r="AD201" s="85"/>
    </row>
    <row r="202" spans="1:30">
      <c r="A202" s="82" t="s">
        <v>553</v>
      </c>
      <c r="B202" s="83" t="s">
        <v>600</v>
      </c>
      <c r="C202" s="85">
        <v>0</v>
      </c>
      <c r="D202" s="85">
        <v>0</v>
      </c>
      <c r="E202" s="85">
        <v>0</v>
      </c>
      <c r="F202" s="85">
        <v>0</v>
      </c>
      <c r="G202" s="85">
        <v>0</v>
      </c>
      <c r="H202" s="85">
        <v>0</v>
      </c>
      <c r="I202" s="85">
        <v>0</v>
      </c>
      <c r="J202" s="85">
        <v>0</v>
      </c>
      <c r="K202" s="85">
        <v>0</v>
      </c>
      <c r="L202" s="85">
        <v>0</v>
      </c>
      <c r="M202" s="85">
        <v>0</v>
      </c>
      <c r="N202" s="85">
        <v>0</v>
      </c>
      <c r="O202" s="85">
        <v>0</v>
      </c>
      <c r="P202" s="85">
        <v>0</v>
      </c>
      <c r="Q202" s="85">
        <v>0</v>
      </c>
      <c r="R202" s="85">
        <v>0</v>
      </c>
      <c r="S202" s="85">
        <v>0</v>
      </c>
      <c r="T202" s="85">
        <v>0</v>
      </c>
      <c r="U202" s="85">
        <v>0</v>
      </c>
      <c r="V202" s="85">
        <v>0</v>
      </c>
      <c r="W202" s="85">
        <v>0</v>
      </c>
      <c r="X202" s="85">
        <v>0</v>
      </c>
      <c r="Y202" s="85">
        <v>0</v>
      </c>
      <c r="Z202" s="85">
        <v>0</v>
      </c>
      <c r="AA202" s="85">
        <v>0</v>
      </c>
      <c r="AB202" s="85">
        <v>0</v>
      </c>
      <c r="AC202" s="85">
        <v>0</v>
      </c>
      <c r="AD202" s="85"/>
    </row>
    <row r="203" spans="1:30">
      <c r="A203" s="82" t="s">
        <v>553</v>
      </c>
      <c r="B203" s="83" t="s">
        <v>595</v>
      </c>
      <c r="C203" s="85">
        <v>0</v>
      </c>
      <c r="D203" s="85">
        <v>0</v>
      </c>
      <c r="E203" s="85">
        <v>0</v>
      </c>
      <c r="F203" s="85">
        <v>0</v>
      </c>
      <c r="G203" s="85">
        <v>0</v>
      </c>
      <c r="H203" s="85">
        <v>0</v>
      </c>
      <c r="I203" s="85">
        <v>0</v>
      </c>
      <c r="J203" s="85">
        <v>0</v>
      </c>
      <c r="K203" s="85">
        <v>0</v>
      </c>
      <c r="L203" s="85">
        <v>0</v>
      </c>
      <c r="M203" s="85">
        <v>0</v>
      </c>
      <c r="N203" s="85">
        <v>0</v>
      </c>
      <c r="O203" s="85">
        <v>0</v>
      </c>
      <c r="P203" s="85">
        <v>0</v>
      </c>
      <c r="Q203" s="85">
        <v>0</v>
      </c>
      <c r="R203" s="85">
        <v>0</v>
      </c>
      <c r="S203" s="85">
        <v>0</v>
      </c>
      <c r="T203" s="85">
        <v>0</v>
      </c>
      <c r="U203" s="85">
        <v>0</v>
      </c>
      <c r="V203" s="85">
        <v>0</v>
      </c>
      <c r="W203" s="85">
        <v>0</v>
      </c>
      <c r="X203" s="85">
        <v>0</v>
      </c>
      <c r="Y203" s="85">
        <v>0</v>
      </c>
      <c r="Z203" s="85">
        <v>0</v>
      </c>
      <c r="AA203" s="85">
        <v>0</v>
      </c>
      <c r="AB203" s="85">
        <v>0</v>
      </c>
      <c r="AC203" s="85">
        <v>0</v>
      </c>
      <c r="AD203" s="85"/>
    </row>
    <row r="204" spans="1:30">
      <c r="A204" s="82" t="s">
        <v>553</v>
      </c>
      <c r="B204" s="83" t="s">
        <v>596</v>
      </c>
      <c r="C204" s="85">
        <v>0</v>
      </c>
      <c r="D204" s="85">
        <v>0</v>
      </c>
      <c r="E204" s="85">
        <v>0</v>
      </c>
      <c r="F204" s="85">
        <v>0</v>
      </c>
      <c r="G204" s="85">
        <v>0</v>
      </c>
      <c r="H204" s="85">
        <v>0</v>
      </c>
      <c r="I204" s="85">
        <v>0</v>
      </c>
      <c r="J204" s="85">
        <v>0</v>
      </c>
      <c r="K204" s="85">
        <v>0</v>
      </c>
      <c r="L204" s="85">
        <v>0</v>
      </c>
      <c r="M204" s="85">
        <v>0</v>
      </c>
      <c r="N204" s="85">
        <v>0</v>
      </c>
      <c r="O204" s="85">
        <v>0</v>
      </c>
      <c r="P204" s="85">
        <v>0</v>
      </c>
      <c r="Q204" s="85">
        <v>0</v>
      </c>
      <c r="R204" s="85">
        <v>0</v>
      </c>
      <c r="S204" s="85">
        <v>0</v>
      </c>
      <c r="T204" s="85">
        <v>0</v>
      </c>
      <c r="U204" s="85">
        <v>0</v>
      </c>
      <c r="V204" s="85">
        <v>0</v>
      </c>
      <c r="W204" s="85">
        <v>0</v>
      </c>
      <c r="X204" s="85">
        <v>0</v>
      </c>
      <c r="Y204" s="85">
        <v>0</v>
      </c>
      <c r="Z204" s="85">
        <v>0</v>
      </c>
      <c r="AA204" s="85">
        <v>0</v>
      </c>
      <c r="AB204" s="85">
        <v>0</v>
      </c>
      <c r="AC204" s="85">
        <v>0</v>
      </c>
      <c r="AD204" s="85"/>
    </row>
    <row r="205" spans="1:30">
      <c r="A205" s="82" t="s">
        <v>553</v>
      </c>
      <c r="B205" s="83" t="s">
        <v>594</v>
      </c>
      <c r="C205" s="85">
        <f>15.8*0.055</f>
        <v>0.86899999999999999</v>
      </c>
      <c r="D205" s="85">
        <f>12.8*0.055</f>
        <v>0.70400000000000007</v>
      </c>
      <c r="E205" s="85">
        <f>13.3*0.055</f>
        <v>0.73150000000000004</v>
      </c>
      <c r="F205" s="85">
        <f>35*0.055</f>
        <v>1.925</v>
      </c>
      <c r="G205" s="85">
        <f>8.8*0.055</f>
        <v>0.48400000000000004</v>
      </c>
      <c r="H205" s="85">
        <f>16.78*0.055</f>
        <v>0.92290000000000005</v>
      </c>
      <c r="I205" s="85">
        <f>18.69*0.055</f>
        <v>1.0279500000000001</v>
      </c>
      <c r="J205" s="85">
        <f>27.4*0.055</f>
        <v>1.5069999999999999</v>
      </c>
      <c r="K205" s="85">
        <f>30.77*0.055</f>
        <v>1.69235</v>
      </c>
      <c r="L205" s="85">
        <f>3.64*0.055</f>
        <v>0.20020000000000002</v>
      </c>
      <c r="M205" s="85">
        <f>8*0.055</f>
        <v>0.44</v>
      </c>
      <c r="N205" s="85">
        <f>8.3*0.055</f>
        <v>0.45650000000000002</v>
      </c>
      <c r="O205" s="85">
        <f>6.5*0.055</f>
        <v>0.35749999999999998</v>
      </c>
      <c r="P205" s="85">
        <f>10.78*0.055</f>
        <v>0.59289999999999998</v>
      </c>
      <c r="Q205" s="85">
        <v>0</v>
      </c>
      <c r="R205" s="85">
        <f>192.8*0.055</f>
        <v>10.604000000000001</v>
      </c>
      <c r="S205" s="85">
        <f>192.8*0.055</f>
        <v>10.604000000000001</v>
      </c>
      <c r="T205" s="85">
        <f>179.4*0.055</f>
        <v>9.8670000000000009</v>
      </c>
      <c r="U205" s="85">
        <f>170*0.055</f>
        <v>9.35</v>
      </c>
      <c r="V205" s="85">
        <f>158.5*0.055</f>
        <v>8.7174999999999994</v>
      </c>
      <c r="W205" s="85">
        <f>148.2*0.055</f>
        <v>8.1509999999999998</v>
      </c>
      <c r="X205" s="85">
        <f>144.1*0.055</f>
        <v>7.9254999999999995</v>
      </c>
      <c r="Y205" s="85">
        <f>139.3*0.055</f>
        <v>7.6615000000000011</v>
      </c>
      <c r="Z205" s="85">
        <f>131.4*0.055</f>
        <v>7.2270000000000003</v>
      </c>
      <c r="AA205" s="85">
        <f>125.2*0.055</f>
        <v>6.8860000000000001</v>
      </c>
      <c r="AB205" s="85">
        <f>116.25*0.055</f>
        <v>6.3937499999999998</v>
      </c>
      <c r="AC205" s="85">
        <f>112.6*0.055</f>
        <v>6.1929999999999996</v>
      </c>
      <c r="AD205" s="85"/>
    </row>
    <row r="206" spans="1:30">
      <c r="A206" s="82" t="s">
        <v>553</v>
      </c>
      <c r="B206" s="87" t="s">
        <v>643</v>
      </c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>
        <v>0</v>
      </c>
      <c r="O206" s="85">
        <v>0</v>
      </c>
      <c r="P206" s="85">
        <v>0</v>
      </c>
      <c r="Q206" s="85">
        <v>0</v>
      </c>
      <c r="R206" s="85">
        <v>0</v>
      </c>
      <c r="S206" s="85">
        <v>0</v>
      </c>
      <c r="T206" s="85">
        <v>0</v>
      </c>
      <c r="U206" s="85">
        <v>0</v>
      </c>
      <c r="V206" s="85">
        <v>0</v>
      </c>
      <c r="W206" s="85">
        <v>0</v>
      </c>
      <c r="X206" s="85">
        <v>0</v>
      </c>
      <c r="Y206" s="85">
        <v>0</v>
      </c>
      <c r="Z206" s="85">
        <v>0</v>
      </c>
      <c r="AA206" s="85">
        <v>0</v>
      </c>
      <c r="AB206" s="85">
        <v>0</v>
      </c>
      <c r="AC206" s="85">
        <v>0</v>
      </c>
      <c r="AD206" s="85"/>
    </row>
    <row r="207" spans="1:30">
      <c r="A207" s="82" t="s">
        <v>508</v>
      </c>
      <c r="B207" s="83" t="s">
        <v>597</v>
      </c>
      <c r="C207" s="84" t="s">
        <v>680</v>
      </c>
      <c r="D207" s="84" t="s">
        <v>680</v>
      </c>
      <c r="E207" s="84" t="s">
        <v>680</v>
      </c>
      <c r="F207" s="84" t="s">
        <v>680</v>
      </c>
      <c r="G207" s="84" t="s">
        <v>680</v>
      </c>
      <c r="H207" s="84" t="s">
        <v>680</v>
      </c>
      <c r="I207" s="84" t="s">
        <v>680</v>
      </c>
      <c r="J207" s="84" t="s">
        <v>680</v>
      </c>
      <c r="K207" s="84" t="s">
        <v>680</v>
      </c>
      <c r="L207" s="85">
        <v>0</v>
      </c>
      <c r="M207" s="85">
        <v>0</v>
      </c>
      <c r="N207" s="85">
        <v>0</v>
      </c>
      <c r="O207" s="85">
        <v>0</v>
      </c>
      <c r="P207" s="85">
        <v>0</v>
      </c>
      <c r="Q207" s="85">
        <v>0</v>
      </c>
      <c r="R207" s="85">
        <v>0</v>
      </c>
      <c r="S207" s="85">
        <v>0</v>
      </c>
      <c r="T207" s="85">
        <v>0</v>
      </c>
      <c r="U207" s="85">
        <v>0</v>
      </c>
      <c r="V207" s="85">
        <v>0</v>
      </c>
      <c r="W207" s="85">
        <v>0</v>
      </c>
      <c r="X207" s="85">
        <v>0</v>
      </c>
      <c r="Y207" s="85">
        <v>0</v>
      </c>
      <c r="Z207" s="85">
        <v>0</v>
      </c>
      <c r="AA207" s="85">
        <v>0</v>
      </c>
      <c r="AB207" s="85">
        <v>0</v>
      </c>
      <c r="AC207" s="85">
        <v>0</v>
      </c>
      <c r="AD207" s="85"/>
    </row>
    <row r="208" spans="1:30">
      <c r="A208" s="82" t="s">
        <v>508</v>
      </c>
      <c r="B208" s="83" t="s">
        <v>600</v>
      </c>
      <c r="C208" s="84" t="s">
        <v>680</v>
      </c>
      <c r="D208" s="84" t="s">
        <v>680</v>
      </c>
      <c r="E208" s="84" t="s">
        <v>680</v>
      </c>
      <c r="F208" s="84" t="s">
        <v>680</v>
      </c>
      <c r="G208" s="84" t="s">
        <v>680</v>
      </c>
      <c r="H208" s="84" t="s">
        <v>680</v>
      </c>
      <c r="I208" s="84" t="s">
        <v>680</v>
      </c>
      <c r="J208" s="84" t="s">
        <v>680</v>
      </c>
      <c r="K208" s="84" t="s">
        <v>680</v>
      </c>
      <c r="L208" s="85">
        <v>0</v>
      </c>
      <c r="M208" s="85">
        <v>0</v>
      </c>
      <c r="N208" s="85">
        <v>0</v>
      </c>
      <c r="O208" s="85">
        <v>0</v>
      </c>
      <c r="P208" s="85">
        <v>0</v>
      </c>
      <c r="Q208" s="85">
        <v>0</v>
      </c>
      <c r="R208" s="85">
        <v>0</v>
      </c>
      <c r="S208" s="85">
        <v>0</v>
      </c>
      <c r="T208" s="85">
        <v>0</v>
      </c>
      <c r="U208" s="85">
        <v>0</v>
      </c>
      <c r="V208" s="85">
        <v>0</v>
      </c>
      <c r="W208" s="85">
        <v>0</v>
      </c>
      <c r="X208" s="85">
        <v>0</v>
      </c>
      <c r="Y208" s="85">
        <v>0</v>
      </c>
      <c r="Z208" s="85">
        <v>0</v>
      </c>
      <c r="AA208" s="85">
        <v>0</v>
      </c>
      <c r="AB208" s="85">
        <v>0</v>
      </c>
      <c r="AC208" s="85">
        <v>0</v>
      </c>
      <c r="AD208" s="85"/>
    </row>
    <row r="209" spans="1:30">
      <c r="A209" s="82" t="s">
        <v>508</v>
      </c>
      <c r="B209" s="83" t="s">
        <v>595</v>
      </c>
      <c r="C209" s="84" t="s">
        <v>680</v>
      </c>
      <c r="D209" s="84" t="s">
        <v>680</v>
      </c>
      <c r="E209" s="84" t="s">
        <v>680</v>
      </c>
      <c r="F209" s="84" t="s">
        <v>680</v>
      </c>
      <c r="G209" s="84" t="s">
        <v>680</v>
      </c>
      <c r="H209" s="84" t="s">
        <v>680</v>
      </c>
      <c r="I209" s="84" t="s">
        <v>680</v>
      </c>
      <c r="J209" s="84" t="s">
        <v>680</v>
      </c>
      <c r="K209" s="84" t="s">
        <v>680</v>
      </c>
      <c r="L209" s="85">
        <v>0</v>
      </c>
      <c r="M209" s="85">
        <v>0</v>
      </c>
      <c r="N209" s="85">
        <v>0</v>
      </c>
      <c r="O209" s="85">
        <v>0</v>
      </c>
      <c r="P209" s="85">
        <v>0</v>
      </c>
      <c r="Q209" s="85">
        <v>0</v>
      </c>
      <c r="R209" s="85">
        <v>0</v>
      </c>
      <c r="S209" s="85">
        <v>0</v>
      </c>
      <c r="T209" s="85">
        <v>0</v>
      </c>
      <c r="U209" s="85">
        <v>0</v>
      </c>
      <c r="V209" s="85">
        <v>0</v>
      </c>
      <c r="W209" s="85">
        <v>0</v>
      </c>
      <c r="X209" s="85">
        <v>0</v>
      </c>
      <c r="Y209" s="85">
        <v>0</v>
      </c>
      <c r="Z209" s="85">
        <v>0</v>
      </c>
      <c r="AA209" s="85">
        <v>0</v>
      </c>
      <c r="AB209" s="85">
        <v>0</v>
      </c>
      <c r="AC209" s="85">
        <v>0</v>
      </c>
      <c r="AD209" s="85"/>
    </row>
    <row r="210" spans="1:30">
      <c r="A210" s="82" t="s">
        <v>508</v>
      </c>
      <c r="B210" s="83" t="s">
        <v>596</v>
      </c>
      <c r="C210" s="84" t="s">
        <v>680</v>
      </c>
      <c r="D210" s="84" t="s">
        <v>680</v>
      </c>
      <c r="E210" s="84" t="s">
        <v>680</v>
      </c>
      <c r="F210" s="84" t="s">
        <v>680</v>
      </c>
      <c r="G210" s="84" t="s">
        <v>680</v>
      </c>
      <c r="H210" s="84" t="s">
        <v>680</v>
      </c>
      <c r="I210" s="84" t="s">
        <v>680</v>
      </c>
      <c r="J210" s="84" t="s">
        <v>680</v>
      </c>
      <c r="K210" s="84" t="s">
        <v>680</v>
      </c>
      <c r="L210" s="85">
        <v>0</v>
      </c>
      <c r="M210" s="85">
        <v>0</v>
      </c>
      <c r="N210" s="85">
        <v>0</v>
      </c>
      <c r="O210" s="85">
        <v>0</v>
      </c>
      <c r="P210" s="85">
        <v>0</v>
      </c>
      <c r="Q210" s="85">
        <v>0</v>
      </c>
      <c r="R210" s="85">
        <v>0</v>
      </c>
      <c r="S210" s="85">
        <f>0.02*0.065</f>
        <v>1.3000000000000002E-3</v>
      </c>
      <c r="T210" s="85">
        <v>0</v>
      </c>
      <c r="U210" s="85">
        <v>0</v>
      </c>
      <c r="V210" s="85">
        <v>0</v>
      </c>
      <c r="W210" s="85">
        <v>0</v>
      </c>
      <c r="X210" s="85">
        <v>0</v>
      </c>
      <c r="Y210" s="85">
        <v>0</v>
      </c>
      <c r="Z210" s="85">
        <v>0</v>
      </c>
      <c r="AA210" s="85">
        <v>0</v>
      </c>
      <c r="AB210" s="85">
        <v>0</v>
      </c>
      <c r="AC210" s="85">
        <v>0</v>
      </c>
      <c r="AD210" s="85"/>
    </row>
    <row r="211" spans="1:30">
      <c r="A211" s="82" t="s">
        <v>508</v>
      </c>
      <c r="B211" s="83" t="s">
        <v>594</v>
      </c>
      <c r="C211" s="84" t="s">
        <v>680</v>
      </c>
      <c r="D211" s="84" t="s">
        <v>680</v>
      </c>
      <c r="E211" s="84" t="s">
        <v>680</v>
      </c>
      <c r="F211" s="84" t="s">
        <v>680</v>
      </c>
      <c r="G211" s="84" t="s">
        <v>680</v>
      </c>
      <c r="H211" s="84" t="s">
        <v>680</v>
      </c>
      <c r="I211" s="84" t="s">
        <v>680</v>
      </c>
      <c r="J211" s="84" t="s">
        <v>680</v>
      </c>
      <c r="K211" s="84" t="s">
        <v>680</v>
      </c>
      <c r="L211" s="85">
        <f>0.6*0.055</f>
        <v>3.3000000000000002E-2</v>
      </c>
      <c r="M211" s="85">
        <f>0.75*0.055</f>
        <v>4.1250000000000002E-2</v>
      </c>
      <c r="N211" s="85">
        <f>0.81*0.055</f>
        <v>4.4550000000000006E-2</v>
      </c>
      <c r="O211" s="85">
        <f>1.1*0.055</f>
        <v>6.0500000000000005E-2</v>
      </c>
      <c r="P211" s="85">
        <f>0.3*0.055</f>
        <v>1.6500000000000001E-2</v>
      </c>
      <c r="Q211" s="85">
        <f>0.57*0.055</f>
        <v>3.1349999999999996E-2</v>
      </c>
      <c r="R211" s="85">
        <f>0.32*0.055</f>
        <v>1.7600000000000001E-2</v>
      </c>
      <c r="S211" s="85">
        <f>1*0.055</f>
        <v>5.5E-2</v>
      </c>
      <c r="T211" s="85">
        <f>0.75*0.055</f>
        <v>4.1250000000000002E-2</v>
      </c>
      <c r="U211" s="85">
        <f>0.367*0.055</f>
        <v>2.0184999999999998E-2</v>
      </c>
      <c r="V211" s="88">
        <f>0.0272*0.055</f>
        <v>1.4959999999999999E-3</v>
      </c>
      <c r="W211" s="88">
        <v>0</v>
      </c>
      <c r="X211" s="88">
        <v>0</v>
      </c>
      <c r="Y211" s="88">
        <v>0</v>
      </c>
      <c r="Z211" s="88">
        <v>0</v>
      </c>
      <c r="AA211" s="88">
        <v>0</v>
      </c>
      <c r="AB211" s="88">
        <v>0</v>
      </c>
      <c r="AC211" s="88">
        <v>0</v>
      </c>
      <c r="AD211" s="88"/>
    </row>
    <row r="212" spans="1:30">
      <c r="A212" s="82" t="s">
        <v>508</v>
      </c>
      <c r="B212" s="87" t="s">
        <v>643</v>
      </c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>
        <v>0</v>
      </c>
      <c r="O212" s="85">
        <v>0</v>
      </c>
      <c r="P212" s="85">
        <v>0</v>
      </c>
      <c r="Q212" s="85">
        <v>0</v>
      </c>
      <c r="R212" s="85">
        <v>0</v>
      </c>
      <c r="S212" s="85">
        <v>0</v>
      </c>
      <c r="T212" s="85">
        <v>0</v>
      </c>
      <c r="U212" s="85">
        <v>0</v>
      </c>
      <c r="V212" s="85">
        <v>0</v>
      </c>
      <c r="W212" s="85">
        <v>0</v>
      </c>
      <c r="X212" s="85">
        <v>0</v>
      </c>
      <c r="Y212" s="85">
        <v>0</v>
      </c>
      <c r="Z212" s="85">
        <v>0</v>
      </c>
      <c r="AA212" s="85">
        <v>0</v>
      </c>
      <c r="AB212" s="85">
        <v>0</v>
      </c>
      <c r="AC212" s="85">
        <v>0</v>
      </c>
      <c r="AD212" s="85"/>
    </row>
    <row r="213" spans="1:30">
      <c r="A213" s="82" t="s">
        <v>756</v>
      </c>
      <c r="B213" s="83" t="s">
        <v>597</v>
      </c>
      <c r="C213" s="85">
        <v>0</v>
      </c>
      <c r="D213" s="85">
        <v>0</v>
      </c>
      <c r="E213" s="85">
        <v>0</v>
      </c>
      <c r="F213" s="84" t="s">
        <v>680</v>
      </c>
      <c r="G213" s="88">
        <f>0.04*0.02</f>
        <v>8.0000000000000004E-4</v>
      </c>
      <c r="H213" s="85">
        <v>0</v>
      </c>
      <c r="I213" s="85">
        <v>0</v>
      </c>
      <c r="J213" s="85">
        <f>0.3*0.02</f>
        <v>6.0000000000000001E-3</v>
      </c>
      <c r="K213" s="85">
        <v>0</v>
      </c>
      <c r="L213" s="85">
        <v>0</v>
      </c>
      <c r="M213" s="85">
        <v>0</v>
      </c>
      <c r="N213" s="85">
        <v>0</v>
      </c>
      <c r="O213" s="85">
        <v>0</v>
      </c>
      <c r="P213" s="85">
        <v>0</v>
      </c>
      <c r="Q213" s="85">
        <f>0.71*0.02</f>
        <v>1.4199999999999999E-2</v>
      </c>
      <c r="R213" s="85">
        <v>0</v>
      </c>
      <c r="S213" s="85">
        <f>0.06*0.02</f>
        <v>1.1999999999999999E-3</v>
      </c>
      <c r="T213" s="85">
        <f>0.54*0.02</f>
        <v>1.0800000000000001E-2</v>
      </c>
      <c r="U213" s="85">
        <f>0.13*0.02</f>
        <v>2.6000000000000003E-3</v>
      </c>
      <c r="V213" s="85">
        <f>2.91*0.02</f>
        <v>5.8200000000000002E-2</v>
      </c>
      <c r="W213" s="85">
        <f>2.45*0.02</f>
        <v>4.9000000000000002E-2</v>
      </c>
      <c r="X213" s="85">
        <v>0</v>
      </c>
      <c r="Y213" s="85">
        <v>0</v>
      </c>
      <c r="Z213" s="85">
        <f>-0.636*0.02</f>
        <v>-1.272E-2</v>
      </c>
      <c r="AA213" s="85">
        <v>0</v>
      </c>
      <c r="AB213" s="85">
        <v>0</v>
      </c>
      <c r="AC213" s="85">
        <v>0</v>
      </c>
      <c r="AD213" s="85"/>
    </row>
    <row r="214" spans="1:30">
      <c r="A214" s="82" t="s">
        <v>756</v>
      </c>
      <c r="B214" s="83" t="s">
        <v>600</v>
      </c>
      <c r="C214" s="85">
        <v>0</v>
      </c>
      <c r="D214" s="85">
        <v>0</v>
      </c>
      <c r="E214" s="85">
        <v>0</v>
      </c>
      <c r="F214" s="84" t="s">
        <v>680</v>
      </c>
      <c r="G214" s="85">
        <v>0</v>
      </c>
      <c r="H214" s="85">
        <v>0</v>
      </c>
      <c r="I214" s="85">
        <v>0</v>
      </c>
      <c r="J214" s="85">
        <v>0</v>
      </c>
      <c r="K214" s="85">
        <v>0</v>
      </c>
      <c r="L214" s="85">
        <v>0</v>
      </c>
      <c r="M214" s="85">
        <f>35.22*0.022</f>
        <v>0.77483999999999997</v>
      </c>
      <c r="N214" s="85">
        <f>5.55*0.022</f>
        <v>0.12209999999999999</v>
      </c>
      <c r="O214" s="85">
        <f>5.52*0.022</f>
        <v>0.12143999999999998</v>
      </c>
      <c r="P214" s="85">
        <f>3.2*0.022</f>
        <v>7.0400000000000004E-2</v>
      </c>
      <c r="Q214" s="85">
        <f>5.94*0.022</f>
        <v>0.13067999999999999</v>
      </c>
      <c r="R214" s="85">
        <f>1.95*0.022</f>
        <v>4.2899999999999994E-2</v>
      </c>
      <c r="S214" s="85">
        <f>-0.01*0.022</f>
        <v>-2.1999999999999998E-4</v>
      </c>
      <c r="T214" s="85">
        <f>2.31*0.022</f>
        <v>5.0819999999999997E-2</v>
      </c>
      <c r="U214" s="85">
        <f>0.01*0.022</f>
        <v>2.1999999999999998E-4</v>
      </c>
      <c r="V214" s="85">
        <f>0.91*0.022</f>
        <v>2.002E-2</v>
      </c>
      <c r="W214" s="85">
        <f>0.67*0.022</f>
        <v>1.474E-2</v>
      </c>
      <c r="X214" s="85">
        <f>0.4*0.022</f>
        <v>8.8000000000000005E-3</v>
      </c>
      <c r="Y214" s="85">
        <f>0.136*0.022</f>
        <v>2.9919999999999999E-3</v>
      </c>
      <c r="Z214" s="85">
        <f>0.136*0.022</f>
        <v>2.9919999999999999E-3</v>
      </c>
      <c r="AA214" s="85">
        <v>0</v>
      </c>
      <c r="AB214" s="85">
        <v>0</v>
      </c>
      <c r="AC214" s="85">
        <v>0</v>
      </c>
      <c r="AD214" s="85"/>
    </row>
    <row r="215" spans="1:30">
      <c r="A215" s="82" t="s">
        <v>756</v>
      </c>
      <c r="B215" s="83" t="s">
        <v>595</v>
      </c>
      <c r="C215" s="85">
        <v>0</v>
      </c>
      <c r="D215" s="85">
        <v>0</v>
      </c>
      <c r="E215" s="85">
        <v>0</v>
      </c>
      <c r="F215" s="84" t="s">
        <v>680</v>
      </c>
      <c r="G215" s="85">
        <v>0</v>
      </c>
      <c r="H215" s="85">
        <v>0</v>
      </c>
      <c r="I215" s="85">
        <f>12*0.11</f>
        <v>1.32</v>
      </c>
      <c r="J215" s="85">
        <f>4.12*0.11</f>
        <v>0.45319999999999999</v>
      </c>
      <c r="K215" s="85">
        <f>19.52*0.11</f>
        <v>2.1471999999999998</v>
      </c>
      <c r="L215" s="85">
        <f>11.62*0.11</f>
        <v>1.2782</v>
      </c>
      <c r="M215" s="85">
        <f>16.16*0.11</f>
        <v>1.7776000000000001</v>
      </c>
      <c r="N215" s="85">
        <v>1.8941999999999999</v>
      </c>
      <c r="O215" s="85">
        <f>1.5*0.11</f>
        <v>0.16500000000000001</v>
      </c>
      <c r="P215" s="85">
        <f>1.77*0.11</f>
        <v>0.19470000000000001</v>
      </c>
      <c r="Q215" s="85">
        <f>9.01*0.11</f>
        <v>0.99109999999999998</v>
      </c>
      <c r="R215" s="85">
        <f>36.89*0.11</f>
        <v>4.0579000000000001</v>
      </c>
      <c r="S215" s="85">
        <f>(29.56-1.13)*0.11</f>
        <v>3.1273</v>
      </c>
      <c r="T215" s="85">
        <f>48.61*0.11</f>
        <v>5.3471000000000002</v>
      </c>
      <c r="U215" s="85">
        <v>0</v>
      </c>
      <c r="V215" s="85">
        <f>23.15*0.11</f>
        <v>2.5465</v>
      </c>
      <c r="W215" s="85">
        <f>19.93*0.11</f>
        <v>2.1922999999999999</v>
      </c>
      <c r="X215" s="85">
        <f>20.3*0.11</f>
        <v>2.2330000000000001</v>
      </c>
      <c r="Y215" s="85">
        <f>15.215*0.11</f>
        <v>1.6736500000000001</v>
      </c>
      <c r="Z215" s="85">
        <f>10.88*0.11</f>
        <v>1.1968000000000001</v>
      </c>
      <c r="AA215" s="85">
        <f>10.88*0.11</f>
        <v>1.1968000000000001</v>
      </c>
      <c r="AB215" s="85">
        <f>6.79*0.11</f>
        <v>0.74690000000000001</v>
      </c>
      <c r="AC215" s="85">
        <f>5.47*0.11</f>
        <v>0.60170000000000001</v>
      </c>
      <c r="AD215" s="85"/>
    </row>
    <row r="216" spans="1:30">
      <c r="A216" s="82" t="s">
        <v>756</v>
      </c>
      <c r="B216" s="83" t="s">
        <v>700</v>
      </c>
      <c r="C216" s="85"/>
      <c r="D216" s="85"/>
      <c r="E216" s="85"/>
      <c r="F216" s="84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>
        <f>161.56*0.11</f>
        <v>17.771599999999999</v>
      </c>
      <c r="S216" s="85">
        <f>170*0.11</f>
        <v>18.7</v>
      </c>
      <c r="T216" s="85">
        <f>157.91*0.11</f>
        <v>17.370100000000001</v>
      </c>
      <c r="U216" s="85">
        <v>0</v>
      </c>
      <c r="V216" s="85">
        <f>(11.14-0.74)*0.11</f>
        <v>1.1440000000000001</v>
      </c>
      <c r="W216" s="85">
        <f>(10-0.94)*0.11</f>
        <v>0.99660000000000004</v>
      </c>
      <c r="X216" s="85">
        <f>11.5*0.11</f>
        <v>1.2649999999999999</v>
      </c>
      <c r="Y216" s="85">
        <f>4.486*0.11</f>
        <v>0.49345999999999995</v>
      </c>
      <c r="Z216" s="85">
        <f>3.655*0.11</f>
        <v>0.40204999999999996</v>
      </c>
      <c r="AA216" s="85">
        <f>3.31*0.11</f>
        <v>0.36410000000000003</v>
      </c>
      <c r="AB216" s="85">
        <f>0.86*0.11</f>
        <v>9.4600000000000004E-2</v>
      </c>
      <c r="AC216" s="85">
        <v>0</v>
      </c>
      <c r="AD216" s="85"/>
    </row>
    <row r="217" spans="1:30">
      <c r="A217" s="82" t="s">
        <v>756</v>
      </c>
      <c r="B217" s="83" t="s">
        <v>596</v>
      </c>
      <c r="C217" s="85">
        <v>0</v>
      </c>
      <c r="D217" s="85">
        <v>0</v>
      </c>
      <c r="E217" s="85">
        <v>0</v>
      </c>
      <c r="F217" s="84" t="s">
        <v>680</v>
      </c>
      <c r="G217" s="85">
        <v>0</v>
      </c>
      <c r="H217" s="85">
        <v>0</v>
      </c>
      <c r="I217" s="85">
        <v>0</v>
      </c>
      <c r="J217" s="85">
        <v>0</v>
      </c>
      <c r="K217" s="85">
        <v>0</v>
      </c>
      <c r="L217" s="85">
        <v>0</v>
      </c>
      <c r="M217" s="85">
        <f>2.49*0.065</f>
        <v>0.16185000000000002</v>
      </c>
      <c r="N217" s="85">
        <v>0.21255000000000002</v>
      </c>
      <c r="O217" s="85">
        <f>1.33*0.065</f>
        <v>8.6450000000000013E-2</v>
      </c>
      <c r="P217" s="85">
        <f>1.29*0.065</f>
        <v>8.3850000000000008E-2</v>
      </c>
      <c r="Q217" s="85">
        <v>0</v>
      </c>
      <c r="R217" s="85">
        <f>7.15*0.065</f>
        <v>0.46475000000000005</v>
      </c>
      <c r="S217" s="85">
        <v>0</v>
      </c>
      <c r="T217" s="85">
        <f>9.36*0.065</f>
        <v>0.60839999999999994</v>
      </c>
      <c r="U217" s="85">
        <f>0.01*0.065</f>
        <v>6.5000000000000008E-4</v>
      </c>
      <c r="V217" s="85">
        <f>2.43*0.065</f>
        <v>0.15795000000000001</v>
      </c>
      <c r="W217" s="85">
        <f>2.1*0.065</f>
        <v>0.13650000000000001</v>
      </c>
      <c r="X217" s="85">
        <f>1.5*0.065</f>
        <v>9.7500000000000003E-2</v>
      </c>
      <c r="Y217" s="85">
        <f>0.483*0.065</f>
        <v>3.1394999999999999E-2</v>
      </c>
      <c r="Z217" s="85">
        <f>0.483*0.065</f>
        <v>3.1394999999999999E-2</v>
      </c>
      <c r="AA217" s="85">
        <v>0</v>
      </c>
      <c r="AB217" s="85">
        <v>0</v>
      </c>
      <c r="AC217" s="85">
        <v>0</v>
      </c>
      <c r="AD217" s="85"/>
    </row>
    <row r="218" spans="1:30">
      <c r="A218" s="82" t="s">
        <v>756</v>
      </c>
      <c r="B218" s="83" t="s">
        <v>594</v>
      </c>
      <c r="C218" s="85">
        <f>60.3*0.055</f>
        <v>3.3165</v>
      </c>
      <c r="D218" s="85">
        <f>123.1*0.055</f>
        <v>6.7704999999999993</v>
      </c>
      <c r="E218" s="85">
        <f>(69.1-5.44)*0.055</f>
        <v>3.5012999999999996</v>
      </c>
      <c r="F218" s="84" t="s">
        <v>680</v>
      </c>
      <c r="G218" s="85">
        <f>279.5*0.055</f>
        <v>15.3725</v>
      </c>
      <c r="H218" s="85">
        <f>135.7*0.055</f>
        <v>7.4634999999999998</v>
      </c>
      <c r="I218" s="85">
        <f>114*0.055</f>
        <v>6.2700000000000005</v>
      </c>
      <c r="J218" s="85">
        <f>135.65*0.055</f>
        <v>7.46075</v>
      </c>
      <c r="K218" s="85">
        <f>185.91*0.055</f>
        <v>10.22505</v>
      </c>
      <c r="L218" s="85">
        <f>147.04*0.055</f>
        <v>8.0871999999999993</v>
      </c>
      <c r="M218" s="85">
        <f>154.95*0.055</f>
        <v>8.5222499999999997</v>
      </c>
      <c r="N218" s="85">
        <v>8.0151500000000002</v>
      </c>
      <c r="O218" s="85">
        <f>247.68*0.055</f>
        <v>13.622400000000001</v>
      </c>
      <c r="P218" s="85">
        <f>137.28*0.055</f>
        <v>7.5503999999999998</v>
      </c>
      <c r="Q218" s="85">
        <f>192.81*0.055</f>
        <v>10.60455</v>
      </c>
      <c r="R218" s="85">
        <f>(171.77-0.82)*0.055</f>
        <v>9.4022500000000004</v>
      </c>
      <c r="S218" s="85">
        <f>338.62*0.055</f>
        <v>18.624100000000002</v>
      </c>
      <c r="T218" s="85">
        <f>309.53*0.055</f>
        <v>17.024149999999999</v>
      </c>
      <c r="U218" s="85">
        <f>-4*0.055</f>
        <v>-0.22</v>
      </c>
      <c r="V218" s="85">
        <f>178.26*0.055</f>
        <v>9.8042999999999996</v>
      </c>
      <c r="W218" s="85">
        <f>155.69*0.055</f>
        <v>8.5629500000000007</v>
      </c>
      <c r="X218" s="85">
        <f>155.4*0.055</f>
        <v>8.5470000000000006</v>
      </c>
      <c r="Y218" s="85">
        <f>153.376*0.055</f>
        <v>8.4356799999999996</v>
      </c>
      <c r="Z218" s="85">
        <f>138.999*0.055</f>
        <v>7.6449449999999999</v>
      </c>
      <c r="AA218" s="85">
        <f>92.96*0.055</f>
        <v>5.1128</v>
      </c>
      <c r="AB218" s="85">
        <f>61.7*0.055</f>
        <v>3.3935</v>
      </c>
      <c r="AC218" s="85">
        <f>50.82*0.055</f>
        <v>2.7951000000000001</v>
      </c>
      <c r="AD218" s="85"/>
    </row>
    <row r="219" spans="1:30">
      <c r="A219" s="82" t="s">
        <v>756</v>
      </c>
      <c r="B219" s="87" t="s">
        <v>643</v>
      </c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>
        <v>0</v>
      </c>
      <c r="O219" s="85">
        <v>0</v>
      </c>
      <c r="P219" s="85">
        <v>0</v>
      </c>
      <c r="Q219" s="85">
        <v>0</v>
      </c>
      <c r="R219" s="85">
        <v>0</v>
      </c>
      <c r="S219" s="85">
        <v>0</v>
      </c>
      <c r="T219" s="85">
        <v>0</v>
      </c>
      <c r="U219" s="85">
        <v>0</v>
      </c>
      <c r="V219" s="85">
        <v>0</v>
      </c>
      <c r="W219" s="85">
        <v>0</v>
      </c>
      <c r="X219" s="85">
        <v>0</v>
      </c>
      <c r="Y219" s="85">
        <v>0</v>
      </c>
      <c r="Z219" s="85">
        <v>0</v>
      </c>
      <c r="AA219" s="85">
        <v>0</v>
      </c>
      <c r="AB219" s="85">
        <v>0</v>
      </c>
      <c r="AC219" s="85">
        <v>0</v>
      </c>
      <c r="AD219" s="85"/>
    </row>
    <row r="220" spans="1:30">
      <c r="A220" s="82" t="s">
        <v>756</v>
      </c>
      <c r="B220" s="87" t="s">
        <v>405</v>
      </c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>
        <f>0.9*0.025</f>
        <v>2.2500000000000003E-2</v>
      </c>
      <c r="W220" s="85">
        <f>2.1*0.025</f>
        <v>5.2500000000000005E-2</v>
      </c>
      <c r="X220" s="85">
        <v>0</v>
      </c>
      <c r="Y220" s="85">
        <v>0</v>
      </c>
      <c r="Z220" s="85">
        <v>0</v>
      </c>
      <c r="AA220" s="85">
        <v>0</v>
      </c>
      <c r="AB220" s="85">
        <v>0</v>
      </c>
      <c r="AC220" s="85">
        <v>0</v>
      </c>
      <c r="AD220" s="85"/>
    </row>
    <row r="221" spans="1:30">
      <c r="A221" s="82" t="s">
        <v>756</v>
      </c>
      <c r="B221" s="87" t="s">
        <v>406</v>
      </c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>
        <f>0.9*0.033</f>
        <v>2.9700000000000001E-2</v>
      </c>
      <c r="W221" s="85">
        <f>2.1*0.033</f>
        <v>6.93E-2</v>
      </c>
      <c r="X221" s="85">
        <v>0</v>
      </c>
      <c r="Y221" s="85">
        <v>0</v>
      </c>
      <c r="Z221" s="85">
        <v>0</v>
      </c>
      <c r="AA221" s="85">
        <v>0</v>
      </c>
      <c r="AB221" s="85">
        <v>0</v>
      </c>
      <c r="AC221" s="85">
        <v>0</v>
      </c>
      <c r="AD221" s="85"/>
    </row>
    <row r="222" spans="1:30">
      <c r="A222" s="82" t="s">
        <v>503</v>
      </c>
      <c r="B222" s="83" t="s">
        <v>597</v>
      </c>
      <c r="C222" s="84" t="s">
        <v>680</v>
      </c>
      <c r="D222" s="84" t="s">
        <v>680</v>
      </c>
      <c r="E222" s="85">
        <v>0</v>
      </c>
      <c r="F222" s="85">
        <v>0</v>
      </c>
      <c r="G222" s="84" t="s">
        <v>680</v>
      </c>
      <c r="H222" s="84" t="s">
        <v>680</v>
      </c>
      <c r="I222" s="84" t="s">
        <v>680</v>
      </c>
      <c r="J222" s="84" t="s">
        <v>680</v>
      </c>
      <c r="K222" s="85">
        <v>0</v>
      </c>
      <c r="L222" s="85">
        <v>0</v>
      </c>
      <c r="M222" s="85"/>
      <c r="N222" s="85">
        <v>0</v>
      </c>
      <c r="O222" s="85">
        <v>0</v>
      </c>
      <c r="P222" s="85">
        <v>0</v>
      </c>
      <c r="Q222" s="85">
        <f>0.5*0.02</f>
        <v>0.01</v>
      </c>
      <c r="R222" s="85">
        <v>0</v>
      </c>
      <c r="S222" s="85">
        <v>0</v>
      </c>
      <c r="T222" s="85">
        <v>0</v>
      </c>
      <c r="U222" s="85">
        <f>0.02*0.02</f>
        <v>4.0000000000000002E-4</v>
      </c>
      <c r="V222" s="85">
        <v>0</v>
      </c>
      <c r="W222" s="85">
        <v>0</v>
      </c>
      <c r="X222" s="85">
        <v>0</v>
      </c>
      <c r="Y222" s="85">
        <v>0</v>
      </c>
      <c r="Z222" s="85">
        <v>0</v>
      </c>
      <c r="AA222" s="85">
        <v>0</v>
      </c>
      <c r="AB222" s="85">
        <v>0</v>
      </c>
      <c r="AC222" s="85">
        <v>0</v>
      </c>
      <c r="AD222" s="85"/>
    </row>
    <row r="223" spans="1:30">
      <c r="A223" s="82" t="s">
        <v>503</v>
      </c>
      <c r="B223" s="83" t="s">
        <v>600</v>
      </c>
      <c r="C223" s="84" t="s">
        <v>680</v>
      </c>
      <c r="D223" s="84" t="s">
        <v>680</v>
      </c>
      <c r="E223" s="85">
        <v>0</v>
      </c>
      <c r="F223" s="85">
        <v>0</v>
      </c>
      <c r="G223" s="84" t="s">
        <v>680</v>
      </c>
      <c r="H223" s="84" t="s">
        <v>680</v>
      </c>
      <c r="I223" s="84" t="s">
        <v>680</v>
      </c>
      <c r="J223" s="84" t="s">
        <v>680</v>
      </c>
      <c r="K223" s="85">
        <v>0</v>
      </c>
      <c r="L223" s="85">
        <v>0</v>
      </c>
      <c r="M223" s="85"/>
      <c r="N223" s="85">
        <v>0</v>
      </c>
      <c r="O223" s="85">
        <v>0</v>
      </c>
      <c r="P223" s="85">
        <v>0</v>
      </c>
      <c r="Q223" s="85">
        <v>0</v>
      </c>
      <c r="R223" s="85">
        <v>0</v>
      </c>
      <c r="S223" s="85">
        <v>0</v>
      </c>
      <c r="T223" s="85">
        <v>0</v>
      </c>
      <c r="U223" s="85">
        <v>0</v>
      </c>
      <c r="V223" s="85">
        <v>0</v>
      </c>
      <c r="W223" s="85">
        <v>0</v>
      </c>
      <c r="X223" s="85">
        <v>0</v>
      </c>
      <c r="Y223" s="85">
        <v>0</v>
      </c>
      <c r="Z223" s="85">
        <v>0</v>
      </c>
      <c r="AA223" s="85">
        <v>0</v>
      </c>
      <c r="AB223" s="85">
        <v>0</v>
      </c>
      <c r="AC223" s="85">
        <v>0</v>
      </c>
      <c r="AD223" s="85"/>
    </row>
    <row r="224" spans="1:30">
      <c r="A224" s="82" t="s">
        <v>503</v>
      </c>
      <c r="B224" s="83" t="s">
        <v>595</v>
      </c>
      <c r="C224" s="84" t="s">
        <v>680</v>
      </c>
      <c r="D224" s="84" t="s">
        <v>680</v>
      </c>
      <c r="E224" s="85">
        <v>0</v>
      </c>
      <c r="F224" s="85">
        <v>0</v>
      </c>
      <c r="G224" s="84" t="s">
        <v>680</v>
      </c>
      <c r="H224" s="84" t="s">
        <v>680</v>
      </c>
      <c r="I224" s="84" t="s">
        <v>680</v>
      </c>
      <c r="J224" s="84" t="s">
        <v>680</v>
      </c>
      <c r="K224" s="85">
        <v>0</v>
      </c>
      <c r="L224" s="85">
        <v>0</v>
      </c>
      <c r="M224" s="85"/>
      <c r="N224" s="85">
        <v>0</v>
      </c>
      <c r="O224" s="85">
        <v>0</v>
      </c>
      <c r="P224" s="85">
        <v>0</v>
      </c>
      <c r="Q224" s="85">
        <v>0</v>
      </c>
      <c r="R224" s="85">
        <v>0</v>
      </c>
      <c r="S224" s="85">
        <v>0</v>
      </c>
      <c r="T224" s="85">
        <v>0</v>
      </c>
      <c r="U224" s="85">
        <f>0.04*0.11</f>
        <v>4.4000000000000003E-3</v>
      </c>
      <c r="V224" s="85">
        <f>0.04*0.11</f>
        <v>4.4000000000000003E-3</v>
      </c>
      <c r="W224" s="85">
        <v>0</v>
      </c>
      <c r="X224" s="85">
        <v>0</v>
      </c>
      <c r="Y224" s="85">
        <v>0</v>
      </c>
      <c r="Z224" s="85">
        <v>0</v>
      </c>
      <c r="AA224" s="85">
        <v>0</v>
      </c>
      <c r="AB224" s="85">
        <v>0</v>
      </c>
      <c r="AC224" s="85">
        <v>0</v>
      </c>
      <c r="AD224" s="85"/>
    </row>
    <row r="225" spans="1:30">
      <c r="A225" s="82" t="s">
        <v>503</v>
      </c>
      <c r="B225" s="83" t="s">
        <v>700</v>
      </c>
      <c r="C225" s="84"/>
      <c r="D225" s="84"/>
      <c r="E225" s="85"/>
      <c r="F225" s="85"/>
      <c r="G225" s="84"/>
      <c r="H225" s="84"/>
      <c r="I225" s="84"/>
      <c r="J225" s="84"/>
      <c r="K225" s="85"/>
      <c r="L225" s="85"/>
      <c r="M225" s="85"/>
      <c r="N225" s="85"/>
      <c r="O225" s="85"/>
      <c r="P225" s="85"/>
      <c r="Q225" s="85">
        <f>0.5*0.11</f>
        <v>5.5E-2</v>
      </c>
      <c r="R225" s="85">
        <v>0</v>
      </c>
      <c r="S225" s="85">
        <v>0</v>
      </c>
      <c r="T225" s="85">
        <v>0</v>
      </c>
      <c r="U225" s="85">
        <v>0</v>
      </c>
      <c r="V225" s="85">
        <v>0</v>
      </c>
      <c r="W225" s="85">
        <v>0</v>
      </c>
      <c r="X225" s="85">
        <v>0</v>
      </c>
      <c r="Y225" s="85">
        <v>0</v>
      </c>
      <c r="Z225" s="85">
        <v>0</v>
      </c>
      <c r="AA225" s="85">
        <v>0</v>
      </c>
      <c r="AB225" s="85">
        <v>0</v>
      </c>
      <c r="AC225" s="85">
        <v>0</v>
      </c>
      <c r="AD225" s="85"/>
    </row>
    <row r="226" spans="1:30">
      <c r="A226" s="82" t="s">
        <v>503</v>
      </c>
      <c r="B226" s="83" t="s">
        <v>596</v>
      </c>
      <c r="C226" s="84" t="s">
        <v>680</v>
      </c>
      <c r="D226" s="84" t="s">
        <v>680</v>
      </c>
      <c r="E226" s="85">
        <v>0</v>
      </c>
      <c r="F226" s="85">
        <v>0</v>
      </c>
      <c r="G226" s="84" t="s">
        <v>680</v>
      </c>
      <c r="H226" s="84" t="s">
        <v>680</v>
      </c>
      <c r="I226" s="84" t="s">
        <v>680</v>
      </c>
      <c r="J226" s="84" t="s">
        <v>680</v>
      </c>
      <c r="K226" s="85">
        <v>0</v>
      </c>
      <c r="L226" s="85">
        <v>0</v>
      </c>
      <c r="M226" s="85"/>
      <c r="N226" s="85">
        <v>0</v>
      </c>
      <c r="O226" s="85">
        <v>0</v>
      </c>
      <c r="P226" s="85">
        <v>0</v>
      </c>
      <c r="Q226" s="85">
        <v>0</v>
      </c>
      <c r="R226" s="85">
        <v>0</v>
      </c>
      <c r="S226" s="85">
        <v>0</v>
      </c>
      <c r="T226" s="85">
        <v>0</v>
      </c>
      <c r="U226" s="85">
        <v>0</v>
      </c>
      <c r="V226" s="85">
        <v>0</v>
      </c>
      <c r="W226" s="85">
        <v>0</v>
      </c>
      <c r="X226" s="85">
        <v>0</v>
      </c>
      <c r="Y226" s="85">
        <v>0</v>
      </c>
      <c r="Z226" s="85">
        <v>0</v>
      </c>
      <c r="AA226" s="85">
        <v>0</v>
      </c>
      <c r="AB226" s="85">
        <v>0</v>
      </c>
      <c r="AC226" s="85">
        <v>0</v>
      </c>
      <c r="AD226" s="85"/>
    </row>
    <row r="227" spans="1:30">
      <c r="A227" s="82" t="s">
        <v>503</v>
      </c>
      <c r="B227" s="83" t="s">
        <v>594</v>
      </c>
      <c r="C227" s="84" t="s">
        <v>680</v>
      </c>
      <c r="D227" s="84" t="s">
        <v>680</v>
      </c>
      <c r="E227" s="85">
        <f>84.845*0.055</f>
        <v>4.6664750000000002</v>
      </c>
      <c r="F227" s="85">
        <f>152.933*0.055</f>
        <v>8.4113150000000001</v>
      </c>
      <c r="G227" s="84" t="s">
        <v>680</v>
      </c>
      <c r="H227" s="84" t="s">
        <v>680</v>
      </c>
      <c r="I227" s="84" t="s">
        <v>680</v>
      </c>
      <c r="J227" s="84" t="s">
        <v>680</v>
      </c>
      <c r="K227" s="85">
        <f>49.5*0.055</f>
        <v>2.7225000000000001</v>
      </c>
      <c r="L227" s="85">
        <f>49.5*0.055</f>
        <v>2.7225000000000001</v>
      </c>
      <c r="M227" s="85"/>
      <c r="N227" s="85">
        <v>0</v>
      </c>
      <c r="O227" s="85">
        <v>0</v>
      </c>
      <c r="P227" s="85">
        <f>220*0.055</f>
        <v>12.1</v>
      </c>
      <c r="Q227" s="85">
        <f>1120*0.055</f>
        <v>61.6</v>
      </c>
      <c r="R227" s="85">
        <f>1198.4*0.055</f>
        <v>65.912000000000006</v>
      </c>
      <c r="S227" s="85">
        <f>1078.5*0.055</f>
        <v>59.317500000000003</v>
      </c>
      <c r="T227" s="85">
        <f>932*0.055</f>
        <v>51.26</v>
      </c>
      <c r="U227" s="85">
        <f>985.39*0.055</f>
        <v>54.196449999999999</v>
      </c>
      <c r="V227" s="85">
        <f>961.61*0.055</f>
        <v>52.888550000000002</v>
      </c>
      <c r="W227" s="85">
        <f>932*0.055</f>
        <v>51.26</v>
      </c>
      <c r="X227" s="85">
        <f>892.32*0.055</f>
        <v>49.077600000000004</v>
      </c>
      <c r="Y227" s="85">
        <f>855*0.055</f>
        <v>47.024999999999999</v>
      </c>
      <c r="Z227" s="85">
        <f>819.03*0.055</f>
        <v>45.04665</v>
      </c>
      <c r="AA227" s="85">
        <f>752.03*0.055</f>
        <v>41.361649999999997</v>
      </c>
      <c r="AB227" s="85">
        <f>700*0.055</f>
        <v>38.5</v>
      </c>
      <c r="AC227" s="85">
        <f>651.57*0.055</f>
        <v>35.836350000000003</v>
      </c>
      <c r="AD227" s="85"/>
    </row>
    <row r="228" spans="1:30">
      <c r="A228" s="82" t="s">
        <v>503</v>
      </c>
      <c r="B228" s="87" t="s">
        <v>643</v>
      </c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>
        <v>0</v>
      </c>
      <c r="O228" s="85">
        <v>0</v>
      </c>
      <c r="P228" s="85">
        <v>0</v>
      </c>
      <c r="Q228" s="85">
        <v>0</v>
      </c>
      <c r="R228" s="85">
        <v>0</v>
      </c>
      <c r="S228" s="85">
        <v>0</v>
      </c>
      <c r="T228" s="85">
        <v>0</v>
      </c>
      <c r="U228" s="85">
        <v>0</v>
      </c>
      <c r="V228" s="85">
        <v>0</v>
      </c>
      <c r="W228" s="85">
        <v>0</v>
      </c>
      <c r="X228" s="85">
        <v>0</v>
      </c>
      <c r="Y228" s="85">
        <v>0</v>
      </c>
      <c r="Z228" s="85">
        <v>0</v>
      </c>
      <c r="AA228" s="85">
        <v>0</v>
      </c>
      <c r="AB228" s="85">
        <v>0</v>
      </c>
      <c r="AC228" s="85">
        <v>0</v>
      </c>
      <c r="AD228" s="85"/>
    </row>
    <row r="229" spans="1:30">
      <c r="A229" s="82" t="s">
        <v>661</v>
      </c>
      <c r="B229" s="83" t="s">
        <v>597</v>
      </c>
      <c r="C229" s="85">
        <v>0</v>
      </c>
      <c r="D229" s="85">
        <v>0</v>
      </c>
      <c r="E229" s="85">
        <v>0</v>
      </c>
      <c r="F229" s="85">
        <v>0</v>
      </c>
      <c r="G229" s="85">
        <v>0</v>
      </c>
      <c r="H229" s="85">
        <v>0</v>
      </c>
      <c r="I229" s="85">
        <v>0</v>
      </c>
      <c r="J229" s="94">
        <v>0</v>
      </c>
      <c r="K229" s="85">
        <v>0</v>
      </c>
      <c r="L229" s="85">
        <v>0</v>
      </c>
      <c r="M229" s="85">
        <v>0</v>
      </c>
      <c r="N229" s="85">
        <v>0</v>
      </c>
      <c r="O229" s="85">
        <v>0</v>
      </c>
      <c r="P229" s="88">
        <v>0</v>
      </c>
      <c r="Q229" s="88">
        <v>0</v>
      </c>
      <c r="R229" s="85">
        <f>0.61*0.02</f>
        <v>1.2200000000000001E-2</v>
      </c>
      <c r="S229" s="85">
        <v>0</v>
      </c>
      <c r="T229" s="88">
        <v>0</v>
      </c>
      <c r="U229" s="85">
        <v>0</v>
      </c>
      <c r="V229" s="85">
        <v>0</v>
      </c>
      <c r="W229" s="85"/>
      <c r="X229" s="85"/>
      <c r="Y229" s="85"/>
      <c r="Z229" s="85"/>
      <c r="AA229" s="85"/>
      <c r="AB229" s="85"/>
      <c r="AC229" s="85"/>
      <c r="AD229" s="85"/>
    </row>
    <row r="230" spans="1:30">
      <c r="A230" s="82" t="s">
        <v>661</v>
      </c>
      <c r="B230" s="83" t="s">
        <v>600</v>
      </c>
      <c r="C230" s="85">
        <v>0</v>
      </c>
      <c r="D230" s="85">
        <v>0</v>
      </c>
      <c r="E230" s="85">
        <v>0</v>
      </c>
      <c r="F230" s="85">
        <v>0</v>
      </c>
      <c r="G230" s="85">
        <v>0</v>
      </c>
      <c r="H230" s="85">
        <v>0</v>
      </c>
      <c r="I230" s="85">
        <v>0</v>
      </c>
      <c r="J230" s="94">
        <v>0</v>
      </c>
      <c r="K230" s="85">
        <v>0</v>
      </c>
      <c r="L230" s="85">
        <v>0</v>
      </c>
      <c r="M230" s="85">
        <v>0</v>
      </c>
      <c r="N230" s="85">
        <v>0</v>
      </c>
      <c r="O230" s="85">
        <v>0</v>
      </c>
      <c r="P230" s="85">
        <v>0</v>
      </c>
      <c r="Q230" s="85">
        <v>0</v>
      </c>
      <c r="R230" s="85">
        <v>0</v>
      </c>
      <c r="S230" s="85">
        <v>0</v>
      </c>
      <c r="T230" s="85">
        <v>0</v>
      </c>
      <c r="U230" s="85">
        <v>0</v>
      </c>
      <c r="V230" s="85">
        <v>0</v>
      </c>
      <c r="W230" s="85"/>
      <c r="X230" s="85"/>
      <c r="Y230" s="85"/>
      <c r="Z230" s="85"/>
      <c r="AA230" s="85"/>
      <c r="AB230" s="85"/>
      <c r="AC230" s="85"/>
      <c r="AD230" s="85"/>
    </row>
    <row r="231" spans="1:30">
      <c r="A231" s="82" t="s">
        <v>661</v>
      </c>
      <c r="B231" s="83" t="s">
        <v>595</v>
      </c>
      <c r="C231" s="85">
        <v>0</v>
      </c>
      <c r="D231" s="85">
        <v>0</v>
      </c>
      <c r="E231" s="85">
        <v>0</v>
      </c>
      <c r="F231" s="85">
        <f>4.67*0.11</f>
        <v>0.51370000000000005</v>
      </c>
      <c r="G231" s="85">
        <f>0.94*0.11</f>
        <v>0.10339999999999999</v>
      </c>
      <c r="H231" s="85">
        <f>1.88*0.11</f>
        <v>0.20679999999999998</v>
      </c>
      <c r="I231" s="85">
        <f>56.51*0.11</f>
        <v>6.2161</v>
      </c>
      <c r="J231" s="94">
        <v>1.0164</v>
      </c>
      <c r="K231" s="85">
        <v>0</v>
      </c>
      <c r="L231" s="85">
        <f>8.93*0.11</f>
        <v>0.98229999999999995</v>
      </c>
      <c r="M231" s="85">
        <f>(20-7.85)*0.11</f>
        <v>1.3365</v>
      </c>
      <c r="N231" s="85">
        <f>(30-7)*0.11</f>
        <v>2.5299999999999998</v>
      </c>
      <c r="O231" s="85">
        <f>(41.5-10)*0.11</f>
        <v>3.4649999999999999</v>
      </c>
      <c r="P231" s="88">
        <f>(57-29)*0.11</f>
        <v>3.08</v>
      </c>
      <c r="Q231" s="88">
        <f>-2*0.11</f>
        <v>-0.22</v>
      </c>
      <c r="R231" s="85">
        <v>0</v>
      </c>
      <c r="S231" s="85">
        <f>0.5*0.11</f>
        <v>5.5E-2</v>
      </c>
      <c r="T231" s="88">
        <v>0</v>
      </c>
      <c r="U231" s="85">
        <v>0</v>
      </c>
      <c r="V231" s="85">
        <v>0</v>
      </c>
      <c r="W231" s="85"/>
      <c r="X231" s="85"/>
      <c r="Y231" s="85"/>
      <c r="Z231" s="85"/>
      <c r="AA231" s="85"/>
      <c r="AB231" s="85"/>
      <c r="AC231" s="85"/>
      <c r="AD231" s="85"/>
    </row>
    <row r="232" spans="1:30">
      <c r="A232" s="82" t="s">
        <v>661</v>
      </c>
      <c r="B232" s="83" t="s">
        <v>596</v>
      </c>
      <c r="C232" s="85">
        <v>0</v>
      </c>
      <c r="D232" s="85">
        <f>8*0.065</f>
        <v>0.52</v>
      </c>
      <c r="E232" s="85">
        <f>16.32*0.065</f>
        <v>1.0608</v>
      </c>
      <c r="F232" s="85">
        <v>0</v>
      </c>
      <c r="G232" s="85">
        <v>0</v>
      </c>
      <c r="H232" s="85">
        <v>0</v>
      </c>
      <c r="I232" s="85">
        <v>0</v>
      </c>
      <c r="J232" s="94">
        <v>0</v>
      </c>
      <c r="K232" s="85">
        <v>0</v>
      </c>
      <c r="L232" s="85">
        <v>0</v>
      </c>
      <c r="M232" s="85">
        <v>0</v>
      </c>
      <c r="N232" s="85">
        <v>0</v>
      </c>
      <c r="O232" s="85">
        <v>0</v>
      </c>
      <c r="P232" s="88">
        <f>2.23*0.065</f>
        <v>0.14495</v>
      </c>
      <c r="Q232" s="88">
        <f>(2.34-1.53)*0.065</f>
        <v>5.2649999999999988E-2</v>
      </c>
      <c r="R232" s="85">
        <f>(5.07-3.23)*0.065</f>
        <v>0.11960000000000003</v>
      </c>
      <c r="S232" s="85">
        <f>(4.39-3.61)*0.065</f>
        <v>5.0699999999999988E-2</v>
      </c>
      <c r="T232" s="88">
        <f>(2.87-1.62)*0.065</f>
        <v>8.1250000000000003E-2</v>
      </c>
      <c r="U232" s="85">
        <v>0</v>
      </c>
      <c r="V232" s="85">
        <v>0</v>
      </c>
      <c r="W232" s="85"/>
      <c r="X232" s="85"/>
      <c r="Y232" s="85"/>
      <c r="Z232" s="85"/>
      <c r="AA232" s="85"/>
      <c r="AB232" s="85"/>
      <c r="AC232" s="85"/>
      <c r="AD232" s="85"/>
    </row>
    <row r="233" spans="1:30">
      <c r="A233" s="82" t="s">
        <v>661</v>
      </c>
      <c r="B233" s="83" t="s">
        <v>594</v>
      </c>
      <c r="C233" s="85">
        <f>80*0.055</f>
        <v>4.4000000000000004</v>
      </c>
      <c r="D233" s="85">
        <f>(73-0.6)*0.055</f>
        <v>3.9820000000000002</v>
      </c>
      <c r="E233" s="85">
        <f>(101.99-25.24)*0.055</f>
        <v>4.2212500000000004</v>
      </c>
      <c r="F233" s="85">
        <f>(63.24-9.36)*0.055</f>
        <v>2.9634</v>
      </c>
      <c r="G233" s="85">
        <f>(69.7-5.56)*0.055</f>
        <v>3.5276999999999998</v>
      </c>
      <c r="H233" s="85">
        <f>(121.29-8.89)*0.055</f>
        <v>6.1820000000000004</v>
      </c>
      <c r="I233" s="85">
        <f>(130.22-4.15)*0.055</f>
        <v>6.9338499999999996</v>
      </c>
      <c r="J233" s="94">
        <v>3.5538999999999996</v>
      </c>
      <c r="K233" s="85">
        <f>(76.12-40.16)*0.055</f>
        <v>1.9778000000000004</v>
      </c>
      <c r="L233" s="85">
        <f>(227.91-105.49)*0.055</f>
        <v>6.7331000000000003</v>
      </c>
      <c r="M233" s="85">
        <f>(292.065-129.665)*0.055</f>
        <v>8.9320000000000004</v>
      </c>
      <c r="N233" s="85">
        <f>(51.13-106.88)*0.055</f>
        <v>-3.0662499999999997</v>
      </c>
      <c r="O233" s="85">
        <f>(165.34-89.22)*0.055</f>
        <v>4.1866000000000003</v>
      </c>
      <c r="P233" s="88">
        <f>(150.74-73.03)*0.055</f>
        <v>4.2740500000000008</v>
      </c>
      <c r="Q233" s="88">
        <f>(165.28-79.32)*0.055</f>
        <v>4.7278000000000002</v>
      </c>
      <c r="R233" s="85">
        <f>(161.74-105.33)*0.055</f>
        <v>3.1025500000000008</v>
      </c>
      <c r="S233" s="85">
        <f>(187.38-113.58)*0.055</f>
        <v>4.0590000000000002</v>
      </c>
      <c r="T233" s="88">
        <f>(141.49-77.06)*0.055</f>
        <v>3.5436500000000004</v>
      </c>
      <c r="U233" s="85">
        <f>(15.86-45.32)*0.055</f>
        <v>-1.6203000000000001</v>
      </c>
      <c r="V233" s="85">
        <v>0</v>
      </c>
      <c r="W233" s="85"/>
      <c r="X233" s="85"/>
      <c r="Y233" s="85"/>
      <c r="Z233" s="85"/>
      <c r="AA233" s="85"/>
      <c r="AB233" s="85"/>
      <c r="AC233" s="85"/>
      <c r="AD233" s="85"/>
    </row>
    <row r="234" spans="1:30">
      <c r="A234" s="82" t="s">
        <v>661</v>
      </c>
      <c r="B234" s="87" t="s">
        <v>643</v>
      </c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>
        <v>0</v>
      </c>
      <c r="O234" s="85">
        <v>0</v>
      </c>
      <c r="P234" s="88">
        <v>0</v>
      </c>
      <c r="Q234" s="88">
        <v>0</v>
      </c>
      <c r="R234" s="85">
        <v>0</v>
      </c>
      <c r="S234" s="85">
        <v>0</v>
      </c>
      <c r="T234" s="88">
        <v>0</v>
      </c>
      <c r="U234" s="85">
        <v>0</v>
      </c>
      <c r="V234" s="85">
        <v>0</v>
      </c>
      <c r="W234" s="85"/>
      <c r="X234" s="85"/>
      <c r="Y234" s="85"/>
      <c r="Z234" s="85"/>
      <c r="AA234" s="85"/>
      <c r="AB234" s="85"/>
      <c r="AC234" s="85"/>
      <c r="AD234" s="85"/>
    </row>
    <row r="235" spans="1:30">
      <c r="A235" s="82" t="s">
        <v>662</v>
      </c>
      <c r="B235" s="83" t="s">
        <v>597</v>
      </c>
      <c r="C235" s="84" t="s">
        <v>680</v>
      </c>
      <c r="D235" s="84" t="s">
        <v>680</v>
      </c>
      <c r="E235" s="84" t="s">
        <v>680</v>
      </c>
      <c r="F235" s="85">
        <v>0</v>
      </c>
      <c r="G235" s="85">
        <v>0</v>
      </c>
      <c r="H235" s="85">
        <v>0</v>
      </c>
      <c r="I235" s="85">
        <f>1.5*0.02</f>
        <v>0.03</v>
      </c>
      <c r="J235" s="85">
        <v>0</v>
      </c>
      <c r="K235" s="88">
        <f>0.2*0.02</f>
        <v>4.0000000000000001E-3</v>
      </c>
      <c r="L235" s="85">
        <v>0</v>
      </c>
      <c r="M235" s="88">
        <f>0.14*0.02</f>
        <v>2.8000000000000004E-3</v>
      </c>
      <c r="N235" s="85">
        <v>0</v>
      </c>
      <c r="O235" s="85">
        <f>630/1000*0.02</f>
        <v>1.26E-2</v>
      </c>
      <c r="P235" s="85">
        <f>0.54*0.02</f>
        <v>1.0800000000000001E-2</v>
      </c>
      <c r="Q235" s="85">
        <v>0</v>
      </c>
      <c r="R235" s="85">
        <v>0</v>
      </c>
      <c r="S235" s="85">
        <v>0</v>
      </c>
      <c r="T235" s="85">
        <v>0</v>
      </c>
      <c r="U235" s="85">
        <v>0</v>
      </c>
      <c r="V235" s="85">
        <v>0</v>
      </c>
      <c r="W235" s="85">
        <v>0</v>
      </c>
      <c r="X235" s="85">
        <v>0</v>
      </c>
      <c r="Y235" s="85">
        <v>0</v>
      </c>
      <c r="Z235" s="85">
        <v>0</v>
      </c>
      <c r="AA235" s="85">
        <v>0</v>
      </c>
      <c r="AB235" s="85">
        <v>0</v>
      </c>
      <c r="AC235" s="85">
        <v>0</v>
      </c>
      <c r="AD235" s="85"/>
    </row>
    <row r="236" spans="1:30">
      <c r="A236" s="82" t="s">
        <v>662</v>
      </c>
      <c r="B236" s="83" t="s">
        <v>600</v>
      </c>
      <c r="C236" s="84" t="s">
        <v>680</v>
      </c>
      <c r="D236" s="84" t="s">
        <v>680</v>
      </c>
      <c r="E236" s="84" t="s">
        <v>680</v>
      </c>
      <c r="F236" s="85">
        <v>0</v>
      </c>
      <c r="G236" s="85">
        <v>0</v>
      </c>
      <c r="H236" s="85">
        <v>0</v>
      </c>
      <c r="I236" s="85">
        <v>0</v>
      </c>
      <c r="J236" s="85">
        <v>0</v>
      </c>
      <c r="K236" s="85">
        <v>0</v>
      </c>
      <c r="L236" s="85">
        <v>0</v>
      </c>
      <c r="M236" s="85">
        <v>0</v>
      </c>
      <c r="N236" s="85">
        <v>0</v>
      </c>
      <c r="O236" s="85">
        <v>0</v>
      </c>
      <c r="P236" s="85">
        <f>0.34*0.022</f>
        <v>7.4799999999999997E-3</v>
      </c>
      <c r="Q236" s="85">
        <f>0.37*0.022</f>
        <v>8.1399999999999997E-3</v>
      </c>
      <c r="R236" s="85">
        <f>0.83*0.022</f>
        <v>1.8259999999999998E-2</v>
      </c>
      <c r="S236" s="85">
        <f>0.63*0.022</f>
        <v>1.3859999999999999E-2</v>
      </c>
      <c r="T236" s="85">
        <v>0</v>
      </c>
      <c r="U236" s="85">
        <v>0</v>
      </c>
      <c r="V236" s="85">
        <v>0</v>
      </c>
      <c r="W236" s="85">
        <v>0</v>
      </c>
      <c r="X236" s="85">
        <v>0</v>
      </c>
      <c r="Y236" s="85">
        <v>0</v>
      </c>
      <c r="Z236" s="85">
        <v>0</v>
      </c>
      <c r="AA236" s="85">
        <f>0.22*0.022</f>
        <v>4.8399999999999997E-3</v>
      </c>
      <c r="AB236" s="85">
        <f>0.375*0.022</f>
        <v>8.2500000000000004E-3</v>
      </c>
      <c r="AC236" s="85">
        <v>0</v>
      </c>
      <c r="AD236" s="85"/>
    </row>
    <row r="237" spans="1:30">
      <c r="A237" s="82" t="s">
        <v>662</v>
      </c>
      <c r="B237" s="83" t="s">
        <v>595</v>
      </c>
      <c r="C237" s="84" t="s">
        <v>680</v>
      </c>
      <c r="D237" s="84" t="s">
        <v>680</v>
      </c>
      <c r="E237" s="84" t="s">
        <v>680</v>
      </c>
      <c r="F237" s="85">
        <f>0.9*0.11</f>
        <v>9.9000000000000005E-2</v>
      </c>
      <c r="G237" s="85">
        <v>0</v>
      </c>
      <c r="H237" s="85">
        <f>10*0.11</f>
        <v>1.1000000000000001</v>
      </c>
      <c r="I237" s="85">
        <f>0.5*0.11</f>
        <v>5.5E-2</v>
      </c>
      <c r="J237" s="85">
        <v>0</v>
      </c>
      <c r="K237" s="85">
        <v>0</v>
      </c>
      <c r="L237" s="85">
        <v>0</v>
      </c>
      <c r="M237" s="85">
        <v>0</v>
      </c>
      <c r="N237" s="85">
        <f>0.47*0.11</f>
        <v>5.1699999999999996E-2</v>
      </c>
      <c r="O237" s="85">
        <f>13260/1000*0.11</f>
        <v>1.4585999999999999</v>
      </c>
      <c r="P237" s="85">
        <v>0</v>
      </c>
      <c r="Q237" s="85">
        <f>0.22*0.065</f>
        <v>1.43E-2</v>
      </c>
      <c r="R237" s="85">
        <f>38.65*0.11</f>
        <v>4.2515000000000001</v>
      </c>
      <c r="S237" s="85">
        <f>6.57*0.11</f>
        <v>0.72270000000000001</v>
      </c>
      <c r="T237" s="85">
        <f>16*0.11</f>
        <v>1.76</v>
      </c>
      <c r="U237" s="85">
        <v>0</v>
      </c>
      <c r="V237" s="85">
        <v>0</v>
      </c>
      <c r="W237" s="85">
        <v>0</v>
      </c>
      <c r="X237" s="85">
        <v>0</v>
      </c>
      <c r="Y237" s="85">
        <v>0</v>
      </c>
      <c r="Z237" s="85">
        <v>0</v>
      </c>
      <c r="AA237" s="85">
        <v>0</v>
      </c>
      <c r="AB237" s="85">
        <v>0</v>
      </c>
      <c r="AC237" s="85">
        <v>0</v>
      </c>
      <c r="AD237" s="85"/>
    </row>
    <row r="238" spans="1:30">
      <c r="A238" s="82" t="s">
        <v>662</v>
      </c>
      <c r="B238" s="83" t="s">
        <v>700</v>
      </c>
      <c r="C238" s="84"/>
      <c r="D238" s="84"/>
      <c r="E238" s="84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>
        <f>6*0.11</f>
        <v>0.66</v>
      </c>
      <c r="U238" s="85">
        <f>2*0.11</f>
        <v>0.22</v>
      </c>
      <c r="V238" s="85">
        <f>5.97*0.11</f>
        <v>0.65669999999999995</v>
      </c>
      <c r="W238" s="85">
        <f>2*0.11</f>
        <v>0.22</v>
      </c>
      <c r="X238" s="85">
        <v>0</v>
      </c>
      <c r="Y238" s="85">
        <v>0</v>
      </c>
      <c r="Z238" s="85">
        <v>0</v>
      </c>
      <c r="AA238" s="85">
        <v>0</v>
      </c>
      <c r="AB238" s="85">
        <v>0</v>
      </c>
      <c r="AC238" s="85">
        <v>0</v>
      </c>
      <c r="AD238" s="85"/>
    </row>
    <row r="239" spans="1:30">
      <c r="A239" s="82" t="s">
        <v>662</v>
      </c>
      <c r="B239" s="83" t="s">
        <v>596</v>
      </c>
      <c r="C239" s="84" t="s">
        <v>680</v>
      </c>
      <c r="D239" s="84" t="s">
        <v>680</v>
      </c>
      <c r="E239" s="84" t="s">
        <v>680</v>
      </c>
      <c r="F239" s="85">
        <v>0</v>
      </c>
      <c r="G239" s="85">
        <v>0</v>
      </c>
      <c r="H239" s="85">
        <v>0</v>
      </c>
      <c r="I239" s="85">
        <v>0</v>
      </c>
      <c r="J239" s="85">
        <f>0.44*0.065</f>
        <v>2.86E-2</v>
      </c>
      <c r="K239" s="85">
        <v>0</v>
      </c>
      <c r="L239" s="85">
        <v>0</v>
      </c>
      <c r="M239" s="85">
        <v>0</v>
      </c>
      <c r="N239" s="85">
        <v>0</v>
      </c>
      <c r="O239" s="85">
        <v>0</v>
      </c>
      <c r="P239" s="85">
        <f>9.19*0.065</f>
        <v>0.59734999999999994</v>
      </c>
      <c r="Q239" s="85">
        <f>8.57*0.11</f>
        <v>0.94269999999999998</v>
      </c>
      <c r="R239" s="85">
        <f>0.5*0.065</f>
        <v>3.2500000000000001E-2</v>
      </c>
      <c r="S239" s="85">
        <f>0.38*0.065</f>
        <v>2.47E-2</v>
      </c>
      <c r="T239" s="85">
        <v>0</v>
      </c>
      <c r="U239" s="85">
        <v>0</v>
      </c>
      <c r="V239" s="85">
        <v>0</v>
      </c>
      <c r="W239" s="85">
        <v>0</v>
      </c>
      <c r="X239" s="85">
        <v>0</v>
      </c>
      <c r="Y239" s="85">
        <v>0</v>
      </c>
      <c r="Z239" s="85">
        <v>0</v>
      </c>
      <c r="AA239" s="85">
        <f>0.13*0.065</f>
        <v>8.4500000000000009E-3</v>
      </c>
      <c r="AB239" s="85">
        <f>0.225*0.065</f>
        <v>1.4625000000000001E-2</v>
      </c>
      <c r="AC239" s="85">
        <v>0</v>
      </c>
      <c r="AD239" s="85"/>
    </row>
    <row r="240" spans="1:30">
      <c r="A240" s="82" t="s">
        <v>662</v>
      </c>
      <c r="B240" s="83" t="s">
        <v>594</v>
      </c>
      <c r="C240" s="84" t="s">
        <v>680</v>
      </c>
      <c r="D240" s="84" t="s">
        <v>680</v>
      </c>
      <c r="E240" s="84" t="s">
        <v>680</v>
      </c>
      <c r="F240" s="85">
        <f>171.07*0.055</f>
        <v>9.4088499999999993</v>
      </c>
      <c r="G240" s="85">
        <f>211.83*0.055</f>
        <v>11.650650000000001</v>
      </c>
      <c r="H240" s="85">
        <f>153.36*0.055</f>
        <v>8.434800000000001</v>
      </c>
      <c r="I240" s="85">
        <f>181.9*0.055</f>
        <v>10.0045</v>
      </c>
      <c r="J240" s="85">
        <f>83*0.055</f>
        <v>4.5650000000000004</v>
      </c>
      <c r="K240" s="85">
        <f>64.72*0.055</f>
        <v>3.5596000000000001</v>
      </c>
      <c r="L240" s="85">
        <f>123*0.055</f>
        <v>6.7649999999999997</v>
      </c>
      <c r="M240" s="85">
        <f>293.64*0.055</f>
        <v>16.150199999999998</v>
      </c>
      <c r="N240" s="85">
        <f>286.99*0.055</f>
        <v>15.784450000000001</v>
      </c>
      <c r="O240" s="85">
        <f>235654.52/1000*0.055</f>
        <v>12.9609986</v>
      </c>
      <c r="P240" s="85">
        <f>(230.35-0.14)*0.055</f>
        <v>12.66155</v>
      </c>
      <c r="Q240" s="85">
        <f>195.12*0.055</f>
        <v>10.7316</v>
      </c>
      <c r="R240" s="85">
        <f>322.97*0.055</f>
        <v>17.763350000000003</v>
      </c>
      <c r="S240" s="85">
        <f>(245*0.055)</f>
        <v>13.475</v>
      </c>
      <c r="T240" s="85">
        <f>226*0.055</f>
        <v>12.43</v>
      </c>
      <c r="U240" s="85">
        <f>221*0.055</f>
        <v>12.154999999999999</v>
      </c>
      <c r="V240" s="85">
        <f>239*0.055</f>
        <v>13.145</v>
      </c>
      <c r="W240" s="85">
        <f>239*0.055</f>
        <v>13.145</v>
      </c>
      <c r="X240" s="85">
        <f>229*0.055</f>
        <v>12.595000000000001</v>
      </c>
      <c r="Y240" s="85">
        <f>173*0.055</f>
        <v>9.5150000000000006</v>
      </c>
      <c r="Z240" s="85">
        <f>177*0.055</f>
        <v>9.7349999999999994</v>
      </c>
      <c r="AA240" s="85">
        <f>113.32*0.055</f>
        <v>6.2325999999999997</v>
      </c>
      <c r="AB240" s="85">
        <f>(23.84+0.9)*0.055</f>
        <v>1.3607</v>
      </c>
      <c r="AC240" s="85">
        <f>14.9*0.055</f>
        <v>0.81950000000000001</v>
      </c>
      <c r="AD240" s="85"/>
    </row>
    <row r="241" spans="1:30">
      <c r="A241" s="82" t="s">
        <v>662</v>
      </c>
      <c r="B241" s="87" t="s">
        <v>643</v>
      </c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>
        <v>0</v>
      </c>
      <c r="O241" s="85">
        <v>0</v>
      </c>
      <c r="P241" s="85">
        <v>0</v>
      </c>
      <c r="Q241" s="85">
        <v>0</v>
      </c>
      <c r="R241" s="85">
        <v>0</v>
      </c>
      <c r="S241" s="85">
        <v>0</v>
      </c>
      <c r="T241" s="85">
        <v>0</v>
      </c>
      <c r="U241" s="85">
        <v>0</v>
      </c>
      <c r="V241" s="85">
        <v>0</v>
      </c>
      <c r="W241" s="85">
        <v>0</v>
      </c>
      <c r="X241" s="85">
        <v>0</v>
      </c>
      <c r="Y241" s="85">
        <v>0</v>
      </c>
      <c r="Z241" s="85">
        <v>0</v>
      </c>
      <c r="AA241" s="85">
        <v>0</v>
      </c>
      <c r="AB241" s="85">
        <v>0</v>
      </c>
      <c r="AC241" s="85">
        <v>0</v>
      </c>
      <c r="AD241" s="85"/>
    </row>
    <row r="242" spans="1:30">
      <c r="A242" s="82" t="s">
        <v>294</v>
      </c>
      <c r="B242" s="83" t="s">
        <v>597</v>
      </c>
      <c r="C242" s="85">
        <v>0</v>
      </c>
      <c r="D242" s="85">
        <v>0</v>
      </c>
      <c r="E242" s="85">
        <v>0</v>
      </c>
      <c r="F242" s="85">
        <v>0</v>
      </c>
      <c r="G242" s="85">
        <v>0</v>
      </c>
      <c r="H242" s="85">
        <v>0</v>
      </c>
      <c r="I242" s="85">
        <v>0</v>
      </c>
      <c r="J242" s="85">
        <v>0</v>
      </c>
      <c r="K242" s="85">
        <v>0</v>
      </c>
      <c r="L242" s="85">
        <v>0</v>
      </c>
      <c r="M242" s="85">
        <v>0</v>
      </c>
      <c r="N242" s="85">
        <v>0</v>
      </c>
      <c r="O242" s="85">
        <v>0</v>
      </c>
      <c r="P242" s="85">
        <v>0</v>
      </c>
      <c r="Q242" s="85">
        <v>0</v>
      </c>
      <c r="R242" s="85">
        <v>0</v>
      </c>
      <c r="S242" s="85">
        <v>0</v>
      </c>
      <c r="T242" s="85">
        <v>0</v>
      </c>
      <c r="U242" s="85">
        <v>0</v>
      </c>
      <c r="V242" s="85">
        <v>0</v>
      </c>
      <c r="W242" s="85">
        <v>0</v>
      </c>
      <c r="X242" s="85">
        <v>0</v>
      </c>
      <c r="Y242" s="85">
        <v>0</v>
      </c>
      <c r="Z242" s="85">
        <v>0</v>
      </c>
      <c r="AA242" s="85">
        <v>0</v>
      </c>
      <c r="AB242" s="85">
        <v>0</v>
      </c>
      <c r="AC242" s="85">
        <v>0</v>
      </c>
      <c r="AD242" s="85"/>
    </row>
    <row r="243" spans="1:30">
      <c r="A243" s="82" t="s">
        <v>294</v>
      </c>
      <c r="B243" s="83" t="s">
        <v>600</v>
      </c>
      <c r="C243" s="85">
        <v>0</v>
      </c>
      <c r="D243" s="85">
        <v>0</v>
      </c>
      <c r="E243" s="85">
        <v>0</v>
      </c>
      <c r="F243" s="85">
        <v>0</v>
      </c>
      <c r="G243" s="85">
        <v>0</v>
      </c>
      <c r="H243" s="85">
        <v>0</v>
      </c>
      <c r="I243" s="85">
        <v>0</v>
      </c>
      <c r="J243" s="85">
        <v>0</v>
      </c>
      <c r="K243" s="85">
        <v>0</v>
      </c>
      <c r="L243" s="85">
        <v>0</v>
      </c>
      <c r="M243" s="85">
        <v>0</v>
      </c>
      <c r="N243" s="85">
        <v>0</v>
      </c>
      <c r="O243" s="85">
        <v>0</v>
      </c>
      <c r="P243" s="85">
        <v>0</v>
      </c>
      <c r="Q243" s="85">
        <v>0</v>
      </c>
      <c r="R243" s="85">
        <v>0</v>
      </c>
      <c r="S243" s="85">
        <v>0</v>
      </c>
      <c r="T243" s="85">
        <v>0</v>
      </c>
      <c r="U243" s="85">
        <v>0</v>
      </c>
      <c r="V243" s="85">
        <v>0</v>
      </c>
      <c r="W243" s="85">
        <v>0</v>
      </c>
      <c r="X243" s="85">
        <v>0</v>
      </c>
      <c r="Y243" s="85">
        <v>0</v>
      </c>
      <c r="Z243" s="85">
        <v>0</v>
      </c>
      <c r="AA243" s="85">
        <v>0</v>
      </c>
      <c r="AB243" s="85">
        <v>0</v>
      </c>
      <c r="AC243" s="85">
        <v>0</v>
      </c>
      <c r="AD243" s="85"/>
    </row>
    <row r="244" spans="1:30">
      <c r="A244" s="82" t="s">
        <v>294</v>
      </c>
      <c r="B244" s="83" t="s">
        <v>595</v>
      </c>
      <c r="C244" s="85">
        <v>0</v>
      </c>
      <c r="D244" s="85">
        <v>0</v>
      </c>
      <c r="E244" s="85">
        <v>0</v>
      </c>
      <c r="F244" s="85">
        <v>0</v>
      </c>
      <c r="G244" s="85">
        <v>0</v>
      </c>
      <c r="H244" s="85">
        <v>0</v>
      </c>
      <c r="I244" s="85">
        <v>0</v>
      </c>
      <c r="J244" s="85">
        <v>0</v>
      </c>
      <c r="K244" s="85">
        <v>0</v>
      </c>
      <c r="L244" s="85">
        <v>0</v>
      </c>
      <c r="M244" s="85">
        <v>0</v>
      </c>
      <c r="N244" s="85">
        <v>0</v>
      </c>
      <c r="O244" s="85">
        <v>0</v>
      </c>
      <c r="P244" s="85">
        <f>117.6*0.11</f>
        <v>12.936</v>
      </c>
      <c r="Q244" s="85">
        <f>129*0.11</f>
        <v>14.19</v>
      </c>
      <c r="R244" s="85">
        <f>162*0.11</f>
        <v>17.82</v>
      </c>
      <c r="S244" s="85">
        <f>168*0.11</f>
        <v>18.48</v>
      </c>
      <c r="T244" s="85">
        <f>171*0.11</f>
        <v>18.809999999999999</v>
      </c>
      <c r="U244" s="85">
        <f>182*0.11</f>
        <v>20.02</v>
      </c>
      <c r="V244" s="85">
        <f>145*0.11</f>
        <v>15.95</v>
      </c>
      <c r="W244" s="85">
        <f>95*0.11</f>
        <v>10.45</v>
      </c>
      <c r="X244" s="85">
        <f>105*0.11</f>
        <v>11.55</v>
      </c>
      <c r="Y244" s="85">
        <f>99*0.11</f>
        <v>10.89</v>
      </c>
      <c r="Z244" s="85">
        <f>102*0.11</f>
        <v>11.22</v>
      </c>
      <c r="AA244" s="85">
        <f>102*0.11</f>
        <v>11.22</v>
      </c>
      <c r="AB244" s="85">
        <f>85*0.11</f>
        <v>9.35</v>
      </c>
      <c r="AC244" s="85">
        <f>71*0.11</f>
        <v>7.81</v>
      </c>
      <c r="AD244" s="85"/>
    </row>
    <row r="245" spans="1:30">
      <c r="A245" s="82" t="s">
        <v>294</v>
      </c>
      <c r="B245" s="83" t="s">
        <v>596</v>
      </c>
      <c r="C245" s="85">
        <v>0</v>
      </c>
      <c r="D245" s="85">
        <v>0</v>
      </c>
      <c r="E245" s="85">
        <v>0</v>
      </c>
      <c r="F245" s="85">
        <v>0</v>
      </c>
      <c r="G245" s="85">
        <v>0</v>
      </c>
      <c r="H245" s="85">
        <v>0</v>
      </c>
      <c r="I245" s="85">
        <v>0</v>
      </c>
      <c r="J245" s="85">
        <v>0</v>
      </c>
      <c r="K245" s="85">
        <v>0</v>
      </c>
      <c r="L245" s="85">
        <v>0</v>
      </c>
      <c r="M245" s="85">
        <v>0</v>
      </c>
      <c r="N245" s="85">
        <v>0</v>
      </c>
      <c r="O245" s="85">
        <v>0</v>
      </c>
      <c r="P245" s="85">
        <v>0</v>
      </c>
      <c r="Q245" s="85">
        <v>0</v>
      </c>
      <c r="R245" s="85">
        <v>0</v>
      </c>
      <c r="S245" s="85">
        <v>0</v>
      </c>
      <c r="T245" s="85">
        <v>0</v>
      </c>
      <c r="U245" s="85">
        <v>0</v>
      </c>
      <c r="V245" s="85">
        <v>0</v>
      </c>
      <c r="W245" s="85">
        <v>0</v>
      </c>
      <c r="X245" s="85">
        <v>0</v>
      </c>
      <c r="Y245" s="85">
        <v>0</v>
      </c>
      <c r="Z245" s="85">
        <v>0</v>
      </c>
      <c r="AA245" s="85">
        <v>0</v>
      </c>
      <c r="AB245" s="85">
        <v>0</v>
      </c>
      <c r="AC245" s="85">
        <v>0</v>
      </c>
      <c r="AD245" s="85"/>
    </row>
    <row r="246" spans="1:30">
      <c r="A246" s="82" t="s">
        <v>294</v>
      </c>
      <c r="B246" s="83" t="s">
        <v>594</v>
      </c>
      <c r="C246" s="85">
        <v>0</v>
      </c>
      <c r="D246" s="85">
        <v>0</v>
      </c>
      <c r="E246" s="85">
        <v>0</v>
      </c>
      <c r="F246" s="85">
        <v>0</v>
      </c>
      <c r="G246" s="85">
        <v>0</v>
      </c>
      <c r="H246" s="85">
        <v>0</v>
      </c>
      <c r="I246" s="85">
        <v>0</v>
      </c>
      <c r="J246" s="85">
        <v>0</v>
      </c>
      <c r="K246" s="85">
        <v>0</v>
      </c>
      <c r="L246" s="85">
        <v>0</v>
      </c>
      <c r="M246" s="85">
        <v>0</v>
      </c>
      <c r="N246" s="85">
        <v>0</v>
      </c>
      <c r="O246" s="85">
        <f>1550*0.055</f>
        <v>85.25</v>
      </c>
      <c r="P246" s="85">
        <f>(419+394.27)*0.055</f>
        <v>44.729849999999999</v>
      </c>
      <c r="Q246" s="85">
        <f>(361+504)*0.055</f>
        <v>47.575000000000003</v>
      </c>
      <c r="R246" s="85">
        <f>(889.4+498)*0.055</f>
        <v>76.307000000000002</v>
      </c>
      <c r="S246" s="85">
        <f>(821+480)*0.055</f>
        <v>71.555000000000007</v>
      </c>
      <c r="T246" s="85">
        <f>(754.5+521)*0.055</f>
        <v>70.152500000000003</v>
      </c>
      <c r="U246" s="85">
        <f>(703.7+578.85)*0.055</f>
        <v>70.540250000000015</v>
      </c>
      <c r="V246" s="85">
        <f>(627+526)*0.055</f>
        <v>63.414999999999999</v>
      </c>
      <c r="W246" s="85">
        <f>(585+498)*0.055</f>
        <v>59.564999999999998</v>
      </c>
      <c r="X246" s="85">
        <f>(610+451)*0.055</f>
        <v>58.354999999999997</v>
      </c>
      <c r="Y246" s="85">
        <f>(609+451)*0.055</f>
        <v>58.3</v>
      </c>
      <c r="Z246" s="85">
        <f>(620+451)*0.055</f>
        <v>58.905000000000001</v>
      </c>
      <c r="AA246" s="85">
        <f>(620+490)*0.055</f>
        <v>61.05</v>
      </c>
      <c r="AB246" s="85">
        <f>(499+490)*0.055</f>
        <v>54.395000000000003</v>
      </c>
      <c r="AC246" s="85">
        <f>(462+451)*0.055</f>
        <v>50.215000000000003</v>
      </c>
      <c r="AD246" s="85"/>
    </row>
    <row r="247" spans="1:30">
      <c r="A247" s="82" t="s">
        <v>294</v>
      </c>
      <c r="B247" s="87" t="s">
        <v>643</v>
      </c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>
        <v>0</v>
      </c>
      <c r="O247" s="85">
        <v>0</v>
      </c>
      <c r="P247" s="85">
        <v>0</v>
      </c>
      <c r="Q247" s="85">
        <v>0</v>
      </c>
      <c r="R247" s="85">
        <v>0</v>
      </c>
      <c r="S247" s="85">
        <v>0</v>
      </c>
      <c r="T247" s="85">
        <v>0</v>
      </c>
      <c r="U247" s="85">
        <v>0</v>
      </c>
      <c r="V247" s="85">
        <v>0</v>
      </c>
      <c r="W247" s="85">
        <v>0</v>
      </c>
      <c r="X247" s="85">
        <v>0</v>
      </c>
      <c r="Y247" s="85">
        <v>0</v>
      </c>
      <c r="Z247" s="85">
        <v>0</v>
      </c>
      <c r="AA247" s="85">
        <v>0</v>
      </c>
      <c r="AB247" s="85">
        <v>0</v>
      </c>
      <c r="AC247" s="85">
        <v>0</v>
      </c>
      <c r="AD247" s="85"/>
    </row>
    <row r="248" spans="1:30">
      <c r="A248" s="82" t="s">
        <v>295</v>
      </c>
      <c r="B248" s="83" t="s">
        <v>597</v>
      </c>
      <c r="C248" s="84" t="s">
        <v>680</v>
      </c>
      <c r="D248" s="84" t="s">
        <v>680</v>
      </c>
      <c r="E248" s="84" t="s">
        <v>680</v>
      </c>
      <c r="F248" s="84" t="s">
        <v>680</v>
      </c>
      <c r="G248" s="85">
        <v>0</v>
      </c>
      <c r="H248" s="85">
        <f>10*0.02</f>
        <v>0.2</v>
      </c>
      <c r="I248" s="85">
        <f>10*0.02</f>
        <v>0.2</v>
      </c>
      <c r="J248" s="85">
        <f>10*0.02</f>
        <v>0.2</v>
      </c>
      <c r="K248" s="85">
        <v>0</v>
      </c>
      <c r="L248" s="85">
        <v>0</v>
      </c>
      <c r="M248" s="85">
        <v>0</v>
      </c>
      <c r="N248" s="85">
        <v>0</v>
      </c>
      <c r="O248" s="85">
        <v>0</v>
      </c>
      <c r="P248" s="85">
        <v>0</v>
      </c>
      <c r="Q248" s="85">
        <v>0</v>
      </c>
      <c r="R248" s="85">
        <v>0</v>
      </c>
      <c r="S248" s="85">
        <v>0</v>
      </c>
      <c r="T248" s="85">
        <v>0</v>
      </c>
      <c r="U248" s="85">
        <v>0</v>
      </c>
      <c r="V248" s="85">
        <v>0</v>
      </c>
      <c r="W248" s="85">
        <v>0</v>
      </c>
      <c r="X248" s="85">
        <v>0</v>
      </c>
      <c r="Y248" s="85">
        <v>0</v>
      </c>
      <c r="Z248" s="85">
        <v>0</v>
      </c>
      <c r="AA248" s="85">
        <v>0</v>
      </c>
      <c r="AB248" s="85">
        <v>0</v>
      </c>
      <c r="AC248" s="85">
        <v>0</v>
      </c>
      <c r="AD248" s="85"/>
    </row>
    <row r="249" spans="1:30">
      <c r="A249" s="82" t="s">
        <v>295</v>
      </c>
      <c r="B249" s="83" t="s">
        <v>600</v>
      </c>
      <c r="C249" s="84" t="s">
        <v>680</v>
      </c>
      <c r="D249" s="84" t="s">
        <v>680</v>
      </c>
      <c r="E249" s="84" t="s">
        <v>680</v>
      </c>
      <c r="F249" s="84" t="s">
        <v>680</v>
      </c>
      <c r="G249" s="85">
        <v>0</v>
      </c>
      <c r="H249" s="85">
        <v>0</v>
      </c>
      <c r="I249" s="85">
        <v>0</v>
      </c>
      <c r="J249" s="85">
        <v>0</v>
      </c>
      <c r="K249" s="85">
        <v>0</v>
      </c>
      <c r="L249" s="85">
        <v>0</v>
      </c>
      <c r="M249" s="85">
        <v>0</v>
      </c>
      <c r="N249" s="85">
        <v>0</v>
      </c>
      <c r="O249" s="85">
        <v>0</v>
      </c>
      <c r="P249" s="85">
        <v>0</v>
      </c>
      <c r="Q249" s="85">
        <v>0</v>
      </c>
      <c r="R249" s="85">
        <v>0</v>
      </c>
      <c r="S249" s="85">
        <v>0</v>
      </c>
      <c r="T249" s="85">
        <v>0</v>
      </c>
      <c r="U249" s="85">
        <v>0</v>
      </c>
      <c r="V249" s="85">
        <v>0</v>
      </c>
      <c r="W249" s="85">
        <v>0</v>
      </c>
      <c r="X249" s="85">
        <v>0</v>
      </c>
      <c r="Y249" s="85">
        <v>0</v>
      </c>
      <c r="Z249" s="85">
        <v>0</v>
      </c>
      <c r="AA249" s="85">
        <v>0</v>
      </c>
      <c r="AB249" s="85">
        <v>0</v>
      </c>
      <c r="AC249" s="85">
        <v>0</v>
      </c>
      <c r="AD249" s="85"/>
    </row>
    <row r="250" spans="1:30">
      <c r="A250" s="82" t="s">
        <v>295</v>
      </c>
      <c r="B250" s="83" t="s">
        <v>595</v>
      </c>
      <c r="C250" s="84" t="s">
        <v>680</v>
      </c>
      <c r="D250" s="84" t="s">
        <v>680</v>
      </c>
      <c r="E250" s="84" t="s">
        <v>680</v>
      </c>
      <c r="F250" s="84" t="s">
        <v>680</v>
      </c>
      <c r="G250" s="85">
        <v>0</v>
      </c>
      <c r="H250" s="85">
        <v>0</v>
      </c>
      <c r="I250" s="85">
        <v>0</v>
      </c>
      <c r="J250" s="85">
        <v>0</v>
      </c>
      <c r="K250" s="85">
        <v>0</v>
      </c>
      <c r="L250" s="85">
        <v>0</v>
      </c>
      <c r="M250" s="85">
        <v>0</v>
      </c>
      <c r="N250" s="85">
        <v>0</v>
      </c>
      <c r="O250" s="85">
        <v>0</v>
      </c>
      <c r="P250" s="85">
        <v>0</v>
      </c>
      <c r="Q250" s="85">
        <v>0</v>
      </c>
      <c r="R250" s="85">
        <f>200*0.11</f>
        <v>22</v>
      </c>
      <c r="S250" s="85">
        <v>0</v>
      </c>
      <c r="T250" s="85">
        <v>0</v>
      </c>
      <c r="U250" s="85">
        <v>0</v>
      </c>
      <c r="V250" s="85">
        <v>0</v>
      </c>
      <c r="W250" s="85">
        <v>0</v>
      </c>
      <c r="X250" s="85">
        <v>0</v>
      </c>
      <c r="Y250" s="85">
        <v>0</v>
      </c>
      <c r="Z250" s="85">
        <v>0</v>
      </c>
      <c r="AA250" s="85">
        <v>0</v>
      </c>
      <c r="AB250" s="85">
        <v>0</v>
      </c>
      <c r="AC250" s="85">
        <v>0</v>
      </c>
      <c r="AD250" s="85"/>
    </row>
    <row r="251" spans="1:30">
      <c r="A251" s="82" t="s">
        <v>295</v>
      </c>
      <c r="B251" s="83" t="s">
        <v>596</v>
      </c>
      <c r="C251" s="84" t="s">
        <v>680</v>
      </c>
      <c r="D251" s="84" t="s">
        <v>680</v>
      </c>
      <c r="E251" s="84" t="s">
        <v>680</v>
      </c>
      <c r="F251" s="84" t="s">
        <v>680</v>
      </c>
      <c r="G251" s="85">
        <v>0</v>
      </c>
      <c r="H251" s="85">
        <v>0</v>
      </c>
      <c r="I251" s="85">
        <v>0</v>
      </c>
      <c r="J251" s="85">
        <v>0</v>
      </c>
      <c r="K251" s="85">
        <v>0</v>
      </c>
      <c r="L251" s="85">
        <v>0</v>
      </c>
      <c r="M251" s="85">
        <v>0</v>
      </c>
      <c r="N251" s="85">
        <v>0</v>
      </c>
      <c r="O251" s="85">
        <v>0</v>
      </c>
      <c r="P251" s="85">
        <v>0</v>
      </c>
      <c r="Q251" s="85">
        <v>0</v>
      </c>
      <c r="R251" s="85">
        <f>125*0.065</f>
        <v>8.125</v>
      </c>
      <c r="S251" s="85">
        <v>0</v>
      </c>
      <c r="T251" s="85">
        <v>0</v>
      </c>
      <c r="U251" s="85">
        <v>0</v>
      </c>
      <c r="V251" s="85">
        <v>0</v>
      </c>
      <c r="W251" s="85">
        <v>0</v>
      </c>
      <c r="X251" s="85">
        <v>0</v>
      </c>
      <c r="Y251" s="85">
        <v>0</v>
      </c>
      <c r="Z251" s="85">
        <v>0</v>
      </c>
      <c r="AA251" s="85">
        <v>0</v>
      </c>
      <c r="AB251" s="85">
        <v>0</v>
      </c>
      <c r="AC251" s="85">
        <v>0</v>
      </c>
      <c r="AD251" s="85"/>
    </row>
    <row r="252" spans="1:30">
      <c r="A252" s="82" t="s">
        <v>295</v>
      </c>
      <c r="B252" s="83" t="s">
        <v>594</v>
      </c>
      <c r="C252" s="84" t="s">
        <v>680</v>
      </c>
      <c r="D252" s="84" t="s">
        <v>680</v>
      </c>
      <c r="E252" s="84" t="s">
        <v>680</v>
      </c>
      <c r="F252" s="84" t="s">
        <v>680</v>
      </c>
      <c r="G252" s="85">
        <v>0</v>
      </c>
      <c r="H252" s="85">
        <v>0</v>
      </c>
      <c r="I252" s="85">
        <v>0</v>
      </c>
      <c r="J252" s="85">
        <v>0</v>
      </c>
      <c r="K252" s="85">
        <v>0</v>
      </c>
      <c r="L252" s="85">
        <v>0</v>
      </c>
      <c r="M252" s="85">
        <v>0</v>
      </c>
      <c r="N252" s="85">
        <v>6.6</v>
      </c>
      <c r="O252" s="85">
        <f>70*0.055</f>
        <v>3.85</v>
      </c>
      <c r="P252" s="85">
        <f>145*0.055</f>
        <v>7.9749999999999996</v>
      </c>
      <c r="Q252" s="85">
        <v>0</v>
      </c>
      <c r="R252" s="85">
        <f>845*0.055</f>
        <v>46.475000000000001</v>
      </c>
      <c r="S252" s="85">
        <f>1035*0.055</f>
        <v>56.924999999999997</v>
      </c>
      <c r="T252" s="85">
        <f>870*0.055</f>
        <v>47.85</v>
      </c>
      <c r="U252" s="85">
        <f>653.52*0.055</f>
        <v>35.943599999999996</v>
      </c>
      <c r="V252" s="85">
        <f>300*0.055</f>
        <v>16.5</v>
      </c>
      <c r="W252" s="85">
        <f>280*0.055</f>
        <v>15.4</v>
      </c>
      <c r="X252" s="85">
        <f>170*0.055</f>
        <v>9.35</v>
      </c>
      <c r="Y252" s="85">
        <f>110*0.055</f>
        <v>6.05</v>
      </c>
      <c r="Z252" s="85">
        <f>111*0.055</f>
        <v>6.1050000000000004</v>
      </c>
      <c r="AA252" s="85">
        <f>85*0.055</f>
        <v>4.6749999999999998</v>
      </c>
      <c r="AB252" s="85">
        <f>38*0.055</f>
        <v>2.09</v>
      </c>
      <c r="AC252" s="85">
        <f>22.1*0.055</f>
        <v>1.2155</v>
      </c>
      <c r="AD252" s="85"/>
    </row>
    <row r="253" spans="1:30">
      <c r="A253" s="82" t="s">
        <v>295</v>
      </c>
      <c r="B253" s="87" t="s">
        <v>643</v>
      </c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>
        <v>0</v>
      </c>
      <c r="O253" s="85">
        <v>0</v>
      </c>
      <c r="P253" s="85">
        <v>0</v>
      </c>
      <c r="Q253" s="85">
        <v>0</v>
      </c>
      <c r="R253" s="85">
        <v>0</v>
      </c>
      <c r="S253" s="85">
        <v>0</v>
      </c>
      <c r="T253" s="85">
        <v>0</v>
      </c>
      <c r="U253" s="85">
        <v>0</v>
      </c>
      <c r="V253" s="85">
        <v>0</v>
      </c>
      <c r="W253" s="85">
        <v>0</v>
      </c>
      <c r="X253" s="85">
        <v>0</v>
      </c>
      <c r="Y253" s="85">
        <v>0</v>
      </c>
      <c r="Z253" s="85">
        <v>0</v>
      </c>
      <c r="AA253" s="85">
        <v>0</v>
      </c>
      <c r="AB253" s="85">
        <v>0</v>
      </c>
      <c r="AC253" s="85">
        <v>0</v>
      </c>
      <c r="AD253" s="85"/>
    </row>
    <row r="254" spans="1:30">
      <c r="A254" s="82" t="s">
        <v>162</v>
      </c>
      <c r="B254" s="83" t="s">
        <v>597</v>
      </c>
      <c r="C254" s="84" t="s">
        <v>680</v>
      </c>
      <c r="D254" s="84" t="s">
        <v>680</v>
      </c>
      <c r="E254" s="84" t="s">
        <v>680</v>
      </c>
      <c r="F254" s="84" t="s">
        <v>680</v>
      </c>
      <c r="G254" s="84" t="s">
        <v>680</v>
      </c>
      <c r="H254" s="84" t="s">
        <v>680</v>
      </c>
      <c r="I254" s="84" t="s">
        <v>680</v>
      </c>
      <c r="J254" s="84" t="s">
        <v>680</v>
      </c>
      <c r="K254" s="85">
        <v>0</v>
      </c>
      <c r="L254" s="85"/>
      <c r="M254" s="85">
        <v>0</v>
      </c>
      <c r="N254" s="85">
        <v>0</v>
      </c>
      <c r="O254" s="85">
        <v>0</v>
      </c>
      <c r="P254" s="85">
        <v>0</v>
      </c>
      <c r="Q254" s="85">
        <v>0</v>
      </c>
      <c r="R254" s="85">
        <v>0</v>
      </c>
      <c r="S254" s="85">
        <v>0</v>
      </c>
      <c r="T254" s="85">
        <v>0</v>
      </c>
      <c r="U254" s="85">
        <v>0</v>
      </c>
      <c r="V254" s="85">
        <v>0</v>
      </c>
      <c r="W254" s="85">
        <v>0</v>
      </c>
      <c r="X254" s="85">
        <v>0</v>
      </c>
      <c r="Y254" s="85">
        <v>0</v>
      </c>
      <c r="Z254" s="85">
        <v>0</v>
      </c>
      <c r="AA254" s="85">
        <v>0</v>
      </c>
      <c r="AB254" s="85">
        <v>0</v>
      </c>
      <c r="AC254" s="85">
        <v>0</v>
      </c>
      <c r="AD254" s="85"/>
    </row>
    <row r="255" spans="1:30">
      <c r="A255" s="82" t="s">
        <v>162</v>
      </c>
      <c r="B255" s="83" t="s">
        <v>600</v>
      </c>
      <c r="C255" s="84" t="s">
        <v>680</v>
      </c>
      <c r="D255" s="84" t="s">
        <v>680</v>
      </c>
      <c r="E255" s="84" t="s">
        <v>680</v>
      </c>
      <c r="F255" s="84" t="s">
        <v>680</v>
      </c>
      <c r="G255" s="84" t="s">
        <v>680</v>
      </c>
      <c r="H255" s="84" t="s">
        <v>680</v>
      </c>
      <c r="I255" s="84" t="s">
        <v>680</v>
      </c>
      <c r="J255" s="84" t="s">
        <v>680</v>
      </c>
      <c r="K255" s="85">
        <v>0</v>
      </c>
      <c r="L255" s="85"/>
      <c r="M255" s="85">
        <v>0</v>
      </c>
      <c r="N255" s="85">
        <v>0</v>
      </c>
      <c r="O255" s="85">
        <v>0</v>
      </c>
      <c r="P255" s="85">
        <v>0</v>
      </c>
      <c r="Q255" s="85">
        <v>0</v>
      </c>
      <c r="R255" s="85">
        <v>0</v>
      </c>
      <c r="S255" s="85">
        <v>0</v>
      </c>
      <c r="T255" s="85">
        <v>0</v>
      </c>
      <c r="U255" s="85">
        <v>0</v>
      </c>
      <c r="V255" s="85">
        <v>0</v>
      </c>
      <c r="W255" s="85">
        <v>0</v>
      </c>
      <c r="X255" s="85">
        <v>0</v>
      </c>
      <c r="Y255" s="85">
        <v>0</v>
      </c>
      <c r="Z255" s="85">
        <v>0</v>
      </c>
      <c r="AA255" s="85">
        <v>0</v>
      </c>
      <c r="AB255" s="85">
        <v>0</v>
      </c>
      <c r="AC255" s="85">
        <v>0</v>
      </c>
      <c r="AD255" s="85"/>
    </row>
    <row r="256" spans="1:30">
      <c r="A256" s="82" t="s">
        <v>162</v>
      </c>
      <c r="B256" s="83" t="s">
        <v>595</v>
      </c>
      <c r="C256" s="84" t="s">
        <v>680</v>
      </c>
      <c r="D256" s="84" t="s">
        <v>680</v>
      </c>
      <c r="E256" s="84" t="s">
        <v>680</v>
      </c>
      <c r="F256" s="84" t="s">
        <v>680</v>
      </c>
      <c r="G256" s="84" t="s">
        <v>680</v>
      </c>
      <c r="H256" s="84" t="s">
        <v>680</v>
      </c>
      <c r="I256" s="84" t="s">
        <v>680</v>
      </c>
      <c r="J256" s="84" t="s">
        <v>680</v>
      </c>
      <c r="K256" s="85">
        <v>0</v>
      </c>
      <c r="L256" s="85"/>
      <c r="M256" s="85">
        <v>0</v>
      </c>
      <c r="N256" s="85">
        <v>0</v>
      </c>
      <c r="O256" s="85">
        <v>0</v>
      </c>
      <c r="P256" s="85">
        <v>0</v>
      </c>
      <c r="Q256" s="85">
        <v>0</v>
      </c>
      <c r="R256" s="85">
        <v>0</v>
      </c>
      <c r="S256" s="85">
        <v>0</v>
      </c>
      <c r="T256" s="85">
        <v>0</v>
      </c>
      <c r="U256" s="85">
        <v>0</v>
      </c>
      <c r="V256" s="85">
        <v>0</v>
      </c>
      <c r="W256" s="85">
        <v>0</v>
      </c>
      <c r="X256" s="85">
        <v>0</v>
      </c>
      <c r="Y256" s="85">
        <v>0</v>
      </c>
      <c r="Z256" s="85">
        <v>0</v>
      </c>
      <c r="AA256" s="85">
        <v>0</v>
      </c>
      <c r="AB256" s="85">
        <v>0</v>
      </c>
      <c r="AC256" s="85">
        <v>0</v>
      </c>
      <c r="AD256" s="85"/>
    </row>
    <row r="257" spans="1:30">
      <c r="A257" s="82" t="s">
        <v>162</v>
      </c>
      <c r="B257" s="83" t="s">
        <v>596</v>
      </c>
      <c r="C257" s="84" t="s">
        <v>680</v>
      </c>
      <c r="D257" s="84" t="s">
        <v>680</v>
      </c>
      <c r="E257" s="84" t="s">
        <v>680</v>
      </c>
      <c r="F257" s="84" t="s">
        <v>680</v>
      </c>
      <c r="G257" s="84" t="s">
        <v>680</v>
      </c>
      <c r="H257" s="84" t="s">
        <v>680</v>
      </c>
      <c r="I257" s="84" t="s">
        <v>680</v>
      </c>
      <c r="J257" s="84" t="s">
        <v>680</v>
      </c>
      <c r="K257" s="85">
        <v>0</v>
      </c>
      <c r="L257" s="85"/>
      <c r="M257" s="85">
        <v>0</v>
      </c>
      <c r="N257" s="85">
        <v>0</v>
      </c>
      <c r="O257" s="85">
        <v>0</v>
      </c>
      <c r="P257" s="85">
        <v>0</v>
      </c>
      <c r="Q257" s="85">
        <v>0</v>
      </c>
      <c r="R257" s="85">
        <v>0</v>
      </c>
      <c r="S257" s="85">
        <v>0</v>
      </c>
      <c r="T257" s="85">
        <v>0</v>
      </c>
      <c r="U257" s="85">
        <v>0</v>
      </c>
      <c r="V257" s="85">
        <v>0</v>
      </c>
      <c r="W257" s="85">
        <v>0</v>
      </c>
      <c r="X257" s="85">
        <v>0</v>
      </c>
      <c r="Y257" s="85">
        <v>0</v>
      </c>
      <c r="Z257" s="85">
        <v>0</v>
      </c>
      <c r="AA257" s="85">
        <v>0</v>
      </c>
      <c r="AB257" s="85">
        <v>0</v>
      </c>
      <c r="AC257" s="85">
        <v>0</v>
      </c>
      <c r="AD257" s="85"/>
    </row>
    <row r="258" spans="1:30">
      <c r="A258" s="82" t="s">
        <v>162</v>
      </c>
      <c r="B258" s="83" t="s">
        <v>594</v>
      </c>
      <c r="C258" s="84" t="s">
        <v>680</v>
      </c>
      <c r="D258" s="84" t="s">
        <v>680</v>
      </c>
      <c r="E258" s="84" t="s">
        <v>680</v>
      </c>
      <c r="F258" s="84" t="s">
        <v>680</v>
      </c>
      <c r="G258" s="84" t="s">
        <v>680</v>
      </c>
      <c r="H258" s="84" t="s">
        <v>680</v>
      </c>
      <c r="I258" s="84" t="s">
        <v>680</v>
      </c>
      <c r="J258" s="84" t="s">
        <v>680</v>
      </c>
      <c r="K258" s="85">
        <v>0</v>
      </c>
      <c r="L258" s="85"/>
      <c r="M258" s="85">
        <v>0</v>
      </c>
      <c r="N258" s="85">
        <v>0</v>
      </c>
      <c r="O258" s="85">
        <v>0</v>
      </c>
      <c r="P258" s="85">
        <f>10.76*0.055</f>
        <v>0.59179999999999999</v>
      </c>
      <c r="Q258" s="85">
        <f>11.5*0.055</f>
        <v>0.63249999999999995</v>
      </c>
      <c r="R258" s="85">
        <f>11.96*0.055</f>
        <v>0.65780000000000005</v>
      </c>
      <c r="S258" s="85">
        <f>11.94*0.055</f>
        <v>0.65669999999999995</v>
      </c>
      <c r="T258" s="85">
        <f>11.7*0.055</f>
        <v>0.64349999999999996</v>
      </c>
      <c r="U258" s="85">
        <f>11.2*0.055</f>
        <v>0.61599999999999999</v>
      </c>
      <c r="V258" s="85">
        <f>10.4*0.055</f>
        <v>0.57200000000000006</v>
      </c>
      <c r="W258" s="85">
        <f>10.11*0.055</f>
        <v>0.55604999999999993</v>
      </c>
      <c r="X258" s="85">
        <f>9.87*0.055</f>
        <v>0.54284999999999994</v>
      </c>
      <c r="Y258" s="85">
        <f>9.3*0.055</f>
        <v>0.51150000000000007</v>
      </c>
      <c r="Z258" s="85">
        <f>8.7*0.055</f>
        <v>0.47849999999999998</v>
      </c>
      <c r="AA258" s="85">
        <f>8.1*0.055</f>
        <v>0.44550000000000001</v>
      </c>
      <c r="AB258" s="85">
        <f>6.9*0.055</f>
        <v>0.3795</v>
      </c>
      <c r="AC258" s="85">
        <f>6.1*0.055</f>
        <v>0.33549999999999996</v>
      </c>
      <c r="AD258" s="85"/>
    </row>
    <row r="259" spans="1:30">
      <c r="A259" s="82" t="s">
        <v>162</v>
      </c>
      <c r="B259" s="87" t="s">
        <v>643</v>
      </c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>
        <v>0</v>
      </c>
      <c r="O259" s="85">
        <v>0</v>
      </c>
      <c r="P259" s="85">
        <v>0</v>
      </c>
      <c r="Q259" s="85">
        <v>0</v>
      </c>
      <c r="R259" s="85">
        <v>0</v>
      </c>
      <c r="S259" s="85">
        <v>0</v>
      </c>
      <c r="T259" s="85">
        <v>0</v>
      </c>
      <c r="U259" s="85">
        <v>0</v>
      </c>
      <c r="V259" s="85">
        <v>0</v>
      </c>
      <c r="W259" s="85">
        <v>0</v>
      </c>
      <c r="X259" s="85">
        <v>0</v>
      </c>
      <c r="Y259" s="85">
        <v>0</v>
      </c>
      <c r="Z259" s="85">
        <v>0</v>
      </c>
      <c r="AA259" s="85">
        <v>0</v>
      </c>
      <c r="AB259" s="85">
        <v>0</v>
      </c>
      <c r="AC259" s="85">
        <v>0</v>
      </c>
      <c r="AD259" s="85"/>
    </row>
    <row r="260" spans="1:30">
      <c r="A260" s="82" t="s">
        <v>163</v>
      </c>
      <c r="B260" s="83" t="s">
        <v>597</v>
      </c>
      <c r="C260" s="85">
        <v>0</v>
      </c>
      <c r="D260" s="85">
        <v>0</v>
      </c>
      <c r="E260" s="85">
        <v>0</v>
      </c>
      <c r="F260" s="84">
        <v>0</v>
      </c>
      <c r="G260" s="84">
        <v>0</v>
      </c>
      <c r="H260" s="85">
        <v>0</v>
      </c>
      <c r="I260" s="85">
        <v>0</v>
      </c>
      <c r="J260" s="85">
        <v>0</v>
      </c>
      <c r="K260" s="85">
        <v>0</v>
      </c>
      <c r="L260" s="85">
        <v>0</v>
      </c>
      <c r="M260" s="85">
        <v>0</v>
      </c>
      <c r="N260" s="85">
        <v>0</v>
      </c>
      <c r="O260" s="85">
        <v>0</v>
      </c>
      <c r="P260" s="85">
        <v>0</v>
      </c>
      <c r="Q260" s="85">
        <v>0</v>
      </c>
      <c r="R260" s="85">
        <v>0</v>
      </c>
      <c r="S260" s="85">
        <v>0</v>
      </c>
      <c r="T260" s="85">
        <v>0</v>
      </c>
      <c r="U260" s="85">
        <v>0</v>
      </c>
      <c r="V260" s="85">
        <v>0</v>
      </c>
      <c r="W260" s="85">
        <v>0</v>
      </c>
      <c r="X260" s="85">
        <v>0</v>
      </c>
      <c r="Y260" s="85">
        <v>0</v>
      </c>
      <c r="Z260" s="85">
        <v>0</v>
      </c>
      <c r="AA260" s="85">
        <v>0</v>
      </c>
      <c r="AB260" s="85">
        <v>0</v>
      </c>
      <c r="AC260" s="85">
        <v>0</v>
      </c>
      <c r="AD260" s="85"/>
    </row>
    <row r="261" spans="1:30">
      <c r="A261" s="82" t="s">
        <v>163</v>
      </c>
      <c r="B261" s="83" t="s">
        <v>600</v>
      </c>
      <c r="C261" s="85">
        <v>0</v>
      </c>
      <c r="D261" s="85">
        <v>0</v>
      </c>
      <c r="E261" s="85">
        <v>0</v>
      </c>
      <c r="F261" s="84">
        <v>0</v>
      </c>
      <c r="G261" s="84">
        <v>0</v>
      </c>
      <c r="H261" s="85">
        <v>0</v>
      </c>
      <c r="I261" s="85">
        <v>0</v>
      </c>
      <c r="J261" s="85">
        <v>0</v>
      </c>
      <c r="K261" s="85">
        <v>0</v>
      </c>
      <c r="L261" s="85">
        <v>0</v>
      </c>
      <c r="M261" s="85">
        <v>0</v>
      </c>
      <c r="N261" s="85">
        <v>0</v>
      </c>
      <c r="O261" s="85">
        <v>0</v>
      </c>
      <c r="P261" s="85">
        <v>0</v>
      </c>
      <c r="Q261" s="85">
        <v>0</v>
      </c>
      <c r="R261" s="85">
        <v>0</v>
      </c>
      <c r="S261" s="85">
        <v>0</v>
      </c>
      <c r="T261" s="85">
        <v>0</v>
      </c>
      <c r="U261" s="85">
        <v>0</v>
      </c>
      <c r="V261" s="85">
        <v>0</v>
      </c>
      <c r="W261" s="85">
        <v>0</v>
      </c>
      <c r="X261" s="85">
        <v>0</v>
      </c>
      <c r="Y261" s="85">
        <v>0</v>
      </c>
      <c r="Z261" s="85">
        <v>0</v>
      </c>
      <c r="AA261" s="85">
        <v>0</v>
      </c>
      <c r="AB261" s="85">
        <v>0</v>
      </c>
      <c r="AC261" s="85">
        <v>0</v>
      </c>
      <c r="AD261" s="85"/>
    </row>
    <row r="262" spans="1:30">
      <c r="A262" s="82" t="s">
        <v>163</v>
      </c>
      <c r="B262" s="83" t="s">
        <v>595</v>
      </c>
      <c r="C262" s="85">
        <v>0</v>
      </c>
      <c r="D262" s="85">
        <v>0</v>
      </c>
      <c r="E262" s="85">
        <v>0</v>
      </c>
      <c r="F262" s="84">
        <v>0</v>
      </c>
      <c r="G262" s="84">
        <v>0</v>
      </c>
      <c r="H262" s="85">
        <v>0</v>
      </c>
      <c r="I262" s="85">
        <v>0</v>
      </c>
      <c r="J262" s="85">
        <v>0</v>
      </c>
      <c r="K262" s="85">
        <v>0</v>
      </c>
      <c r="L262" s="85">
        <v>0</v>
      </c>
      <c r="M262" s="85">
        <v>0</v>
      </c>
      <c r="N262" s="85">
        <v>0</v>
      </c>
      <c r="O262" s="85">
        <v>0</v>
      </c>
      <c r="P262" s="85">
        <v>0</v>
      </c>
      <c r="Q262" s="85">
        <v>0</v>
      </c>
      <c r="R262" s="85">
        <v>0</v>
      </c>
      <c r="S262" s="85">
        <v>0</v>
      </c>
      <c r="T262" s="85">
        <v>0</v>
      </c>
      <c r="U262" s="85">
        <v>0</v>
      </c>
      <c r="V262" s="85">
        <v>0</v>
      </c>
      <c r="W262" s="85">
        <v>0</v>
      </c>
      <c r="X262" s="85">
        <v>0</v>
      </c>
      <c r="Y262" s="85">
        <v>0</v>
      </c>
      <c r="Z262" s="85">
        <v>0</v>
      </c>
      <c r="AA262" s="85">
        <v>0</v>
      </c>
      <c r="AB262" s="85">
        <v>0</v>
      </c>
      <c r="AC262" s="85">
        <v>0</v>
      </c>
      <c r="AD262" s="85"/>
    </row>
    <row r="263" spans="1:30">
      <c r="A263" s="82" t="s">
        <v>163</v>
      </c>
      <c r="B263" s="83" t="s">
        <v>596</v>
      </c>
      <c r="C263" s="85">
        <v>0</v>
      </c>
      <c r="D263" s="85">
        <v>0</v>
      </c>
      <c r="E263" s="85">
        <v>0</v>
      </c>
      <c r="F263" s="84">
        <v>0</v>
      </c>
      <c r="G263" s="84">
        <v>0</v>
      </c>
      <c r="H263" s="85">
        <v>0</v>
      </c>
      <c r="I263" s="85">
        <v>0</v>
      </c>
      <c r="J263" s="85">
        <v>0</v>
      </c>
      <c r="K263" s="85">
        <v>0</v>
      </c>
      <c r="L263" s="85">
        <v>0</v>
      </c>
      <c r="M263" s="85">
        <v>0</v>
      </c>
      <c r="N263" s="85">
        <v>0</v>
      </c>
      <c r="O263" s="85">
        <v>0</v>
      </c>
      <c r="P263" s="85">
        <v>0</v>
      </c>
      <c r="Q263" s="85">
        <v>0</v>
      </c>
      <c r="R263" s="85">
        <v>0</v>
      </c>
      <c r="S263" s="85">
        <v>0</v>
      </c>
      <c r="T263" s="85">
        <v>0</v>
      </c>
      <c r="U263" s="85">
        <v>0</v>
      </c>
      <c r="V263" s="85">
        <v>0</v>
      </c>
      <c r="W263" s="85">
        <v>0</v>
      </c>
      <c r="X263" s="85">
        <v>0</v>
      </c>
      <c r="Y263" s="85">
        <v>0</v>
      </c>
      <c r="Z263" s="85">
        <v>0</v>
      </c>
      <c r="AA263" s="85">
        <v>0</v>
      </c>
      <c r="AB263" s="85">
        <v>0</v>
      </c>
      <c r="AC263" s="85">
        <v>0</v>
      </c>
      <c r="AD263" s="85"/>
    </row>
    <row r="264" spans="1:30">
      <c r="A264" s="82" t="s">
        <v>163</v>
      </c>
      <c r="B264" s="83" t="s">
        <v>594</v>
      </c>
      <c r="C264" s="85">
        <f>1.55*0.055</f>
        <v>8.5250000000000006E-2</v>
      </c>
      <c r="D264" s="85">
        <f>2*0.055</f>
        <v>0.11</v>
      </c>
      <c r="E264" s="85">
        <f>2.62*0.055</f>
        <v>0.14410000000000001</v>
      </c>
      <c r="F264" s="84">
        <f>2.39*0.055</f>
        <v>0.13145000000000001</v>
      </c>
      <c r="G264" s="84">
        <f>2.27*0.055</f>
        <v>0.12485</v>
      </c>
      <c r="H264" s="85">
        <f>2.96*0.055</f>
        <v>0.1628</v>
      </c>
      <c r="I264" s="85">
        <v>0</v>
      </c>
      <c r="J264" s="85">
        <f>2.16*0.055</f>
        <v>0.1188</v>
      </c>
      <c r="K264" s="85">
        <f>2.12*0.055</f>
        <v>0.11660000000000001</v>
      </c>
      <c r="L264" s="85">
        <f>2.12*0.055</f>
        <v>0.11660000000000001</v>
      </c>
      <c r="M264" s="85">
        <f>9.32*0.055</f>
        <v>0.51260000000000006</v>
      </c>
      <c r="N264" s="85">
        <v>0.1474</v>
      </c>
      <c r="O264" s="85">
        <f>0.49*0.055</f>
        <v>2.6949999999999998E-2</v>
      </c>
      <c r="P264" s="85">
        <f>0.48*0.055</f>
        <v>2.64E-2</v>
      </c>
      <c r="Q264" s="85">
        <f>1.36*0.055</f>
        <v>7.4800000000000005E-2</v>
      </c>
      <c r="R264" s="85">
        <f>7.02*0.055</f>
        <v>0.3861</v>
      </c>
      <c r="S264" s="85">
        <f>2.89*0.055</f>
        <v>0.15895000000000001</v>
      </c>
      <c r="T264" s="85">
        <f>0.25*0.055</f>
        <v>1.375E-2</v>
      </c>
      <c r="U264" s="85">
        <f>1.619325*0.055</f>
        <v>8.9062875E-2</v>
      </c>
      <c r="V264" s="85">
        <f>3.01*0.055</f>
        <v>0.16555</v>
      </c>
      <c r="W264" s="85">
        <f>2.45*0.055</f>
        <v>0.13475000000000001</v>
      </c>
      <c r="X264" s="85">
        <f>2.45*0.055</f>
        <v>0.13475000000000001</v>
      </c>
      <c r="Y264" s="85">
        <f>2.31*0.055</f>
        <v>0.12705</v>
      </c>
      <c r="Z264" s="85">
        <f>2.99*0.055</f>
        <v>0.16445000000000001</v>
      </c>
      <c r="AA264" s="85">
        <f>0.6804*0.055</f>
        <v>3.7422000000000004E-2</v>
      </c>
      <c r="AB264" s="85">
        <f>0.2721554*0.055</f>
        <v>1.4968547E-2</v>
      </c>
      <c r="AC264" s="85">
        <f>1.25*0.055</f>
        <v>6.8750000000000006E-2</v>
      </c>
      <c r="AD264" s="85"/>
    </row>
    <row r="265" spans="1:30">
      <c r="A265" s="82" t="s">
        <v>163</v>
      </c>
      <c r="B265" s="87" t="s">
        <v>643</v>
      </c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>
        <v>0</v>
      </c>
      <c r="O265" s="85">
        <v>0</v>
      </c>
      <c r="P265" s="85">
        <v>0</v>
      </c>
      <c r="Q265" s="85">
        <v>0</v>
      </c>
      <c r="R265" s="85">
        <v>0</v>
      </c>
      <c r="S265" s="85">
        <v>0</v>
      </c>
      <c r="T265" s="85">
        <v>0</v>
      </c>
      <c r="U265" s="85">
        <v>0</v>
      </c>
      <c r="V265" s="85">
        <v>0</v>
      </c>
      <c r="W265" s="85">
        <v>0</v>
      </c>
      <c r="X265" s="85">
        <v>0</v>
      </c>
      <c r="Y265" s="85">
        <v>0</v>
      </c>
      <c r="Z265" s="85">
        <v>0</v>
      </c>
      <c r="AA265" s="85">
        <v>0</v>
      </c>
      <c r="AB265" s="85">
        <v>0</v>
      </c>
      <c r="AC265" s="85">
        <v>0</v>
      </c>
      <c r="AD265" s="85"/>
    </row>
    <row r="266" spans="1:30">
      <c r="A266" s="82" t="s">
        <v>164</v>
      </c>
      <c r="B266" s="83" t="s">
        <v>597</v>
      </c>
      <c r="C266" s="84" t="s">
        <v>680</v>
      </c>
      <c r="D266" s="85">
        <v>0</v>
      </c>
      <c r="E266" s="85">
        <v>0</v>
      </c>
      <c r="F266" s="85">
        <v>0</v>
      </c>
      <c r="G266" s="85">
        <v>0</v>
      </c>
      <c r="H266" s="85">
        <v>0</v>
      </c>
      <c r="I266" s="85">
        <v>0</v>
      </c>
      <c r="J266" s="85">
        <v>0</v>
      </c>
      <c r="K266" s="85">
        <v>0</v>
      </c>
      <c r="L266" s="85">
        <v>0</v>
      </c>
      <c r="M266" s="85">
        <v>0</v>
      </c>
      <c r="N266" s="85">
        <v>0</v>
      </c>
      <c r="O266" s="85">
        <v>0</v>
      </c>
      <c r="P266" s="85">
        <f>16.4*0.02</f>
        <v>0.32799999999999996</v>
      </c>
      <c r="Q266" s="85">
        <v>0</v>
      </c>
      <c r="R266" s="85">
        <f>4*0.02</f>
        <v>0.08</v>
      </c>
      <c r="S266" s="85">
        <f>0.3*0.02</f>
        <v>6.0000000000000001E-3</v>
      </c>
      <c r="T266" s="85">
        <v>0</v>
      </c>
      <c r="U266" s="85">
        <f>1.14*0.02</f>
        <v>2.2799999999999997E-2</v>
      </c>
      <c r="V266" s="85">
        <f>0.38*0.02</f>
        <v>7.6E-3</v>
      </c>
      <c r="W266" s="85">
        <f>0.42*0.02</f>
        <v>8.3999999999999995E-3</v>
      </c>
      <c r="X266" s="85">
        <f>15*0.02</f>
        <v>0.3</v>
      </c>
      <c r="Y266" s="85">
        <f>2.61*0.02</f>
        <v>5.2199999999999996E-2</v>
      </c>
      <c r="Z266" s="85">
        <v>0</v>
      </c>
      <c r="AA266" s="85">
        <v>0</v>
      </c>
      <c r="AB266" s="85">
        <f>0.23*0.02</f>
        <v>4.5999999999999999E-3</v>
      </c>
      <c r="AC266" s="85">
        <f>0.23*0.02</f>
        <v>4.5999999999999999E-3</v>
      </c>
      <c r="AD266" s="85"/>
    </row>
    <row r="267" spans="1:30">
      <c r="A267" s="82" t="s">
        <v>164</v>
      </c>
      <c r="B267" s="83" t="s">
        <v>600</v>
      </c>
      <c r="C267" s="84" t="s">
        <v>680</v>
      </c>
      <c r="D267" s="85">
        <v>0</v>
      </c>
      <c r="E267" s="85">
        <v>0</v>
      </c>
      <c r="F267" s="85">
        <v>0</v>
      </c>
      <c r="G267" s="85">
        <v>0</v>
      </c>
      <c r="H267" s="85">
        <v>0</v>
      </c>
      <c r="I267" s="85">
        <v>0</v>
      </c>
      <c r="J267" s="85">
        <v>0</v>
      </c>
      <c r="K267" s="85">
        <v>0</v>
      </c>
      <c r="L267" s="85">
        <v>0</v>
      </c>
      <c r="M267" s="85">
        <v>0</v>
      </c>
      <c r="N267" s="85">
        <v>0</v>
      </c>
      <c r="O267" s="85">
        <v>0</v>
      </c>
      <c r="P267" s="85">
        <v>0</v>
      </c>
      <c r="Q267" s="85">
        <v>0</v>
      </c>
      <c r="R267" s="85">
        <v>0</v>
      </c>
      <c r="S267" s="85">
        <v>0</v>
      </c>
      <c r="T267" s="85">
        <v>0</v>
      </c>
      <c r="U267" s="85">
        <v>0</v>
      </c>
      <c r="V267" s="85">
        <v>0</v>
      </c>
      <c r="W267" s="85">
        <v>0</v>
      </c>
      <c r="X267" s="85">
        <v>0</v>
      </c>
      <c r="Y267" s="85">
        <v>0</v>
      </c>
      <c r="Z267" s="85">
        <v>0</v>
      </c>
      <c r="AA267" s="85">
        <v>0</v>
      </c>
      <c r="AB267" s="85">
        <v>0</v>
      </c>
      <c r="AC267" s="85">
        <v>0</v>
      </c>
      <c r="AD267" s="85"/>
    </row>
    <row r="268" spans="1:30">
      <c r="A268" s="82" t="s">
        <v>164</v>
      </c>
      <c r="B268" s="83" t="s">
        <v>595</v>
      </c>
      <c r="C268" s="84" t="s">
        <v>680</v>
      </c>
      <c r="D268" s="85">
        <v>0</v>
      </c>
      <c r="E268" s="85">
        <v>0</v>
      </c>
      <c r="F268" s="85">
        <f>1*0.11</f>
        <v>0.11</v>
      </c>
      <c r="G268" s="85">
        <f>1*0.11</f>
        <v>0.11</v>
      </c>
      <c r="H268" s="85">
        <v>0</v>
      </c>
      <c r="I268" s="85">
        <v>0</v>
      </c>
      <c r="J268" s="85">
        <f>0.08*0.11</f>
        <v>8.8000000000000005E-3</v>
      </c>
      <c r="K268" s="85">
        <v>0</v>
      </c>
      <c r="L268" s="85">
        <v>0</v>
      </c>
      <c r="M268" s="85">
        <f>56.22*0.11</f>
        <v>6.1841999999999997</v>
      </c>
      <c r="N268" s="85">
        <f>1.56*0.11</f>
        <v>0.1716</v>
      </c>
      <c r="O268" s="85">
        <f>3.16*0.11</f>
        <v>0.34760000000000002</v>
      </c>
      <c r="P268" s="85">
        <f>4.25*0.11</f>
        <v>0.46750000000000003</v>
      </c>
      <c r="Q268" s="85">
        <f>10.85*0.11</f>
        <v>1.1935</v>
      </c>
      <c r="R268" s="85">
        <v>0</v>
      </c>
      <c r="S268" s="85">
        <f>10.2*0.11</f>
        <v>1.1219999999999999</v>
      </c>
      <c r="T268" s="85">
        <f>11.47*0.11</f>
        <v>1.2617</v>
      </c>
      <c r="U268" s="85">
        <f>16*0.11</f>
        <v>1.76</v>
      </c>
      <c r="V268" s="85">
        <f>4.83*0.11</f>
        <v>0.53129999999999999</v>
      </c>
      <c r="W268" s="85">
        <f>34.36*0.11</f>
        <v>3.7795999999999998</v>
      </c>
      <c r="X268" s="85">
        <f>1.36*0.11</f>
        <v>0.14960000000000001</v>
      </c>
      <c r="Y268" s="85">
        <v>0</v>
      </c>
      <c r="Z268" s="85">
        <v>0</v>
      </c>
      <c r="AA268" s="85">
        <v>0</v>
      </c>
      <c r="AB268" s="85">
        <v>0</v>
      </c>
      <c r="AC268" s="85">
        <v>0</v>
      </c>
      <c r="AD268" s="85"/>
    </row>
    <row r="269" spans="1:30">
      <c r="A269" s="82" t="s">
        <v>164</v>
      </c>
      <c r="B269" s="83" t="s">
        <v>700</v>
      </c>
      <c r="C269" s="84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>
        <f>170*0.11</f>
        <v>18.7</v>
      </c>
      <c r="R269" s="85">
        <v>0</v>
      </c>
      <c r="S269" s="85">
        <v>0</v>
      </c>
      <c r="T269" s="85">
        <f>401*0.11</f>
        <v>44.11</v>
      </c>
      <c r="U269" s="85">
        <f>385.43*0.11</f>
        <v>42.397300000000001</v>
      </c>
      <c r="V269" s="85">
        <f>199.6*0.11</f>
        <v>21.956</v>
      </c>
      <c r="W269" s="85">
        <f>100*0.11</f>
        <v>11</v>
      </c>
      <c r="X269" s="85">
        <f>40*0.11</f>
        <v>4.4000000000000004</v>
      </c>
      <c r="Y269" s="85">
        <v>0</v>
      </c>
      <c r="Z269" s="85">
        <v>0</v>
      </c>
      <c r="AA269" s="85">
        <v>0</v>
      </c>
      <c r="AB269" s="85">
        <v>0</v>
      </c>
      <c r="AC269" s="85">
        <v>0</v>
      </c>
      <c r="AD269" s="85"/>
    </row>
    <row r="270" spans="1:30">
      <c r="A270" s="82" t="s">
        <v>164</v>
      </c>
      <c r="B270" s="83" t="s">
        <v>596</v>
      </c>
      <c r="C270" s="84" t="s">
        <v>680</v>
      </c>
      <c r="D270" s="85">
        <v>0</v>
      </c>
      <c r="E270" s="85">
        <v>0</v>
      </c>
      <c r="F270" s="85">
        <v>0</v>
      </c>
      <c r="G270" s="85">
        <v>0</v>
      </c>
      <c r="H270" s="85">
        <v>0</v>
      </c>
      <c r="I270" s="85">
        <v>0</v>
      </c>
      <c r="J270" s="85">
        <v>0</v>
      </c>
      <c r="K270" s="85">
        <v>0</v>
      </c>
      <c r="L270" s="85">
        <v>0</v>
      </c>
      <c r="M270" s="85">
        <v>0</v>
      </c>
      <c r="N270" s="85">
        <v>0</v>
      </c>
      <c r="O270" s="85">
        <v>0</v>
      </c>
      <c r="P270" s="85">
        <v>0</v>
      </c>
      <c r="Q270" s="85">
        <v>0</v>
      </c>
      <c r="R270" s="85">
        <v>0</v>
      </c>
      <c r="S270" s="85">
        <v>0</v>
      </c>
      <c r="T270" s="85">
        <v>0</v>
      </c>
      <c r="U270" s="85">
        <v>0</v>
      </c>
      <c r="V270" s="85">
        <v>0</v>
      </c>
      <c r="W270" s="85">
        <v>0</v>
      </c>
      <c r="X270" s="85">
        <v>0</v>
      </c>
      <c r="Y270" s="85">
        <v>0</v>
      </c>
      <c r="Z270" s="85">
        <v>0</v>
      </c>
      <c r="AA270" s="85">
        <v>0</v>
      </c>
      <c r="AB270" s="85">
        <v>0</v>
      </c>
      <c r="AC270" s="85">
        <v>0</v>
      </c>
      <c r="AD270" s="85"/>
    </row>
    <row r="271" spans="1:30">
      <c r="A271" s="82" t="s">
        <v>164</v>
      </c>
      <c r="B271" s="83" t="s">
        <v>594</v>
      </c>
      <c r="C271" s="84" t="s">
        <v>680</v>
      </c>
      <c r="D271" s="85">
        <v>0</v>
      </c>
      <c r="E271" s="85">
        <f>112.6*0.055</f>
        <v>6.1929999999999996</v>
      </c>
      <c r="F271" s="85">
        <f>120*0.055</f>
        <v>6.6</v>
      </c>
      <c r="G271" s="85">
        <f>137*0.055</f>
        <v>7.5350000000000001</v>
      </c>
      <c r="H271" s="85">
        <f>320*0.055</f>
        <v>17.600000000000001</v>
      </c>
      <c r="I271" s="85">
        <f>272*0.055</f>
        <v>14.96</v>
      </c>
      <c r="J271" s="85">
        <v>0</v>
      </c>
      <c r="K271" s="85">
        <f>218.53*0.055</f>
        <v>12.01915</v>
      </c>
      <c r="L271" s="85">
        <f>578.22*0.055</f>
        <v>31.802100000000003</v>
      </c>
      <c r="M271" s="85">
        <f>523.77*0.055</f>
        <v>28.80735</v>
      </c>
      <c r="N271" s="85">
        <f>999.62*0.055</f>
        <v>54.979100000000003</v>
      </c>
      <c r="O271" s="85">
        <f>(893.96+31.29056)*0.055</f>
        <v>50.888780800000006</v>
      </c>
      <c r="P271" s="85">
        <f>874.2*0.055</f>
        <v>48.081000000000003</v>
      </c>
      <c r="Q271" s="85">
        <f>854.22*0.055</f>
        <v>46.982100000000003</v>
      </c>
      <c r="R271" s="85">
        <v>0</v>
      </c>
      <c r="S271" s="85">
        <f>890.3*0.055</f>
        <v>48.966499999999996</v>
      </c>
      <c r="T271" s="85">
        <f>720.2*0.055</f>
        <v>39.611000000000004</v>
      </c>
      <c r="U271" s="85">
        <f>600*0.055</f>
        <v>33</v>
      </c>
      <c r="V271" s="85">
        <f>661*0.055</f>
        <v>36.354999999999997</v>
      </c>
      <c r="W271" s="85">
        <f>720.09*0.055</f>
        <v>39.604950000000002</v>
      </c>
      <c r="X271" s="85">
        <f>759.72*0.055</f>
        <v>41.784600000000005</v>
      </c>
      <c r="Y271" s="85">
        <f>806.55*0.055</f>
        <v>44.360250000000001</v>
      </c>
      <c r="Z271" s="85">
        <f>601.85*0.055</f>
        <v>33.101750000000003</v>
      </c>
      <c r="AA271" s="85">
        <f>691.93*0.055</f>
        <v>38.056149999999995</v>
      </c>
      <c r="AB271" s="85">
        <f>533.32*0.055</f>
        <v>29.332600000000003</v>
      </c>
      <c r="AC271" s="85">
        <f>219.124*0.055</f>
        <v>12.051819999999999</v>
      </c>
      <c r="AD271" s="85"/>
    </row>
    <row r="272" spans="1:30">
      <c r="A272" s="82" t="s">
        <v>164</v>
      </c>
      <c r="B272" s="87" t="s">
        <v>643</v>
      </c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>
        <v>0</v>
      </c>
      <c r="O272" s="85">
        <v>0</v>
      </c>
      <c r="P272" s="85">
        <v>0</v>
      </c>
      <c r="Q272" s="85">
        <v>0</v>
      </c>
      <c r="R272" s="85">
        <v>0</v>
      </c>
      <c r="S272" s="85">
        <v>0</v>
      </c>
      <c r="T272" s="85">
        <v>0</v>
      </c>
      <c r="U272" s="85">
        <v>0</v>
      </c>
      <c r="V272" s="85">
        <v>0</v>
      </c>
      <c r="W272" s="85">
        <v>0</v>
      </c>
      <c r="X272" s="85">
        <v>0</v>
      </c>
      <c r="Y272" s="85">
        <v>0</v>
      </c>
      <c r="Z272" s="85">
        <v>0</v>
      </c>
      <c r="AA272" s="85">
        <v>0</v>
      </c>
      <c r="AB272" s="85">
        <v>0</v>
      </c>
      <c r="AC272" s="85">
        <v>0</v>
      </c>
      <c r="AD272" s="85"/>
    </row>
    <row r="273" spans="1:30">
      <c r="A273" s="82" t="s">
        <v>664</v>
      </c>
      <c r="B273" s="83" t="s">
        <v>597</v>
      </c>
      <c r="C273" s="84" t="s">
        <v>680</v>
      </c>
      <c r="D273" s="84" t="s">
        <v>680</v>
      </c>
      <c r="E273" s="84" t="s">
        <v>680</v>
      </c>
      <c r="F273" s="84" t="s">
        <v>680</v>
      </c>
      <c r="G273" s="84" t="s">
        <v>680</v>
      </c>
      <c r="H273" s="84" t="s">
        <v>680</v>
      </c>
      <c r="I273" s="84" t="s">
        <v>680</v>
      </c>
      <c r="J273" s="85">
        <v>0</v>
      </c>
      <c r="K273" s="85">
        <v>0</v>
      </c>
      <c r="L273" s="85"/>
      <c r="M273" s="85">
        <v>0</v>
      </c>
      <c r="N273" s="85">
        <f>3.11*0.02</f>
        <v>6.2199999999999998E-2</v>
      </c>
      <c r="O273" s="85">
        <f>0.98*0.02</f>
        <v>1.9599999999999999E-2</v>
      </c>
      <c r="P273" s="85">
        <f>2.86*0.02</f>
        <v>5.7200000000000001E-2</v>
      </c>
      <c r="Q273" s="85">
        <f>13.57*0.02</f>
        <v>0.27140000000000003</v>
      </c>
      <c r="R273" s="85">
        <f>13.89*0.02</f>
        <v>0.27779999999999999</v>
      </c>
      <c r="S273" s="85">
        <f>3.73*0.02</f>
        <v>7.46E-2</v>
      </c>
      <c r="T273" s="85">
        <f>3.45*0.02</f>
        <v>6.9000000000000006E-2</v>
      </c>
      <c r="U273" s="85">
        <f>3.36*0.02</f>
        <v>6.7199999999999996E-2</v>
      </c>
      <c r="V273" s="85">
        <f>6.27*0.02</f>
        <v>0.12539999999999998</v>
      </c>
      <c r="W273" s="85">
        <f>1.27*0.02</f>
        <v>2.5400000000000002E-2</v>
      </c>
      <c r="X273" s="85">
        <f>4.43*0.02</f>
        <v>8.8599999999999998E-2</v>
      </c>
      <c r="Y273" s="85">
        <f>1.74*0.02</f>
        <v>3.4799999999999998E-2</v>
      </c>
      <c r="Z273" s="85">
        <v>0</v>
      </c>
      <c r="AA273" s="85">
        <f>0.47*0.02</f>
        <v>9.4000000000000004E-3</v>
      </c>
      <c r="AB273" s="85">
        <f>0.4268*0.02</f>
        <v>8.5360000000000002E-3</v>
      </c>
      <c r="AC273" s="85">
        <v>0</v>
      </c>
      <c r="AD273" s="85"/>
    </row>
    <row r="274" spans="1:30">
      <c r="A274" s="82" t="s">
        <v>664</v>
      </c>
      <c r="B274" s="83" t="s">
        <v>600</v>
      </c>
      <c r="C274" s="84" t="s">
        <v>680</v>
      </c>
      <c r="D274" s="84" t="s">
        <v>680</v>
      </c>
      <c r="E274" s="84" t="s">
        <v>680</v>
      </c>
      <c r="F274" s="84" t="s">
        <v>680</v>
      </c>
      <c r="G274" s="84" t="s">
        <v>680</v>
      </c>
      <c r="H274" s="84" t="s">
        <v>680</v>
      </c>
      <c r="I274" s="84" t="s">
        <v>680</v>
      </c>
      <c r="J274" s="85">
        <v>0</v>
      </c>
      <c r="K274" s="85">
        <v>0</v>
      </c>
      <c r="L274" s="85"/>
      <c r="M274" s="85">
        <v>0</v>
      </c>
      <c r="N274" s="85">
        <v>0</v>
      </c>
      <c r="O274" s="85">
        <v>0</v>
      </c>
      <c r="P274" s="85">
        <v>0</v>
      </c>
      <c r="Q274" s="85">
        <v>0</v>
      </c>
      <c r="R274" s="85">
        <v>0</v>
      </c>
      <c r="S274" s="85">
        <f>13.8*0.022</f>
        <v>0.30359999999999998</v>
      </c>
      <c r="T274" s="85">
        <f>14.79*0.022</f>
        <v>0.32537999999999995</v>
      </c>
      <c r="U274" s="85">
        <f>5.4*0.022</f>
        <v>0.1188</v>
      </c>
      <c r="V274" s="85">
        <v>0</v>
      </c>
      <c r="W274" s="85">
        <f>0.44*0.022</f>
        <v>9.6799999999999994E-3</v>
      </c>
      <c r="X274" s="85">
        <f>0.3*0.022</f>
        <v>6.5999999999999991E-3</v>
      </c>
      <c r="Y274" s="85">
        <f>0.54*0.022</f>
        <v>1.188E-2</v>
      </c>
      <c r="Z274" s="85">
        <f>0.26*0.022</f>
        <v>5.7200000000000003E-3</v>
      </c>
      <c r="AA274" s="85">
        <v>0</v>
      </c>
      <c r="AB274" s="85">
        <f>0.154*0.022</f>
        <v>3.388E-3</v>
      </c>
      <c r="AC274" s="85">
        <f>0.272*0.022</f>
        <v>5.9839999999999997E-3</v>
      </c>
      <c r="AD274" s="85"/>
    </row>
    <row r="275" spans="1:30">
      <c r="A275" s="82" t="s">
        <v>664</v>
      </c>
      <c r="B275" s="83" t="s">
        <v>595</v>
      </c>
      <c r="C275" s="84" t="s">
        <v>680</v>
      </c>
      <c r="D275" s="84" t="s">
        <v>680</v>
      </c>
      <c r="E275" s="84" t="s">
        <v>680</v>
      </c>
      <c r="F275" s="84" t="s">
        <v>680</v>
      </c>
      <c r="G275" s="84" t="s">
        <v>680</v>
      </c>
      <c r="H275" s="84" t="s">
        <v>680</v>
      </c>
      <c r="I275" s="84" t="s">
        <v>680</v>
      </c>
      <c r="J275" s="85">
        <v>0</v>
      </c>
      <c r="K275" s="85">
        <v>0</v>
      </c>
      <c r="L275" s="85"/>
      <c r="M275" s="85">
        <f>0.43*0.11</f>
        <v>4.7300000000000002E-2</v>
      </c>
      <c r="N275" s="85">
        <f>2.99*0.11</f>
        <v>0.32890000000000003</v>
      </c>
      <c r="O275" s="85">
        <f>3.34*0.11</f>
        <v>0.3674</v>
      </c>
      <c r="P275" s="85">
        <f>4.26*0.11</f>
        <v>0.46859999999999996</v>
      </c>
      <c r="Q275" s="85">
        <f>4.2*0.11</f>
        <v>0.46200000000000002</v>
      </c>
      <c r="R275" s="85">
        <f>6.99*0.11</f>
        <v>0.76890000000000003</v>
      </c>
      <c r="S275" s="85">
        <f>2.9*0.11</f>
        <v>0.31900000000000001</v>
      </c>
      <c r="T275" s="85">
        <f>11.4*0.11</f>
        <v>1.254</v>
      </c>
      <c r="U275" s="85">
        <f>22.15*0.11</f>
        <v>2.4364999999999997</v>
      </c>
      <c r="V275" s="85">
        <f>14.8*0.11</f>
        <v>1.6280000000000001</v>
      </c>
      <c r="W275" s="85">
        <f>8.7*0.11</f>
        <v>0.95699999999999996</v>
      </c>
      <c r="X275" s="85">
        <f>9.91*0.11</f>
        <v>1.0901000000000001</v>
      </c>
      <c r="Y275" s="85">
        <f>19.73*0.11</f>
        <v>2.1703000000000001</v>
      </c>
      <c r="Z275" s="85">
        <f>19.06*0.11</f>
        <v>2.0966</v>
      </c>
      <c r="AA275" s="85">
        <f>6.7*0.11</f>
        <v>0.73699999999999999</v>
      </c>
      <c r="AB275" s="85">
        <v>0</v>
      </c>
      <c r="AC275" s="85">
        <v>0</v>
      </c>
      <c r="AD275" s="85"/>
    </row>
    <row r="276" spans="1:30">
      <c r="A276" s="82" t="s">
        <v>664</v>
      </c>
      <c r="B276" s="83" t="s">
        <v>700</v>
      </c>
      <c r="C276" s="84"/>
      <c r="D276" s="84"/>
      <c r="E276" s="84"/>
      <c r="F276" s="84"/>
      <c r="G276" s="84"/>
      <c r="H276" s="84"/>
      <c r="I276" s="84"/>
      <c r="J276" s="85"/>
      <c r="K276" s="85"/>
      <c r="L276" s="85"/>
      <c r="M276" s="85"/>
      <c r="N276" s="85"/>
      <c r="O276" s="85"/>
      <c r="P276" s="85"/>
      <c r="Q276" s="85">
        <f>305*0.11</f>
        <v>33.549999999999997</v>
      </c>
      <c r="R276" s="85">
        <f>240.82*0.11</f>
        <v>26.490199999999998</v>
      </c>
      <c r="S276" s="85">
        <f>264.84*0.11</f>
        <v>29.132399999999997</v>
      </c>
      <c r="T276" s="85">
        <f>150.78*0.11</f>
        <v>16.585799999999999</v>
      </c>
      <c r="U276" s="85">
        <f>95.61*0.11</f>
        <v>10.517099999999999</v>
      </c>
      <c r="V276" s="85">
        <f>140.72*0.11</f>
        <v>15.479200000000001</v>
      </c>
      <c r="W276" s="85">
        <f>142.56*0.11</f>
        <v>15.6816</v>
      </c>
      <c r="X276" s="85">
        <f>181.07*0.11</f>
        <v>19.9177</v>
      </c>
      <c r="Y276" s="85">
        <f>118.09*0.11</f>
        <v>12.9899</v>
      </c>
      <c r="Z276" s="85">
        <f>131.29*0.11</f>
        <v>14.441899999999999</v>
      </c>
      <c r="AA276" s="85">
        <f>101.79*0.11</f>
        <v>11.196900000000001</v>
      </c>
      <c r="AB276" s="85">
        <f>75.8778*0.11</f>
        <v>8.3465579999999999</v>
      </c>
      <c r="AC276" s="85">
        <f>67.0788*0.11</f>
        <v>7.3786680000000002</v>
      </c>
      <c r="AD276" s="85"/>
    </row>
    <row r="277" spans="1:30">
      <c r="A277" s="82" t="s">
        <v>664</v>
      </c>
      <c r="B277" s="83" t="s">
        <v>596</v>
      </c>
      <c r="C277" s="84" t="s">
        <v>680</v>
      </c>
      <c r="D277" s="84" t="s">
        <v>680</v>
      </c>
      <c r="E277" s="84" t="s">
        <v>680</v>
      </c>
      <c r="F277" s="84" t="s">
        <v>680</v>
      </c>
      <c r="G277" s="84" t="s">
        <v>680</v>
      </c>
      <c r="H277" s="84" t="s">
        <v>680</v>
      </c>
      <c r="I277" s="84" t="s">
        <v>680</v>
      </c>
      <c r="J277" s="85">
        <v>0</v>
      </c>
      <c r="K277" s="85">
        <v>0</v>
      </c>
      <c r="L277" s="85"/>
      <c r="M277" s="85">
        <v>0</v>
      </c>
      <c r="N277" s="85">
        <f>0.24*0.065</f>
        <v>1.5599999999999999E-2</v>
      </c>
      <c r="O277" s="85">
        <f>0.06*0.065</f>
        <v>3.8999999999999998E-3</v>
      </c>
      <c r="P277" s="85">
        <f>13.91*0.065</f>
        <v>0.90415000000000001</v>
      </c>
      <c r="Q277" s="85">
        <v>0</v>
      </c>
      <c r="R277" s="85">
        <f>2.76*0.065</f>
        <v>0.1794</v>
      </c>
      <c r="S277" s="85">
        <f>27.36*0.065</f>
        <v>1.7784</v>
      </c>
      <c r="T277" s="85">
        <f>22.66*0.065</f>
        <v>1.4729000000000001</v>
      </c>
      <c r="U277" s="85">
        <f>5.58*0.065</f>
        <v>0.36270000000000002</v>
      </c>
      <c r="V277" s="85">
        <f>1.41*0.065</f>
        <v>9.1649999999999995E-2</v>
      </c>
      <c r="W277" s="85">
        <f>0.27*0.065</f>
        <v>1.7550000000000003E-2</v>
      </c>
      <c r="X277" s="85">
        <f>0.18*0.065</f>
        <v>1.17E-2</v>
      </c>
      <c r="Y277" s="85">
        <f>0.33*0.065</f>
        <v>2.145E-2</v>
      </c>
      <c r="Z277" s="85">
        <f>0.15*0.065</f>
        <v>9.75E-3</v>
      </c>
      <c r="AA277" s="85">
        <v>0</v>
      </c>
      <c r="AB277" s="85">
        <f>0.0924*0.065</f>
        <v>6.0060000000000001E-3</v>
      </c>
      <c r="AC277" s="85">
        <f>0.1632*0.065</f>
        <v>1.0608000000000001E-2</v>
      </c>
      <c r="AD277" s="85"/>
    </row>
    <row r="278" spans="1:30">
      <c r="A278" s="82" t="s">
        <v>664</v>
      </c>
      <c r="B278" s="83" t="s">
        <v>594</v>
      </c>
      <c r="C278" s="84" t="s">
        <v>680</v>
      </c>
      <c r="D278" s="84" t="s">
        <v>680</v>
      </c>
      <c r="E278" s="84" t="s">
        <v>680</v>
      </c>
      <c r="F278" s="84" t="s">
        <v>680</v>
      </c>
      <c r="G278" s="84" t="s">
        <v>680</v>
      </c>
      <c r="H278" s="84" t="s">
        <v>680</v>
      </c>
      <c r="I278" s="84" t="s">
        <v>680</v>
      </c>
      <c r="J278" s="85">
        <f>13.7*0.055</f>
        <v>0.75349999999999995</v>
      </c>
      <c r="K278" s="85">
        <v>0</v>
      </c>
      <c r="L278" s="85"/>
      <c r="M278" s="85">
        <f>141.84*0.055</f>
        <v>7.8012000000000006</v>
      </c>
      <c r="N278" s="85">
        <f>354.32*0.055</f>
        <v>19.4876</v>
      </c>
      <c r="O278" s="85">
        <f>194.01*0.055</f>
        <v>10.67055</v>
      </c>
      <c r="P278" s="85">
        <f>346.36*0.055</f>
        <v>19.049800000000001</v>
      </c>
      <c r="Q278" s="85">
        <f>362.12*0.055</f>
        <v>19.916599999999999</v>
      </c>
      <c r="R278" s="85">
        <f>238.16*0.055</f>
        <v>13.098800000000001</v>
      </c>
      <c r="S278" s="85">
        <f>541.85*0.055</f>
        <v>29.801750000000002</v>
      </c>
      <c r="T278" s="85">
        <f>557.02*0.055</f>
        <v>30.636099999999999</v>
      </c>
      <c r="U278" s="85">
        <f>346.18*0.055</f>
        <v>19.039899999999999</v>
      </c>
      <c r="V278" s="85">
        <f>356.97*0.055</f>
        <v>19.63335</v>
      </c>
      <c r="W278" s="85">
        <f>347.1*0.055</f>
        <v>19.090500000000002</v>
      </c>
      <c r="X278" s="85">
        <f>310.21*0.055</f>
        <v>17.06155</v>
      </c>
      <c r="Y278" s="85">
        <f>288.95*0.055</f>
        <v>15.892249999999999</v>
      </c>
      <c r="Z278" s="85">
        <f>243*0.055</f>
        <v>13.365</v>
      </c>
      <c r="AA278" s="85">
        <f>241.21*0.055</f>
        <v>13.266550000000001</v>
      </c>
      <c r="AB278" s="85">
        <f>244.4671*0.055</f>
        <v>13.4456905</v>
      </c>
      <c r="AC278" s="85">
        <f>184.5655*0.055</f>
        <v>10.151102499999999</v>
      </c>
      <c r="AD278" s="85"/>
    </row>
    <row r="279" spans="1:30">
      <c r="A279" s="82" t="s">
        <v>664</v>
      </c>
      <c r="B279" s="87" t="s">
        <v>643</v>
      </c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>
        <v>0</v>
      </c>
      <c r="O279" s="85">
        <v>0</v>
      </c>
      <c r="P279" s="85">
        <v>0</v>
      </c>
      <c r="Q279" s="85">
        <v>0</v>
      </c>
      <c r="R279" s="85">
        <v>0</v>
      </c>
      <c r="S279" s="85">
        <v>0</v>
      </c>
      <c r="T279" s="85">
        <v>0</v>
      </c>
      <c r="U279" s="85">
        <v>0</v>
      </c>
      <c r="V279" s="85">
        <v>0</v>
      </c>
      <c r="W279" s="85">
        <v>0</v>
      </c>
      <c r="X279" s="85">
        <v>0</v>
      </c>
      <c r="Y279" s="85">
        <v>0</v>
      </c>
      <c r="Z279" s="85">
        <v>0</v>
      </c>
      <c r="AA279" s="85">
        <v>0</v>
      </c>
      <c r="AB279" s="85">
        <v>0</v>
      </c>
      <c r="AC279" s="85">
        <v>0</v>
      </c>
      <c r="AD279" s="85"/>
    </row>
    <row r="280" spans="1:30">
      <c r="A280" s="82" t="s">
        <v>666</v>
      </c>
      <c r="B280" s="83" t="s">
        <v>597</v>
      </c>
      <c r="C280" s="85">
        <v>0</v>
      </c>
      <c r="D280" s="85">
        <v>0</v>
      </c>
      <c r="E280" s="85">
        <v>0</v>
      </c>
      <c r="F280" s="85">
        <v>0</v>
      </c>
      <c r="G280" s="85">
        <v>0</v>
      </c>
      <c r="H280" s="85">
        <v>0</v>
      </c>
      <c r="I280" s="85">
        <v>0</v>
      </c>
      <c r="J280" s="85">
        <v>0</v>
      </c>
      <c r="K280" s="85">
        <v>0</v>
      </c>
      <c r="L280" s="85">
        <v>0</v>
      </c>
      <c r="M280" s="85">
        <f>90*0.02</f>
        <v>1.8</v>
      </c>
      <c r="N280" s="85">
        <v>6.1600000000000002E-2</v>
      </c>
      <c r="O280" s="85">
        <v>0</v>
      </c>
      <c r="P280" s="85">
        <f>2*0.02</f>
        <v>0.04</v>
      </c>
      <c r="Q280" s="85">
        <f>7*0.02</f>
        <v>0.14000000000000001</v>
      </c>
      <c r="R280" s="85">
        <f>3.5*0.02</f>
        <v>7.0000000000000007E-2</v>
      </c>
      <c r="S280" s="85">
        <f>6.5*0.02</f>
        <v>0.13</v>
      </c>
      <c r="T280" s="85">
        <v>0</v>
      </c>
      <c r="U280" s="85">
        <f>24.48*0.02</f>
        <v>0.48960000000000004</v>
      </c>
      <c r="V280" s="85">
        <v>0</v>
      </c>
      <c r="W280" s="85">
        <f>9.07*0.02</f>
        <v>0.18140000000000001</v>
      </c>
      <c r="X280" s="85">
        <f>5*0.02</f>
        <v>0.1</v>
      </c>
      <c r="Y280" s="85">
        <f>1.64*0.02</f>
        <v>3.2799999999999996E-2</v>
      </c>
      <c r="Z280" s="85">
        <f>2*0.02</f>
        <v>0.04</v>
      </c>
      <c r="AA280" s="85">
        <f>3.75*0.02</f>
        <v>7.4999999999999997E-2</v>
      </c>
      <c r="AB280" s="85">
        <v>0</v>
      </c>
      <c r="AC280" s="85">
        <f>7.75*0.02</f>
        <v>0.155</v>
      </c>
      <c r="AD280" s="85"/>
    </row>
    <row r="281" spans="1:30">
      <c r="A281" s="82" t="s">
        <v>666</v>
      </c>
      <c r="B281" s="83" t="s">
        <v>600</v>
      </c>
      <c r="C281" s="85">
        <v>0</v>
      </c>
      <c r="D281" s="85">
        <v>0</v>
      </c>
      <c r="E281" s="85">
        <v>0</v>
      </c>
      <c r="F281" s="85">
        <v>0</v>
      </c>
      <c r="G281" s="85">
        <v>0</v>
      </c>
      <c r="H281" s="85">
        <v>0</v>
      </c>
      <c r="I281" s="85">
        <v>0</v>
      </c>
      <c r="J281" s="85">
        <v>0</v>
      </c>
      <c r="K281" s="85">
        <v>0</v>
      </c>
      <c r="L281" s="85">
        <v>0</v>
      </c>
      <c r="M281" s="85">
        <f>47*0.022</f>
        <v>1.034</v>
      </c>
      <c r="N281" s="85">
        <v>0</v>
      </c>
      <c r="O281" s="85">
        <v>0</v>
      </c>
      <c r="P281" s="85">
        <v>0</v>
      </c>
      <c r="Q281" s="85">
        <v>0</v>
      </c>
      <c r="R281" s="85">
        <f>0.26*0.022</f>
        <v>5.7200000000000003E-3</v>
      </c>
      <c r="S281" s="85">
        <v>0</v>
      </c>
      <c r="T281" s="85">
        <f>0.15*0.022</f>
        <v>3.2999999999999995E-3</v>
      </c>
      <c r="U281" s="85">
        <f>1.68*0.022</f>
        <v>3.696E-2</v>
      </c>
      <c r="V281" s="85">
        <f>0.272*0.022</f>
        <v>5.9839999999999997E-3</v>
      </c>
      <c r="W281" s="85">
        <f>2.7*0.022</f>
        <v>5.9400000000000001E-2</v>
      </c>
      <c r="X281" s="85">
        <v>0</v>
      </c>
      <c r="Y281" s="85">
        <f>2.09*0.022</f>
        <v>4.5979999999999993E-2</v>
      </c>
      <c r="Z281" s="85">
        <v>0</v>
      </c>
      <c r="AA281" s="85">
        <v>0</v>
      </c>
      <c r="AB281" s="85">
        <v>0</v>
      </c>
      <c r="AC281" s="85">
        <f>0.34*0.022</f>
        <v>7.4799999999999997E-3</v>
      </c>
      <c r="AD281" s="85"/>
    </row>
    <row r="282" spans="1:30">
      <c r="A282" s="82" t="s">
        <v>666</v>
      </c>
      <c r="B282" s="83" t="s">
        <v>595</v>
      </c>
      <c r="C282" s="85">
        <v>0</v>
      </c>
      <c r="D282" s="85">
        <v>0</v>
      </c>
      <c r="E282" s="85">
        <v>0</v>
      </c>
      <c r="F282" s="85">
        <v>0</v>
      </c>
      <c r="G282" s="85">
        <v>0</v>
      </c>
      <c r="H282" s="85">
        <f>100*0.11</f>
        <v>11</v>
      </c>
      <c r="I282" s="85">
        <f>75.36*0.11</f>
        <v>8.2896000000000001</v>
      </c>
      <c r="J282" s="85">
        <f>80*0.11</f>
        <v>8.8000000000000007</v>
      </c>
      <c r="K282" s="85">
        <f>39*0.11</f>
        <v>4.29</v>
      </c>
      <c r="L282" s="85">
        <v>37.950000000000003</v>
      </c>
      <c r="M282" s="85">
        <f>420*0.11</f>
        <v>46.2</v>
      </c>
      <c r="N282" s="85">
        <v>64.614000000000004</v>
      </c>
      <c r="O282" s="85">
        <f>1411.75*0.11</f>
        <v>155.29249999999999</v>
      </c>
      <c r="P282" s="85">
        <f>970.13*0.11</f>
        <v>106.71429999999999</v>
      </c>
      <c r="Q282" s="85">
        <f>1208.97*0.11</f>
        <v>132.98670000000001</v>
      </c>
      <c r="R282" s="85">
        <f>1147.546*0.11</f>
        <v>126.23006000000001</v>
      </c>
      <c r="S282" s="85">
        <f>930.06*0.11</f>
        <v>102.30659999999999</v>
      </c>
      <c r="T282" s="85">
        <f>2043.4*0.11</f>
        <v>224.774</v>
      </c>
      <c r="U282" s="85">
        <f>750.73*0.11</f>
        <v>82.580300000000008</v>
      </c>
      <c r="V282" s="85">
        <f>1118.78*0.11</f>
        <v>123.0658</v>
      </c>
      <c r="W282" s="85">
        <f>1072.75*0.11</f>
        <v>118.0025</v>
      </c>
      <c r="X282" s="85">
        <f>731.53*0.11</f>
        <v>80.468299999999999</v>
      </c>
      <c r="Y282" s="85">
        <f>871.01*0.11</f>
        <v>95.811099999999996</v>
      </c>
      <c r="Z282" s="85">
        <f>(630.15-0.68)*0.11</f>
        <v>69.241700000000009</v>
      </c>
      <c r="AA282" s="85">
        <f>(548.125-0.504)*0.11</f>
        <v>60.238309999999998</v>
      </c>
      <c r="AB282" s="85">
        <v>0</v>
      </c>
      <c r="AC282" s="85">
        <v>0</v>
      </c>
      <c r="AD282" s="85"/>
    </row>
    <row r="283" spans="1:30">
      <c r="A283" s="82" t="s">
        <v>666</v>
      </c>
      <c r="B283" s="83" t="s">
        <v>700</v>
      </c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>
        <f>917*0.11</f>
        <v>100.87</v>
      </c>
      <c r="S283" s="85">
        <f>418.5*0.11</f>
        <v>46.035000000000004</v>
      </c>
      <c r="T283" s="85">
        <f>613.02*0.11</f>
        <v>67.432199999999995</v>
      </c>
      <c r="U283" s="85">
        <f>155.61*0.11</f>
        <v>17.117100000000001</v>
      </c>
      <c r="V283" s="85">
        <f>120*0.11</f>
        <v>13.2</v>
      </c>
      <c r="W283" s="85">
        <f>100*0.11</f>
        <v>11</v>
      </c>
      <c r="X283" s="85">
        <f>177.8*0.11</f>
        <v>19.558</v>
      </c>
      <c r="Y283" s="85">
        <f>87.951*0.11</f>
        <v>9.6746099999999995</v>
      </c>
      <c r="Z283" s="85">
        <v>0</v>
      </c>
      <c r="AA283" s="85">
        <v>0</v>
      </c>
      <c r="AB283" s="85">
        <v>0</v>
      </c>
      <c r="AC283" s="85">
        <v>0</v>
      </c>
      <c r="AD283" s="85"/>
    </row>
    <row r="284" spans="1:30">
      <c r="A284" s="82" t="s">
        <v>666</v>
      </c>
      <c r="B284" s="83" t="s">
        <v>596</v>
      </c>
      <c r="C284" s="85">
        <v>0</v>
      </c>
      <c r="D284" s="85">
        <v>0</v>
      </c>
      <c r="E284" s="85">
        <v>0</v>
      </c>
      <c r="F284" s="85">
        <v>0</v>
      </c>
      <c r="G284" s="85">
        <v>0</v>
      </c>
      <c r="H284" s="85">
        <f>50*0.065</f>
        <v>3.25</v>
      </c>
      <c r="I284" s="85">
        <f>50*0.065</f>
        <v>3.25</v>
      </c>
      <c r="J284" s="85">
        <f>20*0.065</f>
        <v>1.3</v>
      </c>
      <c r="K284" s="85">
        <f>15*0.065</f>
        <v>0.97500000000000009</v>
      </c>
      <c r="L284" s="85">
        <v>2.6</v>
      </c>
      <c r="M284" s="85">
        <f>180*0.065</f>
        <v>11.700000000000001</v>
      </c>
      <c r="N284" s="85">
        <v>1.9226999999999999</v>
      </c>
      <c r="O284" s="85">
        <f>291.14*0.065</f>
        <v>18.924099999999999</v>
      </c>
      <c r="P284" s="85">
        <f>243.613*0.065</f>
        <v>15.834845000000001</v>
      </c>
      <c r="Q284" s="85">
        <f>232.724*0.065</f>
        <v>15.12706</v>
      </c>
      <c r="R284" s="85">
        <f>248.74*0.065</f>
        <v>16.168100000000003</v>
      </c>
      <c r="S284" s="85">
        <f>242.99*0.065</f>
        <v>15.794350000000001</v>
      </c>
      <c r="T284" s="85">
        <f>270.8*0.065</f>
        <v>17.602</v>
      </c>
      <c r="U284" s="85">
        <f>136.45*0.065</f>
        <v>8.8692499999999992</v>
      </c>
      <c r="V284" s="85">
        <f>146.49*0.065</f>
        <v>9.5218500000000006</v>
      </c>
      <c r="W284" s="85">
        <f>42.04*0.065</f>
        <v>2.7326000000000001</v>
      </c>
      <c r="X284" s="85">
        <f>57.53*0.065</f>
        <v>3.7394500000000002</v>
      </c>
      <c r="Y284" s="85">
        <f>70.54*0.065</f>
        <v>4.5851000000000006</v>
      </c>
      <c r="Z284" s="85">
        <f>(26.745*0.065)+((34.36-1.98)*0.41*0.065)</f>
        <v>2.6013520000000003</v>
      </c>
      <c r="AA284" s="85">
        <f>(20+32.37)*0.065</f>
        <v>3.4040499999999998</v>
      </c>
      <c r="AB284" s="85">
        <f>(6.65*0.065)+(112.89*0.41*0.065)</f>
        <v>3.4407684999999999</v>
      </c>
      <c r="AC284" s="85">
        <f>(23.8*0.065)+((29.744-4.536)*0.41*0.065)</f>
        <v>2.2187932000000004</v>
      </c>
      <c r="AD284" s="85"/>
    </row>
    <row r="285" spans="1:30">
      <c r="A285" s="82" t="s">
        <v>666</v>
      </c>
      <c r="B285" s="83" t="s">
        <v>594</v>
      </c>
      <c r="C285" s="85">
        <v>0</v>
      </c>
      <c r="D285" s="85">
        <v>0</v>
      </c>
      <c r="E285" s="85">
        <f>1200*0.055</f>
        <v>66</v>
      </c>
      <c r="F285" s="85">
        <f>1600*0.055</f>
        <v>88</v>
      </c>
      <c r="G285" s="85">
        <f>1800*0.055</f>
        <v>99</v>
      </c>
      <c r="H285" s="85">
        <f>2500*0.055</f>
        <v>137.5</v>
      </c>
      <c r="I285" s="85">
        <f>2000*0.055</f>
        <v>110</v>
      </c>
      <c r="J285" s="85">
        <f>2000*0.055</f>
        <v>110</v>
      </c>
      <c r="K285" s="85">
        <f>1932*0.055</f>
        <v>106.26</v>
      </c>
      <c r="L285" s="85">
        <v>114.4</v>
      </c>
      <c r="M285" s="85">
        <f>2050*0.055</f>
        <v>112.75</v>
      </c>
      <c r="N285" s="85">
        <v>182.54499999999999</v>
      </c>
      <c r="O285" s="85">
        <f>4696.23*0.055</f>
        <v>258.29264999999998</v>
      </c>
      <c r="P285" s="85">
        <f>4178.595*0.055</f>
        <v>229.82272500000002</v>
      </c>
      <c r="Q285" s="85">
        <f>4515.337*0.055</f>
        <v>248.34353500000003</v>
      </c>
      <c r="R285" s="85">
        <f>4218.978*0.055</f>
        <v>232.04379</v>
      </c>
      <c r="S285" s="85">
        <f>4315.47*0.055</f>
        <v>237.35085000000001</v>
      </c>
      <c r="T285" s="85">
        <f>4934.5*0.055</f>
        <v>271.39749999999998</v>
      </c>
      <c r="U285" s="85">
        <f>3416.49*0.055</f>
        <v>187.90694999999999</v>
      </c>
      <c r="V285" s="85">
        <f>3172.585*0.055</f>
        <v>174.492175</v>
      </c>
      <c r="W285" s="85">
        <f>(4055.978-17)*0.055</f>
        <v>222.14379</v>
      </c>
      <c r="X285" s="85">
        <f>4767.593*0.055</f>
        <v>262.21761499999997</v>
      </c>
      <c r="Y285" s="85">
        <f>4472.52*0.055</f>
        <v>245.98860000000002</v>
      </c>
      <c r="Z285" s="85">
        <f>((3937.29-35.72)*0.055)+((34.36-1.98)*0.55*0.055)</f>
        <v>215.56584500000002</v>
      </c>
      <c r="AA285" s="85">
        <f>(4071.611-31.698+43.42)*0.055</f>
        <v>224.583315</v>
      </c>
      <c r="AB285" s="85">
        <f>(4419.815*0.055)+(112.89*0.55*0.055)</f>
        <v>246.50474749999998</v>
      </c>
      <c r="AC285" s="85">
        <f>((3762.924-18.48)*0.055)+((29.744-4.536)*0.55*0.055)+(2.725*0.47*0.055)</f>
        <v>206.77740324999999</v>
      </c>
      <c r="AD285" s="85"/>
    </row>
    <row r="286" spans="1:30">
      <c r="A286" s="82" t="s">
        <v>666</v>
      </c>
      <c r="B286" s="87" t="s">
        <v>643</v>
      </c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>
        <v>0</v>
      </c>
      <c r="O286" s="85">
        <v>0</v>
      </c>
      <c r="P286" s="85">
        <v>0</v>
      </c>
      <c r="Q286" s="85">
        <v>0</v>
      </c>
      <c r="R286" s="85">
        <v>0</v>
      </c>
      <c r="S286" s="85">
        <v>0</v>
      </c>
      <c r="T286" s="85">
        <v>0</v>
      </c>
      <c r="U286" s="85">
        <v>0</v>
      </c>
      <c r="V286" s="85">
        <v>0</v>
      </c>
      <c r="W286" s="85">
        <v>0</v>
      </c>
      <c r="X286" s="85">
        <v>0</v>
      </c>
      <c r="Y286" s="85">
        <v>0</v>
      </c>
      <c r="Z286" s="85">
        <v>0</v>
      </c>
      <c r="AA286" s="85">
        <v>0</v>
      </c>
      <c r="AB286" s="85">
        <v>0</v>
      </c>
      <c r="AC286" s="85">
        <v>0</v>
      </c>
      <c r="AD286" s="85"/>
    </row>
    <row r="287" spans="1:30">
      <c r="A287" s="82" t="s">
        <v>575</v>
      </c>
      <c r="B287" s="83" t="s">
        <v>597</v>
      </c>
      <c r="C287" s="85">
        <v>0</v>
      </c>
      <c r="D287" s="85">
        <v>0</v>
      </c>
      <c r="E287" s="85">
        <v>0</v>
      </c>
      <c r="F287" s="85">
        <v>0</v>
      </c>
      <c r="G287" s="85">
        <v>0</v>
      </c>
      <c r="H287" s="85">
        <v>0</v>
      </c>
      <c r="I287" s="85">
        <v>0</v>
      </c>
      <c r="J287" s="85">
        <v>0</v>
      </c>
      <c r="K287" s="85">
        <v>0</v>
      </c>
      <c r="L287" s="85">
        <f>8.36*0.02</f>
        <v>0.16719999999999999</v>
      </c>
      <c r="M287" s="85">
        <v>0</v>
      </c>
      <c r="N287" s="85">
        <f>48.24*0.02</f>
        <v>0.9648000000000001</v>
      </c>
      <c r="O287" s="85">
        <v>0</v>
      </c>
      <c r="P287" s="85">
        <f>8.83*0.02</f>
        <v>0.17660000000000001</v>
      </c>
      <c r="Q287" s="85">
        <f>5*0.02</f>
        <v>0.1</v>
      </c>
      <c r="R287" s="85">
        <f>0.3*0.02</f>
        <v>6.0000000000000001E-3</v>
      </c>
      <c r="S287" s="85">
        <f>0.408*0.02</f>
        <v>8.1599999999999989E-3</v>
      </c>
      <c r="T287" s="85">
        <f>0.409*0.02</f>
        <v>8.1799999999999998E-3</v>
      </c>
      <c r="U287" s="85">
        <f>0.09*0.02</f>
        <v>1.8E-3</v>
      </c>
      <c r="V287" s="85">
        <f>0.05*0.02</f>
        <v>1E-3</v>
      </c>
      <c r="W287" s="85">
        <f>0.45*0.02</f>
        <v>9.0000000000000011E-3</v>
      </c>
      <c r="X287" s="85">
        <f>0.64*0.02</f>
        <v>1.2800000000000001E-2</v>
      </c>
      <c r="Y287" s="85">
        <f>0.41*0.02</f>
        <v>8.199999999999999E-3</v>
      </c>
      <c r="Z287" s="85">
        <v>0</v>
      </c>
      <c r="AA287" s="85">
        <v>0</v>
      </c>
      <c r="AB287" s="88">
        <f>0.14*0.02</f>
        <v>2.8000000000000004E-3</v>
      </c>
      <c r="AC287" s="85">
        <f>0.32*0.02</f>
        <v>6.4000000000000003E-3</v>
      </c>
      <c r="AD287" s="85"/>
    </row>
    <row r="288" spans="1:30">
      <c r="A288" s="82" t="s">
        <v>575</v>
      </c>
      <c r="B288" s="83" t="s">
        <v>600</v>
      </c>
      <c r="C288" s="85">
        <v>0</v>
      </c>
      <c r="D288" s="85">
        <v>0</v>
      </c>
      <c r="E288" s="85">
        <v>0</v>
      </c>
      <c r="F288" s="85">
        <v>0</v>
      </c>
      <c r="G288" s="85">
        <v>0</v>
      </c>
      <c r="H288" s="85">
        <v>0</v>
      </c>
      <c r="I288" s="85">
        <v>0</v>
      </c>
      <c r="J288" s="85">
        <v>0</v>
      </c>
      <c r="K288" s="85">
        <v>0</v>
      </c>
      <c r="L288" s="85">
        <f>1.1*0.022</f>
        <v>2.4199999999999999E-2</v>
      </c>
      <c r="M288" s="85">
        <f>0.8*0.022</f>
        <v>1.7600000000000001E-2</v>
      </c>
      <c r="N288" s="85">
        <v>0</v>
      </c>
      <c r="O288" s="85">
        <f>17.87*0.022</f>
        <v>0.39313999999999999</v>
      </c>
      <c r="P288" s="85">
        <f>17.62*0.022</f>
        <v>0.38763999999999998</v>
      </c>
      <c r="Q288" s="85">
        <f>8.86*0.022</f>
        <v>0.19491999999999998</v>
      </c>
      <c r="R288" s="85">
        <v>0</v>
      </c>
      <c r="S288" s="85">
        <f>1.777*0.022</f>
        <v>3.9093999999999997E-2</v>
      </c>
      <c r="T288" s="85">
        <f>1.098*0.022</f>
        <v>2.4156E-2</v>
      </c>
      <c r="U288" s="85">
        <f>0.58*0.022</f>
        <v>1.2759999999999999E-2</v>
      </c>
      <c r="V288" s="85">
        <f>0.72*0.022</f>
        <v>1.584E-2</v>
      </c>
      <c r="W288" s="85">
        <f>0.71*0.022</f>
        <v>1.5619999999999998E-2</v>
      </c>
      <c r="X288" s="85">
        <v>0</v>
      </c>
      <c r="Y288" s="85">
        <v>0</v>
      </c>
      <c r="Z288" s="85">
        <v>0</v>
      </c>
      <c r="AA288" s="85">
        <v>0</v>
      </c>
      <c r="AB288" s="85">
        <v>0</v>
      </c>
      <c r="AC288" s="85">
        <v>0</v>
      </c>
      <c r="AD288" s="85"/>
    </row>
    <row r="289" spans="1:30">
      <c r="A289" s="82" t="s">
        <v>575</v>
      </c>
      <c r="B289" s="83" t="s">
        <v>595</v>
      </c>
      <c r="C289" s="85">
        <v>0</v>
      </c>
      <c r="D289" s="85">
        <v>0</v>
      </c>
      <c r="E289" s="85">
        <v>0</v>
      </c>
      <c r="F289" s="85">
        <v>0</v>
      </c>
      <c r="G289" s="85">
        <v>0</v>
      </c>
      <c r="H289" s="85">
        <v>0</v>
      </c>
      <c r="I289" s="85">
        <f>0.7*0.11</f>
        <v>7.6999999999999999E-2</v>
      </c>
      <c r="J289" s="85">
        <f>9.3*0.11</f>
        <v>1.0230000000000001</v>
      </c>
      <c r="K289" s="85">
        <f>2.67*0.11</f>
        <v>0.29370000000000002</v>
      </c>
      <c r="L289" s="85">
        <f>0.98*0.11</f>
        <v>0.10779999999999999</v>
      </c>
      <c r="M289" s="85">
        <f>8.42*0.11</f>
        <v>0.92620000000000002</v>
      </c>
      <c r="N289" s="85">
        <f>26.17*0.11</f>
        <v>2.8787000000000003</v>
      </c>
      <c r="O289" s="85">
        <f>6*0.11</f>
        <v>0.66</v>
      </c>
      <c r="P289" s="85">
        <f>94.34*0.11</f>
        <v>10.3774</v>
      </c>
      <c r="Q289" s="85">
        <f>37.51*0.11</f>
        <v>4.1261000000000001</v>
      </c>
      <c r="R289" s="85">
        <f>23.26*0.11</f>
        <v>2.5586000000000002</v>
      </c>
      <c r="S289" s="85">
        <f>20.357*0.11</f>
        <v>2.2392699999999999</v>
      </c>
      <c r="T289" s="85">
        <f>22.683*0.11</f>
        <v>2.4951300000000001</v>
      </c>
      <c r="U289" s="85">
        <f>22.21*0.11</f>
        <v>2.4431000000000003</v>
      </c>
      <c r="V289" s="85">
        <f>18.89*0.11</f>
        <v>2.0779000000000001</v>
      </c>
      <c r="W289" s="85">
        <v>0</v>
      </c>
      <c r="X289" s="85">
        <v>0</v>
      </c>
      <c r="Y289" s="85">
        <v>0</v>
      </c>
      <c r="Z289" s="85">
        <v>0</v>
      </c>
      <c r="AA289" s="85">
        <v>0</v>
      </c>
      <c r="AB289" s="85">
        <v>0</v>
      </c>
      <c r="AC289" s="85">
        <v>0</v>
      </c>
      <c r="AD289" s="85"/>
    </row>
    <row r="290" spans="1:30">
      <c r="A290" s="82" t="s">
        <v>575</v>
      </c>
      <c r="B290" s="83" t="s">
        <v>596</v>
      </c>
      <c r="C290" s="85">
        <v>0</v>
      </c>
      <c r="D290" s="85">
        <v>0</v>
      </c>
      <c r="E290" s="85">
        <v>0</v>
      </c>
      <c r="F290" s="85">
        <v>0</v>
      </c>
      <c r="G290" s="85">
        <v>0</v>
      </c>
      <c r="H290" s="85">
        <v>0</v>
      </c>
      <c r="I290" s="85">
        <v>0</v>
      </c>
      <c r="J290" s="85">
        <v>0</v>
      </c>
      <c r="K290" s="85">
        <v>0</v>
      </c>
      <c r="L290" s="85">
        <v>0</v>
      </c>
      <c r="M290" s="85">
        <v>0</v>
      </c>
      <c r="N290" s="85">
        <v>0</v>
      </c>
      <c r="O290" s="85">
        <f>6.15*0.065</f>
        <v>0.39975000000000005</v>
      </c>
      <c r="P290" s="85">
        <f>1.85*0.065</f>
        <v>0.12025000000000001</v>
      </c>
      <c r="Q290" s="85">
        <f>0.75*0.065</f>
        <v>4.8750000000000002E-2</v>
      </c>
      <c r="R290" s="85">
        <f>0.18*0.065</f>
        <v>1.17E-2</v>
      </c>
      <c r="S290" s="85">
        <v>0</v>
      </c>
      <c r="T290" s="85">
        <f>0.112*0.065</f>
        <v>7.28E-3</v>
      </c>
      <c r="U290" s="85">
        <f>0.33*0.065</f>
        <v>2.145E-2</v>
      </c>
      <c r="V290" s="85">
        <f>0.04*0.065</f>
        <v>2.6000000000000003E-3</v>
      </c>
      <c r="W290" s="85">
        <v>0</v>
      </c>
      <c r="X290" s="85">
        <v>0</v>
      </c>
      <c r="Y290" s="85">
        <v>0</v>
      </c>
      <c r="Z290" s="85">
        <v>0</v>
      </c>
      <c r="AA290" s="85">
        <v>0</v>
      </c>
      <c r="AB290" s="85">
        <v>0</v>
      </c>
      <c r="AC290" s="85">
        <v>0</v>
      </c>
      <c r="AD290" s="85"/>
    </row>
    <row r="291" spans="1:30">
      <c r="A291" s="82" t="s">
        <v>575</v>
      </c>
      <c r="B291" s="83" t="s">
        <v>594</v>
      </c>
      <c r="C291" s="85">
        <f>56.4*0.055</f>
        <v>3.1019999999999999</v>
      </c>
      <c r="D291" s="85">
        <f>57.5*0.055</f>
        <v>3.1625000000000001</v>
      </c>
      <c r="E291" s="85">
        <f>107.1*0.055</f>
        <v>5.8904999999999994</v>
      </c>
      <c r="F291" s="85">
        <f>74.5*0.055</f>
        <v>4.0975000000000001</v>
      </c>
      <c r="G291" s="85">
        <f>95.19*0.055</f>
        <v>5.2354500000000002</v>
      </c>
      <c r="H291" s="85">
        <f>156.94*0.055</f>
        <v>8.6317000000000004</v>
      </c>
      <c r="I291" s="85">
        <f>76*0.055</f>
        <v>4.18</v>
      </c>
      <c r="J291" s="85">
        <f>152.6*0.055</f>
        <v>8.3929999999999989</v>
      </c>
      <c r="K291" s="85">
        <v>0</v>
      </c>
      <c r="L291" s="85">
        <f>87.31*0.055</f>
        <v>4.8020500000000004</v>
      </c>
      <c r="M291" s="85">
        <f>337*0.055</f>
        <v>18.535</v>
      </c>
      <c r="N291" s="85">
        <f>300.3*0.055</f>
        <v>16.516500000000001</v>
      </c>
      <c r="O291" s="85">
        <f>276.54*0.055</f>
        <v>15.209700000000002</v>
      </c>
      <c r="P291" s="85">
        <f>261.15*0.055</f>
        <v>14.363249999999999</v>
      </c>
      <c r="Q291" s="85">
        <f>134.54*0.055</f>
        <v>7.3996999999999993</v>
      </c>
      <c r="R291" s="85">
        <f>161.71*0.055</f>
        <v>8.89405</v>
      </c>
      <c r="S291" s="85">
        <f>132.087*0.055</f>
        <v>7.2647849999999998</v>
      </c>
      <c r="T291" s="85">
        <f>123.289*0.055</f>
        <v>6.7808950000000001</v>
      </c>
      <c r="U291" s="85">
        <f>101.81*0.055</f>
        <v>5.5995499999999998</v>
      </c>
      <c r="V291" s="85">
        <f>117.15*0.055</f>
        <v>6.4432499999999999</v>
      </c>
      <c r="W291" s="85">
        <f>105.34*0.055</f>
        <v>5.7937000000000003</v>
      </c>
      <c r="X291" s="85">
        <f>116.33*0.055</f>
        <v>6.3981500000000002</v>
      </c>
      <c r="Y291" s="85">
        <f>116.63*0.055</f>
        <v>6.41465</v>
      </c>
      <c r="Z291" s="85">
        <f>(77.842*0.055)+(0.636*0.02)</f>
        <v>4.2940300000000002</v>
      </c>
      <c r="AA291" s="85">
        <f>62.59*0.055</f>
        <v>3.44245</v>
      </c>
      <c r="AB291" s="85">
        <f>49.75*0.055</f>
        <v>2.7362500000000001</v>
      </c>
      <c r="AC291" s="85">
        <f>72*0.055</f>
        <v>3.96</v>
      </c>
      <c r="AD291" s="85"/>
    </row>
    <row r="292" spans="1:30">
      <c r="A292" s="82" t="s">
        <v>575</v>
      </c>
      <c r="B292" s="87" t="s">
        <v>643</v>
      </c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>
        <v>0</v>
      </c>
      <c r="O292" s="85">
        <v>0</v>
      </c>
      <c r="P292" s="85">
        <v>0</v>
      </c>
      <c r="Q292" s="85">
        <v>0</v>
      </c>
      <c r="R292" s="85">
        <v>0</v>
      </c>
      <c r="S292" s="85">
        <v>0</v>
      </c>
      <c r="T292" s="85">
        <v>0</v>
      </c>
      <c r="U292" s="85">
        <v>0</v>
      </c>
      <c r="V292" s="85">
        <v>0</v>
      </c>
      <c r="W292" s="85">
        <v>0</v>
      </c>
      <c r="X292" s="85">
        <v>0</v>
      </c>
      <c r="Y292" s="85">
        <v>0</v>
      </c>
      <c r="Z292" s="85">
        <v>0</v>
      </c>
      <c r="AA292" s="85">
        <v>0</v>
      </c>
      <c r="AB292" s="85">
        <v>0</v>
      </c>
      <c r="AC292" s="85">
        <v>0</v>
      </c>
      <c r="AD292" s="85"/>
    </row>
    <row r="293" spans="1:30">
      <c r="A293" s="82" t="s">
        <v>363</v>
      </c>
      <c r="B293" s="83" t="s">
        <v>597</v>
      </c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>
        <v>0</v>
      </c>
      <c r="R293" s="85">
        <v>0</v>
      </c>
      <c r="S293" s="85">
        <v>0</v>
      </c>
      <c r="T293" s="85">
        <v>0</v>
      </c>
      <c r="U293" s="85">
        <v>0</v>
      </c>
      <c r="V293" s="85">
        <v>0</v>
      </c>
      <c r="W293" s="85">
        <v>0</v>
      </c>
      <c r="X293" s="85">
        <v>0</v>
      </c>
      <c r="Y293" s="85">
        <v>0</v>
      </c>
      <c r="Z293" s="85">
        <v>0</v>
      </c>
      <c r="AA293" s="85">
        <v>0</v>
      </c>
      <c r="AB293" s="85">
        <v>0</v>
      </c>
      <c r="AC293" s="85">
        <v>0</v>
      </c>
      <c r="AD293" s="85"/>
    </row>
    <row r="294" spans="1:30">
      <c r="A294" s="82" t="s">
        <v>363</v>
      </c>
      <c r="B294" s="83" t="s">
        <v>600</v>
      </c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>
        <v>0</v>
      </c>
      <c r="R294" s="85">
        <v>0</v>
      </c>
      <c r="S294" s="85">
        <v>0</v>
      </c>
      <c r="T294" s="85">
        <v>0</v>
      </c>
      <c r="U294" s="85">
        <v>0</v>
      </c>
      <c r="V294" s="85">
        <v>0</v>
      </c>
      <c r="W294" s="85">
        <v>0</v>
      </c>
      <c r="X294" s="85">
        <v>0</v>
      </c>
      <c r="Y294" s="85">
        <v>0</v>
      </c>
      <c r="Z294" s="85">
        <v>0</v>
      </c>
      <c r="AA294" s="85">
        <v>0</v>
      </c>
      <c r="AB294" s="85">
        <v>0</v>
      </c>
      <c r="AC294" s="85">
        <v>0</v>
      </c>
      <c r="AD294" s="85"/>
    </row>
    <row r="295" spans="1:30">
      <c r="A295" s="82" t="s">
        <v>363</v>
      </c>
      <c r="B295" s="83" t="s">
        <v>595</v>
      </c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>
        <v>0</v>
      </c>
      <c r="R295" s="85">
        <v>0</v>
      </c>
      <c r="S295" s="85">
        <v>0</v>
      </c>
      <c r="T295" s="85">
        <v>0</v>
      </c>
      <c r="U295" s="85">
        <v>0</v>
      </c>
      <c r="V295" s="85">
        <v>0</v>
      </c>
      <c r="W295" s="85">
        <v>0</v>
      </c>
      <c r="X295" s="85">
        <v>0</v>
      </c>
      <c r="Y295" s="85">
        <v>0</v>
      </c>
      <c r="Z295" s="85">
        <v>0</v>
      </c>
      <c r="AA295" s="85">
        <v>0</v>
      </c>
      <c r="AB295" s="85">
        <v>0</v>
      </c>
      <c r="AC295" s="85">
        <v>0</v>
      </c>
      <c r="AD295" s="85"/>
    </row>
    <row r="296" spans="1:30">
      <c r="A296" s="82" t="s">
        <v>363</v>
      </c>
      <c r="B296" s="83" t="s">
        <v>596</v>
      </c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>
        <v>0</v>
      </c>
      <c r="R296" s="85">
        <v>0</v>
      </c>
      <c r="S296" s="85">
        <v>0</v>
      </c>
      <c r="T296" s="85">
        <v>0</v>
      </c>
      <c r="U296" s="85">
        <v>0</v>
      </c>
      <c r="V296" s="85">
        <v>0</v>
      </c>
      <c r="W296" s="85">
        <v>0</v>
      </c>
      <c r="X296" s="85">
        <v>0</v>
      </c>
      <c r="Y296" s="85">
        <v>0</v>
      </c>
      <c r="Z296" s="85">
        <v>0</v>
      </c>
      <c r="AA296" s="85">
        <v>0</v>
      </c>
      <c r="AB296" s="85">
        <v>0</v>
      </c>
      <c r="AC296" s="85">
        <v>0</v>
      </c>
      <c r="AD296" s="85"/>
    </row>
    <row r="297" spans="1:30">
      <c r="A297" s="82" t="s">
        <v>363</v>
      </c>
      <c r="B297" s="83" t="s">
        <v>594</v>
      </c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>
        <f>253*0.055</f>
        <v>13.915000000000001</v>
      </c>
      <c r="R297" s="85">
        <f>115.71*0.055</f>
        <v>6.3640499999999998</v>
      </c>
      <c r="S297" s="85">
        <f>103*0.055</f>
        <v>5.665</v>
      </c>
      <c r="T297" s="85">
        <f>103*0.055</f>
        <v>5.665</v>
      </c>
      <c r="U297" s="85">
        <f>93*0.055</f>
        <v>5.1150000000000002</v>
      </c>
      <c r="V297" s="85">
        <f>90*0.055</f>
        <v>4.95</v>
      </c>
      <c r="W297" s="85">
        <f>90*0.055</f>
        <v>4.95</v>
      </c>
      <c r="X297" s="85">
        <f>88*0.055</f>
        <v>4.84</v>
      </c>
      <c r="Y297" s="85">
        <f>0.18*0.055</f>
        <v>9.8999999999999991E-3</v>
      </c>
      <c r="Z297" s="85">
        <f>21.861*0.055</f>
        <v>1.2023550000000001</v>
      </c>
      <c r="AA297" s="85">
        <f>15.73*0.055</f>
        <v>0.86514999999999997</v>
      </c>
      <c r="AB297" s="85">
        <f>18.64*0.055</f>
        <v>1.0252000000000001</v>
      </c>
      <c r="AC297" s="85">
        <f>17*0.055</f>
        <v>0.93500000000000005</v>
      </c>
      <c r="AD297" s="85"/>
    </row>
    <row r="298" spans="1:30">
      <c r="A298" s="82" t="s">
        <v>363</v>
      </c>
      <c r="B298" s="87" t="s">
        <v>643</v>
      </c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>
        <v>0</v>
      </c>
      <c r="R298" s="85">
        <v>0</v>
      </c>
      <c r="S298" s="85">
        <v>0</v>
      </c>
      <c r="T298" s="85">
        <v>0</v>
      </c>
      <c r="U298" s="85">
        <v>0</v>
      </c>
      <c r="V298" s="85">
        <v>0</v>
      </c>
      <c r="W298" s="85">
        <v>0</v>
      </c>
      <c r="X298" s="85">
        <v>0</v>
      </c>
      <c r="Y298" s="85">
        <v>0</v>
      </c>
      <c r="Z298" s="85">
        <v>0</v>
      </c>
      <c r="AA298" s="85">
        <v>0</v>
      </c>
      <c r="AB298" s="85">
        <v>0</v>
      </c>
      <c r="AC298" s="85">
        <v>0</v>
      </c>
      <c r="AD298" s="85"/>
    </row>
    <row r="299" spans="1:30">
      <c r="A299" s="82" t="s">
        <v>245</v>
      </c>
      <c r="B299" s="83" t="s">
        <v>597</v>
      </c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>
        <v>0</v>
      </c>
      <c r="R299" s="85">
        <v>0</v>
      </c>
      <c r="S299" s="85">
        <v>0</v>
      </c>
      <c r="T299" s="85">
        <v>0</v>
      </c>
      <c r="U299" s="85">
        <v>0</v>
      </c>
      <c r="V299" s="85">
        <v>0</v>
      </c>
      <c r="W299" s="85">
        <v>0</v>
      </c>
      <c r="X299" s="85">
        <v>0</v>
      </c>
      <c r="Y299" s="85">
        <v>0</v>
      </c>
      <c r="Z299" s="85">
        <v>0</v>
      </c>
      <c r="AA299" s="85">
        <v>0</v>
      </c>
      <c r="AB299" s="85">
        <v>0</v>
      </c>
      <c r="AC299" s="85">
        <v>0</v>
      </c>
      <c r="AD299" s="85"/>
    </row>
    <row r="300" spans="1:30">
      <c r="A300" s="82" t="s">
        <v>245</v>
      </c>
      <c r="B300" s="83" t="s">
        <v>600</v>
      </c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>
        <v>0</v>
      </c>
      <c r="R300" s="85">
        <v>0</v>
      </c>
      <c r="S300" s="85">
        <v>0</v>
      </c>
      <c r="T300" s="85">
        <v>0</v>
      </c>
      <c r="U300" s="85">
        <v>0</v>
      </c>
      <c r="V300" s="85">
        <v>0</v>
      </c>
      <c r="W300" s="85">
        <v>0</v>
      </c>
      <c r="X300" s="85">
        <v>0</v>
      </c>
      <c r="Y300" s="85">
        <v>0</v>
      </c>
      <c r="Z300" s="85">
        <v>0</v>
      </c>
      <c r="AA300" s="85">
        <v>0</v>
      </c>
      <c r="AB300" s="85">
        <v>0</v>
      </c>
      <c r="AC300" s="85">
        <v>0</v>
      </c>
      <c r="AD300" s="85"/>
    </row>
    <row r="301" spans="1:30">
      <c r="A301" s="82" t="s">
        <v>245</v>
      </c>
      <c r="B301" s="83" t="s">
        <v>595</v>
      </c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>
        <v>0</v>
      </c>
      <c r="R301" s="85">
        <v>0</v>
      </c>
      <c r="S301" s="85">
        <v>0</v>
      </c>
      <c r="T301" s="85">
        <v>0</v>
      </c>
      <c r="U301" s="85">
        <v>0</v>
      </c>
      <c r="V301" s="85">
        <v>0</v>
      </c>
      <c r="W301" s="85">
        <v>0</v>
      </c>
      <c r="X301" s="85">
        <v>0</v>
      </c>
      <c r="Y301" s="85">
        <v>0</v>
      </c>
      <c r="Z301" s="85">
        <v>0</v>
      </c>
      <c r="AA301" s="85">
        <v>0</v>
      </c>
      <c r="AB301" s="85">
        <v>0</v>
      </c>
      <c r="AC301" s="85">
        <v>0</v>
      </c>
      <c r="AD301" s="85"/>
    </row>
    <row r="302" spans="1:30">
      <c r="A302" s="82" t="s">
        <v>245</v>
      </c>
      <c r="B302" s="83" t="s">
        <v>596</v>
      </c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>
        <v>0</v>
      </c>
      <c r="R302" s="85">
        <v>0</v>
      </c>
      <c r="S302" s="85">
        <v>0</v>
      </c>
      <c r="T302" s="85">
        <v>0</v>
      </c>
      <c r="U302" s="85">
        <v>0</v>
      </c>
      <c r="V302" s="85">
        <v>0</v>
      </c>
      <c r="W302" s="85">
        <v>0</v>
      </c>
      <c r="X302" s="85">
        <v>0</v>
      </c>
      <c r="Y302" s="85">
        <v>0</v>
      </c>
      <c r="Z302" s="85">
        <v>0</v>
      </c>
      <c r="AA302" s="85">
        <v>0</v>
      </c>
      <c r="AB302" s="85">
        <v>0</v>
      </c>
      <c r="AC302" s="85">
        <v>0</v>
      </c>
      <c r="AD302" s="85"/>
    </row>
    <row r="303" spans="1:30">
      <c r="A303" s="82" t="s">
        <v>245</v>
      </c>
      <c r="B303" s="83" t="s">
        <v>594</v>
      </c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>
        <f>1.8*0.055</f>
        <v>9.9000000000000005E-2</v>
      </c>
      <c r="R303" s="85">
        <f>20.13*0.055</f>
        <v>1.1071499999999999</v>
      </c>
      <c r="S303" s="85">
        <f>17.5*0.055</f>
        <v>0.96250000000000002</v>
      </c>
      <c r="T303" s="85">
        <f>18.3*0.055</f>
        <v>1.0065</v>
      </c>
      <c r="U303" s="85">
        <f>18.6*0.055</f>
        <v>1.0230000000000001</v>
      </c>
      <c r="V303" s="85">
        <f>18.2*0.055</f>
        <v>1.0009999999999999</v>
      </c>
      <c r="W303" s="85">
        <f>17.57*0.055</f>
        <v>0.96635000000000004</v>
      </c>
      <c r="X303" s="85">
        <f>17*0.055</f>
        <v>0.93500000000000005</v>
      </c>
      <c r="Y303" s="85">
        <f>16.3*0.055</f>
        <v>0.89650000000000007</v>
      </c>
      <c r="Z303" s="85">
        <f>14.8*0.055</f>
        <v>0.81400000000000006</v>
      </c>
      <c r="AA303" s="85">
        <f>13.8*0.055</f>
        <v>0.75900000000000001</v>
      </c>
      <c r="AB303" s="85">
        <f>11.2*0.055</f>
        <v>0.61599999999999999</v>
      </c>
      <c r="AC303" s="85">
        <f>11*0.055</f>
        <v>0.60499999999999998</v>
      </c>
      <c r="AD303" s="85"/>
    </row>
    <row r="304" spans="1:30">
      <c r="A304" s="82" t="s">
        <v>245</v>
      </c>
      <c r="B304" s="87" t="s">
        <v>643</v>
      </c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>
        <v>0</v>
      </c>
      <c r="R304" s="85">
        <v>0</v>
      </c>
      <c r="S304" s="85">
        <v>0</v>
      </c>
      <c r="T304" s="85">
        <v>0</v>
      </c>
      <c r="U304" s="85">
        <v>0</v>
      </c>
      <c r="V304" s="85">
        <v>0</v>
      </c>
      <c r="W304" s="85">
        <v>0</v>
      </c>
      <c r="X304" s="85">
        <v>0</v>
      </c>
      <c r="Y304" s="85">
        <v>0</v>
      </c>
      <c r="Z304" s="85">
        <v>0</v>
      </c>
      <c r="AA304" s="85">
        <v>0</v>
      </c>
      <c r="AB304" s="85">
        <v>0</v>
      </c>
      <c r="AC304" s="85">
        <v>0</v>
      </c>
      <c r="AD304" s="85"/>
    </row>
    <row r="305" spans="1:30">
      <c r="A305" s="82" t="s">
        <v>844</v>
      </c>
      <c r="B305" s="83" t="s">
        <v>597</v>
      </c>
      <c r="C305" s="84" t="s">
        <v>680</v>
      </c>
      <c r="D305" s="84" t="s">
        <v>680</v>
      </c>
      <c r="E305" s="85">
        <v>0</v>
      </c>
      <c r="F305" s="84" t="s">
        <v>680</v>
      </c>
      <c r="G305" s="84" t="s">
        <v>680</v>
      </c>
      <c r="H305" s="85">
        <v>0</v>
      </c>
      <c r="I305" s="85">
        <v>0</v>
      </c>
      <c r="J305" s="85"/>
      <c r="K305" s="85"/>
      <c r="L305" s="85"/>
      <c r="M305" s="85"/>
      <c r="N305" s="85">
        <v>0</v>
      </c>
      <c r="O305" s="85">
        <v>0</v>
      </c>
      <c r="P305" s="85">
        <v>0</v>
      </c>
      <c r="Q305" s="85">
        <v>0</v>
      </c>
      <c r="R305" s="85">
        <v>0</v>
      </c>
      <c r="S305" s="85">
        <v>0</v>
      </c>
      <c r="T305" s="85">
        <v>0</v>
      </c>
      <c r="U305" s="85">
        <v>0</v>
      </c>
      <c r="V305" s="85">
        <v>0</v>
      </c>
      <c r="W305" s="85">
        <v>0</v>
      </c>
      <c r="X305" s="85">
        <v>0</v>
      </c>
      <c r="Y305" s="85">
        <v>0</v>
      </c>
      <c r="Z305" s="85">
        <v>0</v>
      </c>
      <c r="AA305" s="85">
        <v>0</v>
      </c>
      <c r="AB305" s="85">
        <v>0</v>
      </c>
      <c r="AC305" s="85">
        <v>0</v>
      </c>
      <c r="AD305" s="85"/>
    </row>
    <row r="306" spans="1:30">
      <c r="A306" s="82" t="s">
        <v>844</v>
      </c>
      <c r="B306" s="83" t="s">
        <v>600</v>
      </c>
      <c r="C306" s="84" t="s">
        <v>680</v>
      </c>
      <c r="D306" s="84" t="s">
        <v>680</v>
      </c>
      <c r="E306" s="85">
        <v>0</v>
      </c>
      <c r="F306" s="84" t="s">
        <v>680</v>
      </c>
      <c r="G306" s="84" t="s">
        <v>680</v>
      </c>
      <c r="H306" s="85">
        <v>0</v>
      </c>
      <c r="I306" s="85">
        <v>0</v>
      </c>
      <c r="J306" s="85"/>
      <c r="K306" s="85"/>
      <c r="L306" s="85"/>
      <c r="M306" s="85"/>
      <c r="N306" s="85">
        <v>0</v>
      </c>
      <c r="O306" s="85">
        <v>0</v>
      </c>
      <c r="P306" s="85">
        <v>0</v>
      </c>
      <c r="Q306" s="85">
        <v>0</v>
      </c>
      <c r="R306" s="85">
        <v>0</v>
      </c>
      <c r="S306" s="85">
        <v>0</v>
      </c>
      <c r="T306" s="85">
        <v>0</v>
      </c>
      <c r="U306" s="85">
        <v>0</v>
      </c>
      <c r="V306" s="85">
        <v>0</v>
      </c>
      <c r="W306" s="85">
        <v>0</v>
      </c>
      <c r="X306" s="85">
        <v>0</v>
      </c>
      <c r="Y306" s="85">
        <v>0</v>
      </c>
      <c r="Z306" s="85">
        <v>0</v>
      </c>
      <c r="AA306" s="85">
        <v>0</v>
      </c>
      <c r="AB306" s="85">
        <v>0</v>
      </c>
      <c r="AC306" s="85">
        <v>0</v>
      </c>
      <c r="AD306" s="85"/>
    </row>
    <row r="307" spans="1:30">
      <c r="A307" s="82" t="s">
        <v>844</v>
      </c>
      <c r="B307" s="83" t="s">
        <v>595</v>
      </c>
      <c r="C307" s="84" t="s">
        <v>680</v>
      </c>
      <c r="D307" s="84" t="s">
        <v>680</v>
      </c>
      <c r="E307" s="85">
        <f>0.52*0.11</f>
        <v>5.7200000000000001E-2</v>
      </c>
      <c r="F307" s="84" t="s">
        <v>680</v>
      </c>
      <c r="G307" s="84" t="s">
        <v>680</v>
      </c>
      <c r="H307" s="85">
        <v>0</v>
      </c>
      <c r="I307" s="85">
        <v>0</v>
      </c>
      <c r="J307" s="85"/>
      <c r="K307" s="85"/>
      <c r="L307" s="85"/>
      <c r="M307" s="85"/>
      <c r="N307" s="85">
        <v>0</v>
      </c>
      <c r="O307" s="85">
        <f>36.82*0.11</f>
        <v>4.0502000000000002</v>
      </c>
      <c r="P307" s="85">
        <f>19.4*0.11</f>
        <v>2.1339999999999999</v>
      </c>
      <c r="Q307" s="85">
        <v>0</v>
      </c>
      <c r="R307" s="85">
        <v>0</v>
      </c>
      <c r="S307" s="85">
        <v>0</v>
      </c>
      <c r="T307" s="85">
        <v>0</v>
      </c>
      <c r="U307" s="85">
        <v>0</v>
      </c>
      <c r="V307" s="85">
        <v>0</v>
      </c>
      <c r="W307" s="85">
        <v>0</v>
      </c>
      <c r="X307" s="85">
        <v>0</v>
      </c>
      <c r="Y307" s="85">
        <v>0</v>
      </c>
      <c r="Z307" s="85">
        <v>0</v>
      </c>
      <c r="AA307" s="85">
        <v>0</v>
      </c>
      <c r="AB307" s="85">
        <v>0</v>
      </c>
      <c r="AC307" s="85">
        <v>0</v>
      </c>
      <c r="AD307" s="85"/>
    </row>
    <row r="308" spans="1:30">
      <c r="A308" s="82" t="s">
        <v>844</v>
      </c>
      <c r="B308" s="83" t="s">
        <v>700</v>
      </c>
      <c r="C308" s="84"/>
      <c r="D308" s="84"/>
      <c r="E308" s="85"/>
      <c r="F308" s="84"/>
      <c r="G308" s="84"/>
      <c r="H308" s="85"/>
      <c r="I308" s="85"/>
      <c r="J308" s="85"/>
      <c r="K308" s="85"/>
      <c r="L308" s="85"/>
      <c r="M308" s="85"/>
      <c r="N308" s="85"/>
      <c r="O308" s="85"/>
      <c r="P308" s="85"/>
      <c r="Q308" s="85">
        <f>66.6*0.11</f>
        <v>7.3259999999999996</v>
      </c>
      <c r="R308" s="85">
        <f>31.14*0.11</f>
        <v>3.4254000000000002</v>
      </c>
      <c r="S308" s="85">
        <f>19.8*0.11</f>
        <v>2.1779999999999999</v>
      </c>
      <c r="T308" s="85">
        <f>22.2*0.11</f>
        <v>2.4419999999999997</v>
      </c>
      <c r="U308" s="85">
        <f>32.8*0.11</f>
        <v>3.6079999999999997</v>
      </c>
      <c r="V308" s="85">
        <f>2.4*0.11</f>
        <v>0.26400000000000001</v>
      </c>
      <c r="W308" s="85">
        <v>0</v>
      </c>
      <c r="X308" s="85">
        <v>0</v>
      </c>
      <c r="Y308" s="85">
        <v>0</v>
      </c>
      <c r="Z308" s="85">
        <v>0</v>
      </c>
      <c r="AA308" s="85">
        <v>0</v>
      </c>
      <c r="AB308" s="85">
        <v>0</v>
      </c>
      <c r="AC308" s="85">
        <v>0</v>
      </c>
      <c r="AD308" s="85"/>
    </row>
    <row r="309" spans="1:30">
      <c r="A309" s="82" t="s">
        <v>844</v>
      </c>
      <c r="B309" s="83" t="s">
        <v>596</v>
      </c>
      <c r="C309" s="84" t="s">
        <v>680</v>
      </c>
      <c r="D309" s="84" t="s">
        <v>680</v>
      </c>
      <c r="E309" s="85">
        <v>0</v>
      </c>
      <c r="F309" s="84" t="s">
        <v>680</v>
      </c>
      <c r="G309" s="84" t="s">
        <v>680</v>
      </c>
      <c r="H309" s="88">
        <f>0.067*0.065</f>
        <v>4.3550000000000004E-3</v>
      </c>
      <c r="I309" s="85">
        <v>0</v>
      </c>
      <c r="J309" s="85"/>
      <c r="K309" s="85"/>
      <c r="L309" s="85"/>
      <c r="M309" s="85"/>
      <c r="N309" s="85">
        <v>0</v>
      </c>
      <c r="O309" s="85">
        <v>0</v>
      </c>
      <c r="P309" s="85">
        <v>0</v>
      </c>
      <c r="Q309" s="85">
        <v>0</v>
      </c>
      <c r="R309" s="85">
        <v>0</v>
      </c>
      <c r="S309" s="85">
        <v>0</v>
      </c>
      <c r="T309" s="85">
        <v>0</v>
      </c>
      <c r="U309" s="85">
        <v>0</v>
      </c>
      <c r="V309" s="85">
        <v>0</v>
      </c>
      <c r="W309" s="85">
        <v>0</v>
      </c>
      <c r="X309" s="85">
        <v>0</v>
      </c>
      <c r="Y309" s="85">
        <v>0</v>
      </c>
      <c r="Z309" s="85">
        <v>0</v>
      </c>
      <c r="AA309" s="85">
        <v>0</v>
      </c>
      <c r="AB309" s="85">
        <v>0</v>
      </c>
      <c r="AC309" s="85">
        <v>0</v>
      </c>
      <c r="AD309" s="85"/>
    </row>
    <row r="310" spans="1:30">
      <c r="A310" s="82" t="s">
        <v>844</v>
      </c>
      <c r="B310" s="83" t="s">
        <v>594</v>
      </c>
      <c r="C310" s="84" t="s">
        <v>680</v>
      </c>
      <c r="D310" s="84" t="s">
        <v>680</v>
      </c>
      <c r="E310" s="85">
        <f>13.21*0.055</f>
        <v>0.72655000000000003</v>
      </c>
      <c r="F310" s="84" t="s">
        <v>680</v>
      </c>
      <c r="G310" s="84" t="s">
        <v>680</v>
      </c>
      <c r="H310" s="85">
        <f>8.7167*0.055</f>
        <v>0.47941849999999997</v>
      </c>
      <c r="I310" s="85">
        <f>6.011*0.055</f>
        <v>0.33060499999999998</v>
      </c>
      <c r="J310" s="85"/>
      <c r="K310" s="85"/>
      <c r="L310" s="85"/>
      <c r="M310" s="85"/>
      <c r="N310" s="85">
        <v>1.089</v>
      </c>
      <c r="O310" s="85">
        <f>28.17*0.055</f>
        <v>1.54935</v>
      </c>
      <c r="P310" s="85">
        <f>15*0.055</f>
        <v>0.82499999999999996</v>
      </c>
      <c r="Q310" s="85">
        <f>33.3*0.055</f>
        <v>1.8314999999999999</v>
      </c>
      <c r="R310" s="85">
        <f>28.62*0.055</f>
        <v>1.5741000000000001</v>
      </c>
      <c r="S310" s="85">
        <f>17.4*0.055</f>
        <v>0.95699999999999996</v>
      </c>
      <c r="T310" s="85">
        <f>23.6*0.055</f>
        <v>1.298</v>
      </c>
      <c r="U310" s="85">
        <f>21.4*0.055</f>
        <v>1.1769999999999998</v>
      </c>
      <c r="V310" s="85">
        <f>26.7*0.055</f>
        <v>1.4684999999999999</v>
      </c>
      <c r="W310" s="85">
        <f>18.54*0.055</f>
        <v>1.0197000000000001</v>
      </c>
      <c r="X310" s="85">
        <f>21.2*0.055</f>
        <v>1.1659999999999999</v>
      </c>
      <c r="Y310" s="85">
        <f>13.6*0.055</f>
        <v>0.748</v>
      </c>
      <c r="Z310" s="85">
        <f>8.5*0.055</f>
        <v>0.46750000000000003</v>
      </c>
      <c r="AA310" s="85">
        <f>5.8*0.055</f>
        <v>0.31900000000000001</v>
      </c>
      <c r="AB310" s="85">
        <f>7.41*0.055</f>
        <v>0.40755000000000002</v>
      </c>
      <c r="AC310" s="85">
        <f>6.7948*0.055</f>
        <v>0.37371400000000005</v>
      </c>
      <c r="AD310" s="85"/>
    </row>
    <row r="311" spans="1:30">
      <c r="A311" s="82" t="s">
        <v>844</v>
      </c>
      <c r="B311" s="87" t="s">
        <v>643</v>
      </c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>
        <v>0</v>
      </c>
      <c r="O311" s="85">
        <v>0</v>
      </c>
      <c r="P311" s="85">
        <v>0</v>
      </c>
      <c r="Q311" s="85">
        <v>0</v>
      </c>
      <c r="R311" s="85">
        <v>0</v>
      </c>
      <c r="S311" s="85">
        <v>0</v>
      </c>
      <c r="T311" s="85">
        <v>0</v>
      </c>
      <c r="U311" s="85">
        <v>0</v>
      </c>
      <c r="V311" s="85">
        <v>0</v>
      </c>
      <c r="W311" s="85">
        <v>0</v>
      </c>
      <c r="X311" s="85">
        <v>0</v>
      </c>
      <c r="Y311" s="85">
        <v>0</v>
      </c>
      <c r="Z311" s="85">
        <v>0</v>
      </c>
      <c r="AA311" s="85">
        <v>0</v>
      </c>
      <c r="AB311" s="85">
        <v>0</v>
      </c>
      <c r="AC311" s="85">
        <v>0</v>
      </c>
      <c r="AD311" s="85"/>
    </row>
    <row r="312" spans="1:30">
      <c r="A312" s="82" t="s">
        <v>576</v>
      </c>
      <c r="B312" s="83" t="s">
        <v>597</v>
      </c>
      <c r="C312" s="85">
        <v>0</v>
      </c>
      <c r="D312" s="85">
        <v>0</v>
      </c>
      <c r="E312" s="85">
        <v>0</v>
      </c>
      <c r="F312" s="85">
        <v>0</v>
      </c>
      <c r="G312" s="85">
        <v>0</v>
      </c>
      <c r="H312" s="85">
        <v>0</v>
      </c>
      <c r="I312" s="85">
        <v>0</v>
      </c>
      <c r="J312" s="85">
        <v>0</v>
      </c>
      <c r="K312" s="85">
        <v>0</v>
      </c>
      <c r="L312" s="85"/>
      <c r="M312" s="85">
        <v>0</v>
      </c>
      <c r="N312" s="85">
        <v>0</v>
      </c>
      <c r="O312" s="85">
        <v>0</v>
      </c>
      <c r="P312" s="85">
        <v>0</v>
      </c>
      <c r="Q312" s="85">
        <v>0</v>
      </c>
      <c r="R312" s="85">
        <v>0</v>
      </c>
      <c r="S312" s="85">
        <v>0</v>
      </c>
      <c r="T312" s="85">
        <v>0</v>
      </c>
      <c r="U312" s="85">
        <v>0</v>
      </c>
      <c r="V312" s="85">
        <v>0</v>
      </c>
      <c r="W312" s="85">
        <v>0</v>
      </c>
      <c r="X312" s="85">
        <v>0</v>
      </c>
      <c r="Y312" s="85">
        <v>0</v>
      </c>
      <c r="Z312" s="85">
        <v>0</v>
      </c>
      <c r="AA312" s="85">
        <v>0</v>
      </c>
      <c r="AB312" s="85">
        <v>0</v>
      </c>
      <c r="AC312" s="85">
        <v>0</v>
      </c>
      <c r="AD312" s="85"/>
    </row>
    <row r="313" spans="1:30">
      <c r="A313" s="82" t="s">
        <v>576</v>
      </c>
      <c r="B313" s="83" t="s">
        <v>600</v>
      </c>
      <c r="C313" s="85">
        <v>0</v>
      </c>
      <c r="D313" s="85">
        <v>0</v>
      </c>
      <c r="E313" s="85">
        <v>0</v>
      </c>
      <c r="F313" s="85">
        <v>0</v>
      </c>
      <c r="G313" s="85">
        <v>0</v>
      </c>
      <c r="H313" s="85">
        <v>0</v>
      </c>
      <c r="I313" s="85">
        <v>0</v>
      </c>
      <c r="J313" s="85">
        <v>0</v>
      </c>
      <c r="K313" s="85">
        <v>0</v>
      </c>
      <c r="L313" s="85"/>
      <c r="M313" s="85">
        <v>0</v>
      </c>
      <c r="N313" s="85">
        <v>0</v>
      </c>
      <c r="O313" s="85">
        <v>0</v>
      </c>
      <c r="P313" s="85">
        <v>0</v>
      </c>
      <c r="Q313" s="85">
        <v>0</v>
      </c>
      <c r="R313" s="85">
        <v>0</v>
      </c>
      <c r="S313" s="85">
        <v>0</v>
      </c>
      <c r="T313" s="85">
        <v>0</v>
      </c>
      <c r="U313" s="85">
        <v>0</v>
      </c>
      <c r="V313" s="85">
        <v>0</v>
      </c>
      <c r="W313" s="85">
        <v>0</v>
      </c>
      <c r="X313" s="85">
        <v>0</v>
      </c>
      <c r="Y313" s="85">
        <v>0</v>
      </c>
      <c r="Z313" s="85">
        <v>0</v>
      </c>
      <c r="AA313" s="85">
        <v>0</v>
      </c>
      <c r="AB313" s="85">
        <v>0</v>
      </c>
      <c r="AC313" s="85">
        <v>0</v>
      </c>
      <c r="AD313" s="85"/>
    </row>
    <row r="314" spans="1:30">
      <c r="A314" s="82" t="s">
        <v>576</v>
      </c>
      <c r="B314" s="83" t="s">
        <v>595</v>
      </c>
      <c r="C314" s="85">
        <v>0</v>
      </c>
      <c r="D314" s="85">
        <v>0</v>
      </c>
      <c r="E314" s="85">
        <v>0</v>
      </c>
      <c r="F314" s="85">
        <v>0</v>
      </c>
      <c r="G314" s="85">
        <v>0</v>
      </c>
      <c r="H314" s="85">
        <v>0</v>
      </c>
      <c r="I314" s="85">
        <v>0</v>
      </c>
      <c r="J314" s="85">
        <v>0</v>
      </c>
      <c r="K314" s="85">
        <v>0</v>
      </c>
      <c r="L314" s="85"/>
      <c r="M314" s="85">
        <v>0</v>
      </c>
      <c r="N314" s="85">
        <v>0</v>
      </c>
      <c r="O314" s="85">
        <v>0</v>
      </c>
      <c r="P314" s="85">
        <v>0</v>
      </c>
      <c r="Q314" s="85">
        <v>0</v>
      </c>
      <c r="R314" s="85">
        <v>0</v>
      </c>
      <c r="S314" s="85">
        <v>0</v>
      </c>
      <c r="T314" s="85">
        <v>0</v>
      </c>
      <c r="U314" s="85">
        <v>0</v>
      </c>
      <c r="V314" s="85">
        <v>0</v>
      </c>
      <c r="W314" s="85">
        <v>0</v>
      </c>
      <c r="X314" s="85">
        <v>0</v>
      </c>
      <c r="Y314" s="85">
        <v>0</v>
      </c>
      <c r="Z314" s="85">
        <v>0</v>
      </c>
      <c r="AA314" s="85">
        <v>0</v>
      </c>
      <c r="AB314" s="85">
        <v>0</v>
      </c>
      <c r="AC314" s="85">
        <v>0</v>
      </c>
      <c r="AD314" s="85"/>
    </row>
    <row r="315" spans="1:30">
      <c r="A315" s="82" t="s">
        <v>576</v>
      </c>
      <c r="B315" s="83" t="s">
        <v>596</v>
      </c>
      <c r="C315" s="85">
        <v>0</v>
      </c>
      <c r="D315" s="85">
        <v>0</v>
      </c>
      <c r="E315" s="85">
        <v>0</v>
      </c>
      <c r="F315" s="85">
        <v>0</v>
      </c>
      <c r="G315" s="85">
        <v>0</v>
      </c>
      <c r="H315" s="85">
        <v>0</v>
      </c>
      <c r="I315" s="85">
        <v>0</v>
      </c>
      <c r="J315" s="85">
        <v>0</v>
      </c>
      <c r="K315" s="85">
        <v>0</v>
      </c>
      <c r="L315" s="85"/>
      <c r="M315" s="85">
        <v>0</v>
      </c>
      <c r="N315" s="85">
        <v>0</v>
      </c>
      <c r="O315" s="85">
        <v>0</v>
      </c>
      <c r="P315" s="85">
        <v>0</v>
      </c>
      <c r="Q315" s="85">
        <v>0</v>
      </c>
      <c r="R315" s="85">
        <v>0</v>
      </c>
      <c r="S315" s="85">
        <v>0</v>
      </c>
      <c r="T315" s="85">
        <v>0</v>
      </c>
      <c r="U315" s="85">
        <v>0</v>
      </c>
      <c r="V315" s="85">
        <v>0</v>
      </c>
      <c r="W315" s="85">
        <v>0</v>
      </c>
      <c r="X315" s="85">
        <v>0</v>
      </c>
      <c r="Y315" s="85">
        <v>0</v>
      </c>
      <c r="Z315" s="85">
        <v>0</v>
      </c>
      <c r="AA315" s="85">
        <v>0</v>
      </c>
      <c r="AB315" s="85">
        <v>0</v>
      </c>
      <c r="AC315" s="85">
        <v>0</v>
      </c>
      <c r="AD315" s="85"/>
    </row>
    <row r="316" spans="1:30">
      <c r="A316" s="82" t="s">
        <v>576</v>
      </c>
      <c r="B316" s="83" t="s">
        <v>594</v>
      </c>
      <c r="C316" s="85">
        <f>23.5*0.055</f>
        <v>1.2925</v>
      </c>
      <c r="D316" s="85">
        <f>24*0.055</f>
        <v>1.32</v>
      </c>
      <c r="E316" s="85">
        <f>25.87*0.055</f>
        <v>1.4228500000000002</v>
      </c>
      <c r="F316" s="85">
        <f>28*0.055</f>
        <v>1.54</v>
      </c>
      <c r="G316" s="85">
        <v>0</v>
      </c>
      <c r="H316" s="85">
        <v>0</v>
      </c>
      <c r="I316" s="85">
        <v>0</v>
      </c>
      <c r="J316" s="85">
        <v>0</v>
      </c>
      <c r="K316" s="85">
        <v>0</v>
      </c>
      <c r="L316" s="85"/>
      <c r="M316" s="85">
        <v>0</v>
      </c>
      <c r="N316" s="85">
        <v>0</v>
      </c>
      <c r="O316" s="85">
        <f>0.6*0.055</f>
        <v>3.3000000000000002E-2</v>
      </c>
      <c r="P316" s="85">
        <f>0.67*0.055</f>
        <v>3.6850000000000001E-2</v>
      </c>
      <c r="Q316" s="85">
        <v>0</v>
      </c>
      <c r="R316" s="85">
        <f>205*0.055</f>
        <v>11.275</v>
      </c>
      <c r="S316" s="85">
        <f>200*0.055</f>
        <v>11</v>
      </c>
      <c r="T316" s="85">
        <f>196.36*0.055</f>
        <v>10.799800000000001</v>
      </c>
      <c r="U316" s="85">
        <f>99.2*0.055</f>
        <v>5.4560000000000004</v>
      </c>
      <c r="V316" s="85">
        <f>77.2*0.055</f>
        <v>4.2460000000000004</v>
      </c>
      <c r="W316" s="85">
        <f>85.2*0.055</f>
        <v>4.6859999999999999</v>
      </c>
      <c r="X316" s="85">
        <f>83.4*0.055</f>
        <v>4.5870000000000006</v>
      </c>
      <c r="Y316" s="85">
        <f>76*0.055</f>
        <v>4.18</v>
      </c>
      <c r="Z316" s="85">
        <f>72*0.055</f>
        <v>3.96</v>
      </c>
      <c r="AA316" s="85">
        <f>64.1*0.055</f>
        <v>3.5254999999999996</v>
      </c>
      <c r="AB316" s="85">
        <f>62*0.055</f>
        <v>3.41</v>
      </c>
      <c r="AC316" s="85">
        <f>61.2*0.055</f>
        <v>3.3660000000000001</v>
      </c>
      <c r="AD316" s="85"/>
    </row>
    <row r="317" spans="1:30">
      <c r="A317" s="82" t="s">
        <v>576</v>
      </c>
      <c r="B317" s="87" t="s">
        <v>643</v>
      </c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>
        <v>0</v>
      </c>
      <c r="O317" s="85">
        <v>0</v>
      </c>
      <c r="P317" s="85">
        <v>0</v>
      </c>
      <c r="Q317" s="85">
        <v>0</v>
      </c>
      <c r="R317" s="85">
        <v>0</v>
      </c>
      <c r="S317" s="85">
        <v>0</v>
      </c>
      <c r="T317" s="85">
        <v>0</v>
      </c>
      <c r="U317" s="85">
        <v>0</v>
      </c>
      <c r="V317" s="85">
        <v>0</v>
      </c>
      <c r="W317" s="85">
        <v>0</v>
      </c>
      <c r="X317" s="85">
        <v>0</v>
      </c>
      <c r="Y317" s="85">
        <v>0</v>
      </c>
      <c r="Z317" s="85">
        <v>0</v>
      </c>
      <c r="AA317" s="85">
        <v>0</v>
      </c>
      <c r="AB317" s="85">
        <v>0</v>
      </c>
      <c r="AC317" s="85">
        <v>0</v>
      </c>
      <c r="AD317" s="85"/>
    </row>
    <row r="318" spans="1:30">
      <c r="A318" s="82" t="s">
        <v>577</v>
      </c>
      <c r="B318" s="83" t="s">
        <v>597</v>
      </c>
      <c r="C318" s="84" t="s">
        <v>680</v>
      </c>
      <c r="D318" s="84" t="s">
        <v>680</v>
      </c>
      <c r="E318" s="85">
        <v>0</v>
      </c>
      <c r="F318" s="85">
        <v>0</v>
      </c>
      <c r="G318" s="85">
        <v>0</v>
      </c>
      <c r="H318" s="85">
        <v>0</v>
      </c>
      <c r="I318" s="85">
        <v>0</v>
      </c>
      <c r="J318" s="85">
        <f>0.9*0.02</f>
        <v>1.8000000000000002E-2</v>
      </c>
      <c r="K318" s="85">
        <v>0</v>
      </c>
      <c r="L318" s="85">
        <v>0</v>
      </c>
      <c r="M318" s="85">
        <v>0</v>
      </c>
      <c r="N318" s="85">
        <v>0</v>
      </c>
      <c r="O318" s="85">
        <v>0</v>
      </c>
      <c r="P318" s="85">
        <v>0</v>
      </c>
      <c r="Q318" s="85">
        <v>0</v>
      </c>
      <c r="R318" s="85">
        <v>0</v>
      </c>
      <c r="S318" s="85">
        <v>0</v>
      </c>
      <c r="T318" s="85">
        <v>0</v>
      </c>
      <c r="U318" s="85">
        <v>0</v>
      </c>
      <c r="V318" s="85">
        <v>0</v>
      </c>
      <c r="W318" s="85">
        <v>0</v>
      </c>
      <c r="X318" s="85">
        <v>0</v>
      </c>
      <c r="Y318" s="85">
        <v>0</v>
      </c>
      <c r="Z318" s="85">
        <v>0</v>
      </c>
      <c r="AA318" s="85">
        <v>0</v>
      </c>
      <c r="AB318" s="85">
        <v>0</v>
      </c>
      <c r="AC318" s="85">
        <v>0</v>
      </c>
      <c r="AD318" s="85"/>
    </row>
    <row r="319" spans="1:30">
      <c r="A319" s="82" t="s">
        <v>577</v>
      </c>
      <c r="B319" s="83" t="s">
        <v>600</v>
      </c>
      <c r="C319" s="84" t="s">
        <v>680</v>
      </c>
      <c r="D319" s="84" t="s">
        <v>680</v>
      </c>
      <c r="E319" s="85">
        <v>0</v>
      </c>
      <c r="F319" s="85">
        <v>0</v>
      </c>
      <c r="G319" s="85">
        <v>0</v>
      </c>
      <c r="H319" s="85">
        <v>0</v>
      </c>
      <c r="I319" s="85">
        <v>0</v>
      </c>
      <c r="J319" s="85">
        <v>0</v>
      </c>
      <c r="K319" s="85">
        <v>0</v>
      </c>
      <c r="L319" s="85">
        <v>0</v>
      </c>
      <c r="M319" s="85">
        <v>0</v>
      </c>
      <c r="N319" s="85">
        <v>0</v>
      </c>
      <c r="O319" s="85">
        <v>0</v>
      </c>
      <c r="P319" s="85">
        <v>0</v>
      </c>
      <c r="Q319" s="85">
        <v>0</v>
      </c>
      <c r="R319" s="85">
        <v>0</v>
      </c>
      <c r="S319" s="85">
        <v>0</v>
      </c>
      <c r="T319" s="85">
        <v>0</v>
      </c>
      <c r="U319" s="85">
        <v>0</v>
      </c>
      <c r="V319" s="85">
        <v>0</v>
      </c>
      <c r="W319" s="85">
        <v>0</v>
      </c>
      <c r="X319" s="85">
        <v>0</v>
      </c>
      <c r="Y319" s="85">
        <v>0</v>
      </c>
      <c r="Z319" s="85">
        <v>0</v>
      </c>
      <c r="AA319" s="85">
        <v>0</v>
      </c>
      <c r="AB319" s="85">
        <v>0</v>
      </c>
      <c r="AC319" s="85">
        <v>0</v>
      </c>
      <c r="AD319" s="85"/>
    </row>
    <row r="320" spans="1:30">
      <c r="A320" s="82" t="s">
        <v>577</v>
      </c>
      <c r="B320" s="83" t="s">
        <v>595</v>
      </c>
      <c r="C320" s="84" t="s">
        <v>680</v>
      </c>
      <c r="D320" s="84" t="s">
        <v>680</v>
      </c>
      <c r="E320" s="85">
        <v>0</v>
      </c>
      <c r="F320" s="85">
        <v>0</v>
      </c>
      <c r="G320" s="85">
        <v>0</v>
      </c>
      <c r="H320" s="85">
        <v>0</v>
      </c>
      <c r="I320" s="85">
        <v>0</v>
      </c>
      <c r="J320" s="85">
        <v>0</v>
      </c>
      <c r="K320" s="85">
        <v>0</v>
      </c>
      <c r="L320" s="85">
        <v>0</v>
      </c>
      <c r="M320" s="85">
        <v>0</v>
      </c>
      <c r="N320" s="85">
        <v>0</v>
      </c>
      <c r="O320" s="85">
        <v>0</v>
      </c>
      <c r="P320" s="85">
        <v>0</v>
      </c>
      <c r="Q320" s="85">
        <v>0</v>
      </c>
      <c r="R320" s="85">
        <v>0</v>
      </c>
      <c r="S320" s="85">
        <v>0</v>
      </c>
      <c r="T320" s="85">
        <v>0</v>
      </c>
      <c r="U320" s="85">
        <v>0</v>
      </c>
      <c r="V320" s="85">
        <v>0</v>
      </c>
      <c r="W320" s="85">
        <v>0</v>
      </c>
      <c r="X320" s="85">
        <v>0</v>
      </c>
      <c r="Y320" s="85">
        <v>0</v>
      </c>
      <c r="Z320" s="85">
        <v>0</v>
      </c>
      <c r="AA320" s="85">
        <v>0</v>
      </c>
      <c r="AB320" s="85">
        <v>0</v>
      </c>
      <c r="AC320" s="85">
        <v>0</v>
      </c>
      <c r="AD320" s="85"/>
    </row>
    <row r="321" spans="1:30">
      <c r="A321" s="82" t="s">
        <v>577</v>
      </c>
      <c r="B321" s="83" t="s">
        <v>596</v>
      </c>
      <c r="C321" s="84" t="s">
        <v>680</v>
      </c>
      <c r="D321" s="84" t="s">
        <v>680</v>
      </c>
      <c r="E321" s="85">
        <v>0</v>
      </c>
      <c r="F321" s="85">
        <v>0</v>
      </c>
      <c r="G321" s="85">
        <v>0</v>
      </c>
      <c r="H321" s="85">
        <v>0</v>
      </c>
      <c r="I321" s="85">
        <v>0</v>
      </c>
      <c r="J321" s="85">
        <v>0</v>
      </c>
      <c r="K321" s="85">
        <v>0</v>
      </c>
      <c r="L321" s="85">
        <v>0</v>
      </c>
      <c r="M321" s="85">
        <v>0</v>
      </c>
      <c r="N321" s="85">
        <v>0</v>
      </c>
      <c r="O321" s="85">
        <v>0</v>
      </c>
      <c r="P321" s="85">
        <f>0.417*0.065</f>
        <v>2.7105000000000001E-2</v>
      </c>
      <c r="Q321" s="85">
        <f>0.6486*0.065</f>
        <v>4.2158999999999995E-2</v>
      </c>
      <c r="R321" s="85">
        <f>(0.695-0.0463)*0.065</f>
        <v>4.2165499999999995E-2</v>
      </c>
      <c r="S321" s="85">
        <f>0.3243*0.065</f>
        <v>2.1079499999999998E-2</v>
      </c>
      <c r="T321" s="85">
        <f>(0.3938-0.0139)*0.065</f>
        <v>2.4693499999999997E-2</v>
      </c>
      <c r="U321" s="85">
        <f>-0.0185*0.065</f>
        <v>-1.2025E-3</v>
      </c>
      <c r="V321" s="85">
        <f>(0.54-0.26)*0.065</f>
        <v>1.8200000000000001E-2</v>
      </c>
      <c r="W321" s="85">
        <f>0.32*0.065</f>
        <v>2.0800000000000003E-2</v>
      </c>
      <c r="X321" s="85">
        <f>0.09*0.065</f>
        <v>5.8500000000000002E-3</v>
      </c>
      <c r="Y321" s="85">
        <v>0</v>
      </c>
      <c r="Z321" s="88">
        <f>0.04633*0.065</f>
        <v>3.0114500000000002E-3</v>
      </c>
      <c r="AA321" s="88">
        <f>0.04633*0.065</f>
        <v>3.0114500000000002E-3</v>
      </c>
      <c r="AB321" s="85">
        <v>0</v>
      </c>
      <c r="AC321" s="85">
        <v>0</v>
      </c>
      <c r="AD321" s="85"/>
    </row>
    <row r="322" spans="1:30">
      <c r="A322" s="82" t="s">
        <v>577</v>
      </c>
      <c r="B322" s="83" t="s">
        <v>594</v>
      </c>
      <c r="C322" s="84" t="s">
        <v>680</v>
      </c>
      <c r="D322" s="84" t="s">
        <v>680</v>
      </c>
      <c r="E322" s="85">
        <f>0.707*0.055</f>
        <v>3.8884999999999996E-2</v>
      </c>
      <c r="F322" s="85">
        <f>43.7*0.055</f>
        <v>2.4035000000000002</v>
      </c>
      <c r="G322" s="85">
        <f>18.4*0.055</f>
        <v>1.012</v>
      </c>
      <c r="H322" s="85">
        <f>28.3*0.055</f>
        <v>1.5565</v>
      </c>
      <c r="I322" s="85">
        <f>25*0.055</f>
        <v>1.375</v>
      </c>
      <c r="J322" s="85">
        <f>7.8*0.055</f>
        <v>0.42899999999999999</v>
      </c>
      <c r="K322" s="85">
        <f>-39.82*0.055</f>
        <v>-2.1901000000000002</v>
      </c>
      <c r="L322" s="85">
        <f>(67.8944-0.8058)*0.055</f>
        <v>3.689873</v>
      </c>
      <c r="M322" s="85">
        <f>(95.73-2.28)*0.055</f>
        <v>5.1397500000000003</v>
      </c>
      <c r="N322" s="85">
        <v>4.6975499999999997</v>
      </c>
      <c r="O322" s="85">
        <f>(75.69-1.72)*0.055</f>
        <v>4.0683499999999997</v>
      </c>
      <c r="P322" s="85">
        <f>(86.9626-1.3984)*0.055</f>
        <v>4.7060310000000003</v>
      </c>
      <c r="Q322" s="85">
        <f>(139.7569-1.7136)*0.055</f>
        <v>7.5923814999999992</v>
      </c>
      <c r="R322" s="85">
        <f>(167.6993-1.463)*0.055</f>
        <v>9.1429965000000006</v>
      </c>
      <c r="S322" s="85">
        <f>(265.6994-3.1688)*0.055</f>
        <v>14.439183000000003</v>
      </c>
      <c r="T322" s="85">
        <f>(263.5897-2.748)*0.055</f>
        <v>14.3462935</v>
      </c>
      <c r="U322" s="85">
        <f>(185.034-62.0717)*0.055</f>
        <v>6.7629264999999998</v>
      </c>
      <c r="V322" s="85">
        <f>(158.87-37.38)*0.055</f>
        <v>6.6819500000000005</v>
      </c>
      <c r="W322" s="85">
        <f>(151.27-81.24)*0.055</f>
        <v>3.8516500000000007</v>
      </c>
      <c r="X322" s="85">
        <f>(181.31-106.88)*0.055</f>
        <v>4.0936500000000002</v>
      </c>
      <c r="Y322" s="85">
        <f>(160.58-92.98)*0.055</f>
        <v>3.7180000000000004</v>
      </c>
      <c r="Z322" s="85">
        <f>(161.63-86.4)*0.055</f>
        <v>4.1376499999999998</v>
      </c>
      <c r="AA322" s="85">
        <f>(176.63-92.72)*0.055</f>
        <v>4.6150500000000001</v>
      </c>
      <c r="AB322" s="85">
        <f>(110.1139-71.5804)*0.055</f>
        <v>2.1193425000000001</v>
      </c>
      <c r="AC322" s="85">
        <f>(51.809-49.339)*0.055</f>
        <v>0.13584999999999994</v>
      </c>
      <c r="AD322" s="85"/>
    </row>
    <row r="323" spans="1:30">
      <c r="A323" s="82" t="s">
        <v>577</v>
      </c>
      <c r="B323" s="87" t="s">
        <v>643</v>
      </c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>
        <v>0</v>
      </c>
      <c r="O323" s="85">
        <v>0</v>
      </c>
      <c r="P323" s="85">
        <v>0</v>
      </c>
      <c r="Q323" s="85">
        <v>0</v>
      </c>
      <c r="R323" s="85">
        <v>0</v>
      </c>
      <c r="S323" s="85">
        <v>0</v>
      </c>
      <c r="T323" s="85">
        <v>0</v>
      </c>
      <c r="U323" s="85">
        <v>0</v>
      </c>
      <c r="V323" s="85">
        <v>0</v>
      </c>
      <c r="W323" s="85">
        <v>0</v>
      </c>
      <c r="X323" s="85">
        <v>0</v>
      </c>
      <c r="Y323" s="85">
        <v>0</v>
      </c>
      <c r="Z323" s="85">
        <v>0</v>
      </c>
      <c r="AA323" s="85">
        <v>0</v>
      </c>
      <c r="AB323" s="85">
        <v>0</v>
      </c>
      <c r="AC323" s="85">
        <v>0</v>
      </c>
      <c r="AD323" s="85"/>
    </row>
    <row r="324" spans="1:30">
      <c r="A324" s="82" t="s">
        <v>578</v>
      </c>
      <c r="B324" s="83" t="s">
        <v>597</v>
      </c>
      <c r="C324" s="84" t="s">
        <v>680</v>
      </c>
      <c r="D324" s="84" t="s">
        <v>680</v>
      </c>
      <c r="E324" s="84" t="s">
        <v>680</v>
      </c>
      <c r="F324" s="85">
        <v>0</v>
      </c>
      <c r="G324" s="85">
        <v>0</v>
      </c>
      <c r="H324" s="85">
        <v>0</v>
      </c>
      <c r="I324" s="85">
        <v>0</v>
      </c>
      <c r="J324" s="85">
        <v>0</v>
      </c>
      <c r="K324" s="85">
        <v>0</v>
      </c>
      <c r="L324" s="85">
        <v>0</v>
      </c>
      <c r="M324" s="85">
        <v>0</v>
      </c>
      <c r="N324" s="85">
        <v>0</v>
      </c>
      <c r="O324" s="85">
        <v>0</v>
      </c>
      <c r="P324" s="85">
        <v>0</v>
      </c>
      <c r="Q324" s="85">
        <v>0</v>
      </c>
      <c r="R324" s="85">
        <v>0</v>
      </c>
      <c r="S324" s="85">
        <v>0</v>
      </c>
      <c r="T324" s="85">
        <v>0</v>
      </c>
      <c r="U324" s="85">
        <v>0</v>
      </c>
      <c r="V324" s="85">
        <v>0</v>
      </c>
      <c r="W324" s="85">
        <v>0</v>
      </c>
      <c r="X324" s="85">
        <v>0</v>
      </c>
      <c r="Y324" s="85">
        <v>0</v>
      </c>
      <c r="Z324" s="85">
        <v>0</v>
      </c>
      <c r="AA324" s="85">
        <v>0</v>
      </c>
      <c r="AB324" s="85">
        <v>0</v>
      </c>
      <c r="AC324" s="85">
        <v>0</v>
      </c>
      <c r="AD324" s="85"/>
    </row>
    <row r="325" spans="1:30">
      <c r="A325" s="82" t="s">
        <v>578</v>
      </c>
      <c r="B325" s="83" t="s">
        <v>600</v>
      </c>
      <c r="C325" s="84" t="s">
        <v>680</v>
      </c>
      <c r="D325" s="84" t="s">
        <v>680</v>
      </c>
      <c r="E325" s="84" t="s">
        <v>680</v>
      </c>
      <c r="F325" s="85">
        <v>0</v>
      </c>
      <c r="G325" s="85">
        <v>0</v>
      </c>
      <c r="H325" s="85">
        <v>0</v>
      </c>
      <c r="I325" s="85">
        <v>0</v>
      </c>
      <c r="J325" s="85">
        <v>0</v>
      </c>
      <c r="K325" s="85">
        <v>0</v>
      </c>
      <c r="L325" s="85">
        <v>0</v>
      </c>
      <c r="M325" s="85">
        <v>0</v>
      </c>
      <c r="N325" s="85">
        <v>0</v>
      </c>
      <c r="O325" s="85">
        <v>0</v>
      </c>
      <c r="P325" s="85">
        <v>0</v>
      </c>
      <c r="Q325" s="85">
        <v>0</v>
      </c>
      <c r="R325" s="85">
        <v>0</v>
      </c>
      <c r="S325" s="85">
        <v>0</v>
      </c>
      <c r="T325" s="85">
        <v>0</v>
      </c>
      <c r="U325" s="85">
        <v>0</v>
      </c>
      <c r="V325" s="85">
        <v>0</v>
      </c>
      <c r="W325" s="85">
        <v>0</v>
      </c>
      <c r="X325" s="85">
        <v>0</v>
      </c>
      <c r="Y325" s="85">
        <v>0</v>
      </c>
      <c r="Z325" s="85">
        <v>0</v>
      </c>
      <c r="AA325" s="85">
        <v>0</v>
      </c>
      <c r="AB325" s="85">
        <v>0</v>
      </c>
      <c r="AC325" s="85">
        <v>0</v>
      </c>
      <c r="AD325" s="85"/>
    </row>
    <row r="326" spans="1:30">
      <c r="A326" s="82" t="s">
        <v>578</v>
      </c>
      <c r="B326" s="83" t="s">
        <v>595</v>
      </c>
      <c r="C326" s="84" t="s">
        <v>680</v>
      </c>
      <c r="D326" s="84" t="s">
        <v>680</v>
      </c>
      <c r="E326" s="84" t="s">
        <v>680</v>
      </c>
      <c r="F326" s="85">
        <v>0</v>
      </c>
      <c r="G326" s="85">
        <v>0</v>
      </c>
      <c r="H326" s="85">
        <v>0</v>
      </c>
      <c r="I326" s="85">
        <v>0</v>
      </c>
      <c r="J326" s="85">
        <v>0</v>
      </c>
      <c r="K326" s="85">
        <v>0</v>
      </c>
      <c r="L326" s="85">
        <v>0</v>
      </c>
      <c r="M326" s="85">
        <v>0</v>
      </c>
      <c r="N326" s="85">
        <v>0</v>
      </c>
      <c r="O326" s="85">
        <v>0</v>
      </c>
      <c r="P326" s="85">
        <v>0</v>
      </c>
      <c r="Q326" s="85">
        <v>0</v>
      </c>
      <c r="R326" s="85">
        <v>0</v>
      </c>
      <c r="S326" s="85">
        <v>0</v>
      </c>
      <c r="T326" s="85">
        <v>0</v>
      </c>
      <c r="U326" s="85">
        <v>0</v>
      </c>
      <c r="V326" s="85">
        <v>0</v>
      </c>
      <c r="W326" s="85">
        <v>0</v>
      </c>
      <c r="X326" s="85">
        <v>0</v>
      </c>
      <c r="Y326" s="85">
        <v>0</v>
      </c>
      <c r="Z326" s="85">
        <v>0</v>
      </c>
      <c r="AA326" s="85">
        <v>0</v>
      </c>
      <c r="AB326" s="85">
        <v>0</v>
      </c>
      <c r="AC326" s="85">
        <v>0</v>
      </c>
      <c r="AD326" s="85"/>
    </row>
    <row r="327" spans="1:30">
      <c r="A327" s="82" t="s">
        <v>578</v>
      </c>
      <c r="B327" s="83" t="s">
        <v>596</v>
      </c>
      <c r="C327" s="84" t="s">
        <v>680</v>
      </c>
      <c r="D327" s="84" t="s">
        <v>680</v>
      </c>
      <c r="E327" s="84" t="s">
        <v>680</v>
      </c>
      <c r="F327" s="85">
        <v>0</v>
      </c>
      <c r="G327" s="85">
        <v>0</v>
      </c>
      <c r="H327" s="85">
        <v>0</v>
      </c>
      <c r="I327" s="85">
        <v>0</v>
      </c>
      <c r="J327" s="85">
        <v>0</v>
      </c>
      <c r="K327" s="85">
        <v>0</v>
      </c>
      <c r="L327" s="85">
        <v>0</v>
      </c>
      <c r="M327" s="85">
        <v>0</v>
      </c>
      <c r="N327" s="85">
        <v>0</v>
      </c>
      <c r="O327" s="85">
        <v>0</v>
      </c>
      <c r="P327" s="85">
        <v>0</v>
      </c>
      <c r="Q327" s="85">
        <f>0.1*0.065</f>
        <v>6.5000000000000006E-3</v>
      </c>
      <c r="R327" s="85">
        <v>0</v>
      </c>
      <c r="S327" s="85">
        <v>0</v>
      </c>
      <c r="T327" s="85">
        <v>0</v>
      </c>
      <c r="U327" s="85">
        <v>0</v>
      </c>
      <c r="V327" s="85">
        <v>0</v>
      </c>
      <c r="W327" s="85">
        <v>0</v>
      </c>
      <c r="X327" s="85">
        <v>0</v>
      </c>
      <c r="Y327" s="85">
        <v>0</v>
      </c>
      <c r="Z327" s="85">
        <v>0</v>
      </c>
      <c r="AA327" s="85">
        <v>0</v>
      </c>
      <c r="AB327" s="85">
        <v>0</v>
      </c>
      <c r="AC327" s="85">
        <v>0</v>
      </c>
      <c r="AD327" s="85"/>
    </row>
    <row r="328" spans="1:30">
      <c r="A328" s="82" t="s">
        <v>578</v>
      </c>
      <c r="B328" s="83" t="s">
        <v>594</v>
      </c>
      <c r="C328" s="84" t="s">
        <v>680</v>
      </c>
      <c r="D328" s="84" t="s">
        <v>680</v>
      </c>
      <c r="E328" s="84" t="s">
        <v>680</v>
      </c>
      <c r="F328" s="85">
        <f>37.031*0.055</f>
        <v>2.036705</v>
      </c>
      <c r="G328" s="85">
        <f>34.641*0.055</f>
        <v>1.9052549999999999</v>
      </c>
      <c r="H328" s="85">
        <f>45.505*0.055</f>
        <v>2.5027750000000002</v>
      </c>
      <c r="I328" s="85">
        <f>35.91*0.055</f>
        <v>1.9750499999999998</v>
      </c>
      <c r="J328" s="85">
        <f>34.77*0.055</f>
        <v>1.9123500000000002</v>
      </c>
      <c r="K328" s="85">
        <f>34.75*0.055</f>
        <v>1.9112500000000001</v>
      </c>
      <c r="L328" s="85">
        <v>1.7363</v>
      </c>
      <c r="M328" s="85">
        <f>27.76*0.055</f>
        <v>1.5268000000000002</v>
      </c>
      <c r="N328" s="85">
        <v>3.2790999999999997</v>
      </c>
      <c r="O328" s="85">
        <f>74.5*0.055</f>
        <v>4.0975000000000001</v>
      </c>
      <c r="P328" s="85">
        <f>93.8*0.055</f>
        <v>5.1589999999999998</v>
      </c>
      <c r="Q328" s="85">
        <f>539.35*0.055</f>
        <v>29.664250000000003</v>
      </c>
      <c r="R328" s="85">
        <f>557*0.055</f>
        <v>30.635000000000002</v>
      </c>
      <c r="S328" s="85">
        <f>835.5*0.055</f>
        <v>45.952500000000001</v>
      </c>
      <c r="T328" s="85">
        <f>550*0.055</f>
        <v>30.25</v>
      </c>
      <c r="U328" s="85">
        <f>550*0.055</f>
        <v>30.25</v>
      </c>
      <c r="V328" s="85">
        <f>480*0.055</f>
        <v>26.4</v>
      </c>
      <c r="W328" s="85">
        <f>350*0.055</f>
        <v>19.25</v>
      </c>
      <c r="X328" s="85">
        <f>380*0.055</f>
        <v>20.9</v>
      </c>
      <c r="Y328" s="85">
        <f>360*0.055</f>
        <v>19.8</v>
      </c>
      <c r="Z328" s="85">
        <f>365*0.055</f>
        <v>20.074999999999999</v>
      </c>
      <c r="AA328" s="85">
        <f>330*0.055</f>
        <v>18.149999999999999</v>
      </c>
      <c r="AB328" s="85">
        <f>280*0.055</f>
        <v>15.4</v>
      </c>
      <c r="AC328" s="85">
        <f>195*0.055</f>
        <v>10.725</v>
      </c>
      <c r="AD328" s="85"/>
    </row>
    <row r="329" spans="1:30">
      <c r="A329" s="82" t="s">
        <v>578</v>
      </c>
      <c r="B329" s="87" t="s">
        <v>643</v>
      </c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>
        <v>0</v>
      </c>
      <c r="O329" s="85">
        <v>0</v>
      </c>
      <c r="P329" s="85">
        <v>0</v>
      </c>
      <c r="Q329" s="85">
        <v>0</v>
      </c>
      <c r="R329" s="85">
        <v>0</v>
      </c>
      <c r="S329" s="85">
        <v>0</v>
      </c>
      <c r="T329" s="85">
        <v>0</v>
      </c>
      <c r="U329" s="85">
        <v>0</v>
      </c>
      <c r="V329" s="85">
        <v>0</v>
      </c>
      <c r="W329" s="85">
        <v>0</v>
      </c>
      <c r="X329" s="85">
        <v>0</v>
      </c>
      <c r="Y329" s="85">
        <v>0</v>
      </c>
      <c r="Z329" s="85">
        <v>0</v>
      </c>
      <c r="AA329" s="85">
        <v>0</v>
      </c>
      <c r="AB329" s="85">
        <v>0</v>
      </c>
      <c r="AC329" s="85">
        <v>0</v>
      </c>
      <c r="AD329" s="85"/>
    </row>
    <row r="330" spans="1:30">
      <c r="A330" s="82" t="s">
        <v>579</v>
      </c>
      <c r="B330" s="83" t="s">
        <v>597</v>
      </c>
      <c r="C330" s="85">
        <v>0</v>
      </c>
      <c r="D330" s="85">
        <v>0</v>
      </c>
      <c r="E330" s="85">
        <v>0</v>
      </c>
      <c r="F330" s="85">
        <v>0</v>
      </c>
      <c r="G330" s="85">
        <v>0</v>
      </c>
      <c r="H330" s="85">
        <v>0</v>
      </c>
      <c r="I330" s="85">
        <v>0</v>
      </c>
      <c r="J330" s="85">
        <v>0</v>
      </c>
      <c r="K330" s="85"/>
      <c r="L330" s="85"/>
      <c r="M330" s="85"/>
      <c r="N330" s="85">
        <v>0</v>
      </c>
      <c r="O330" s="85">
        <v>0</v>
      </c>
      <c r="P330" s="85">
        <v>0</v>
      </c>
      <c r="Q330" s="85">
        <v>0</v>
      </c>
      <c r="R330" s="85">
        <v>0</v>
      </c>
      <c r="S330" s="85">
        <v>0</v>
      </c>
      <c r="T330" s="85">
        <v>0</v>
      </c>
      <c r="U330" s="85">
        <v>0</v>
      </c>
      <c r="V330" s="85">
        <v>0</v>
      </c>
      <c r="W330" s="85">
        <v>0</v>
      </c>
      <c r="X330" s="85">
        <v>0</v>
      </c>
      <c r="Y330" s="85">
        <v>0</v>
      </c>
      <c r="Z330" s="85">
        <v>0</v>
      </c>
      <c r="AA330" s="85">
        <v>0</v>
      </c>
      <c r="AB330" s="85">
        <v>0</v>
      </c>
      <c r="AC330" s="85">
        <v>0</v>
      </c>
      <c r="AD330" s="85"/>
    </row>
    <row r="331" spans="1:30">
      <c r="A331" s="82" t="s">
        <v>579</v>
      </c>
      <c r="B331" s="83" t="s">
        <v>600</v>
      </c>
      <c r="C331" s="85">
        <v>0</v>
      </c>
      <c r="D331" s="85">
        <v>0</v>
      </c>
      <c r="E331" s="85">
        <v>0</v>
      </c>
      <c r="F331" s="85">
        <v>0</v>
      </c>
      <c r="G331" s="85">
        <v>0</v>
      </c>
      <c r="H331" s="85">
        <v>0</v>
      </c>
      <c r="I331" s="85">
        <v>0</v>
      </c>
      <c r="J331" s="85">
        <v>0</v>
      </c>
      <c r="K331" s="85"/>
      <c r="L331" s="85"/>
      <c r="M331" s="85"/>
      <c r="N331" s="85">
        <v>0</v>
      </c>
      <c r="O331" s="85">
        <v>0</v>
      </c>
      <c r="P331" s="85">
        <v>0</v>
      </c>
      <c r="Q331" s="85">
        <v>0</v>
      </c>
      <c r="R331" s="85">
        <v>0</v>
      </c>
      <c r="S331" s="85">
        <v>0</v>
      </c>
      <c r="T331" s="85">
        <v>0</v>
      </c>
      <c r="U331" s="85">
        <v>0</v>
      </c>
      <c r="V331" s="85">
        <v>0</v>
      </c>
      <c r="W331" s="85">
        <v>0</v>
      </c>
      <c r="X331" s="85">
        <v>0</v>
      </c>
      <c r="Y331" s="85">
        <v>0</v>
      </c>
      <c r="Z331" s="85">
        <v>0</v>
      </c>
      <c r="AA331" s="85">
        <v>0</v>
      </c>
      <c r="AB331" s="85">
        <v>0</v>
      </c>
      <c r="AC331" s="85">
        <v>0</v>
      </c>
      <c r="AD331" s="85"/>
    </row>
    <row r="332" spans="1:30">
      <c r="A332" s="82" t="s">
        <v>579</v>
      </c>
      <c r="B332" s="83" t="s">
        <v>595</v>
      </c>
      <c r="C332" s="85">
        <v>0</v>
      </c>
      <c r="D332" s="85">
        <v>0</v>
      </c>
      <c r="E332" s="85">
        <v>0</v>
      </c>
      <c r="F332" s="85">
        <v>0</v>
      </c>
      <c r="G332" s="85">
        <v>0</v>
      </c>
      <c r="H332" s="85">
        <v>0</v>
      </c>
      <c r="I332" s="85">
        <v>0</v>
      </c>
      <c r="J332" s="85">
        <v>0</v>
      </c>
      <c r="K332" s="85"/>
      <c r="L332" s="85"/>
      <c r="M332" s="85"/>
      <c r="N332" s="85">
        <v>0</v>
      </c>
      <c r="O332" s="85">
        <v>0</v>
      </c>
      <c r="P332" s="85">
        <v>0</v>
      </c>
      <c r="Q332" s="85">
        <v>0</v>
      </c>
      <c r="R332" s="85">
        <v>0</v>
      </c>
      <c r="S332" s="85">
        <v>0</v>
      </c>
      <c r="T332" s="85">
        <f>9*0.11</f>
        <v>0.99</v>
      </c>
      <c r="U332" s="85">
        <v>0</v>
      </c>
      <c r="V332" s="85">
        <v>0</v>
      </c>
      <c r="W332" s="85">
        <v>0</v>
      </c>
      <c r="X332" s="85">
        <v>0</v>
      </c>
      <c r="Y332" s="85">
        <v>0</v>
      </c>
      <c r="Z332" s="85">
        <v>0</v>
      </c>
      <c r="AA332" s="85">
        <v>0</v>
      </c>
      <c r="AB332" s="85">
        <v>0</v>
      </c>
      <c r="AC332" s="85">
        <v>0</v>
      </c>
      <c r="AD332" s="85"/>
    </row>
    <row r="333" spans="1:30">
      <c r="A333" s="82" t="s">
        <v>579</v>
      </c>
      <c r="B333" s="83" t="s">
        <v>596</v>
      </c>
      <c r="C333" s="85">
        <v>0</v>
      </c>
      <c r="D333" s="85">
        <v>0</v>
      </c>
      <c r="E333" s="85">
        <v>0</v>
      </c>
      <c r="F333" s="85">
        <v>0</v>
      </c>
      <c r="G333" s="85">
        <v>0</v>
      </c>
      <c r="H333" s="85">
        <v>0</v>
      </c>
      <c r="I333" s="85">
        <v>0</v>
      </c>
      <c r="J333" s="85">
        <v>0</v>
      </c>
      <c r="K333" s="85"/>
      <c r="L333" s="85"/>
      <c r="M333" s="85"/>
      <c r="N333" s="85">
        <v>0</v>
      </c>
      <c r="O333" s="85">
        <v>0</v>
      </c>
      <c r="P333" s="85">
        <v>0</v>
      </c>
      <c r="Q333" s="85">
        <v>0</v>
      </c>
      <c r="R333" s="85">
        <f>11*0.065</f>
        <v>0.71500000000000008</v>
      </c>
      <c r="S333" s="85">
        <v>0</v>
      </c>
      <c r="T333" s="85">
        <v>0</v>
      </c>
      <c r="U333" s="85">
        <v>0</v>
      </c>
      <c r="V333" s="85">
        <v>0</v>
      </c>
      <c r="W333" s="85">
        <v>0</v>
      </c>
      <c r="X333" s="85">
        <v>0</v>
      </c>
      <c r="Y333" s="85">
        <v>0</v>
      </c>
      <c r="Z333" s="85">
        <v>0</v>
      </c>
      <c r="AA333" s="85">
        <v>0</v>
      </c>
      <c r="AB333" s="85">
        <v>0</v>
      </c>
      <c r="AC333" s="85">
        <v>0</v>
      </c>
      <c r="AD333" s="85"/>
    </row>
    <row r="334" spans="1:30">
      <c r="A334" s="82" t="s">
        <v>579</v>
      </c>
      <c r="B334" s="83" t="s">
        <v>594</v>
      </c>
      <c r="C334" s="85">
        <v>0</v>
      </c>
      <c r="D334" s="85">
        <v>0</v>
      </c>
      <c r="E334" s="85">
        <f>8*0.055</f>
        <v>0.44</v>
      </c>
      <c r="F334" s="85">
        <f>2.9*0.055</f>
        <v>0.1595</v>
      </c>
      <c r="G334" s="85">
        <f>2.6*0.055</f>
        <v>0.14300000000000002</v>
      </c>
      <c r="H334" s="85">
        <f>2.2*0.055</f>
        <v>0.12100000000000001</v>
      </c>
      <c r="I334" s="85">
        <f>2.17*0.055</f>
        <v>0.11935</v>
      </c>
      <c r="J334" s="85">
        <f>2.8*0.055</f>
        <v>0.154</v>
      </c>
      <c r="K334" s="85"/>
      <c r="L334" s="85"/>
      <c r="M334" s="85"/>
      <c r="N334" s="85">
        <f>1.18*0.055</f>
        <v>6.4899999999999999E-2</v>
      </c>
      <c r="O334" s="85">
        <f>1.74*0.055</f>
        <v>9.5699999999999993E-2</v>
      </c>
      <c r="P334" s="85">
        <f>1.49*0.055</f>
        <v>8.1949999999999995E-2</v>
      </c>
      <c r="Q334" s="85">
        <f>16.6*0.055</f>
        <v>0.91300000000000003</v>
      </c>
      <c r="R334" s="85">
        <f>15*0.055</f>
        <v>0.82499999999999996</v>
      </c>
      <c r="S334" s="85">
        <f>17.8*0.055</f>
        <v>0.97900000000000009</v>
      </c>
      <c r="T334" s="85">
        <f>16.7*0.055</f>
        <v>0.91849999999999998</v>
      </c>
      <c r="U334" s="85">
        <f>15.7*0.055</f>
        <v>0.86349999999999993</v>
      </c>
      <c r="V334" s="85">
        <f>14*0.055</f>
        <v>0.77</v>
      </c>
      <c r="W334" s="85">
        <f>13.7*0.055</f>
        <v>0.75349999999999995</v>
      </c>
      <c r="X334" s="85">
        <f>9.08*0.055</f>
        <v>0.49940000000000001</v>
      </c>
      <c r="Y334" s="85">
        <f>8*0.055</f>
        <v>0.44</v>
      </c>
      <c r="Z334" s="85">
        <f>4*0.055</f>
        <v>0.22</v>
      </c>
      <c r="AA334" s="85">
        <f>3*0.055</f>
        <v>0.16500000000000001</v>
      </c>
      <c r="AB334" s="85">
        <f>3.8*0.055</f>
        <v>0.20899999999999999</v>
      </c>
      <c r="AC334" s="85">
        <f>3.5*0.055</f>
        <v>0.1925</v>
      </c>
      <c r="AD334" s="85"/>
    </row>
    <row r="335" spans="1:30">
      <c r="A335" s="82" t="s">
        <v>579</v>
      </c>
      <c r="B335" s="87" t="s">
        <v>643</v>
      </c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>
        <v>0</v>
      </c>
      <c r="O335" s="85">
        <v>0</v>
      </c>
      <c r="P335" s="85">
        <v>0</v>
      </c>
      <c r="Q335" s="85">
        <v>0</v>
      </c>
      <c r="R335" s="85">
        <v>0</v>
      </c>
      <c r="S335" s="85">
        <v>0</v>
      </c>
      <c r="T335" s="85">
        <v>0</v>
      </c>
      <c r="U335" s="85">
        <v>0</v>
      </c>
      <c r="V335" s="85">
        <v>0</v>
      </c>
      <c r="W335" s="85">
        <v>0</v>
      </c>
      <c r="X335" s="85">
        <v>0</v>
      </c>
      <c r="Y335" s="85">
        <v>0</v>
      </c>
      <c r="Z335" s="85">
        <v>0</v>
      </c>
      <c r="AA335" s="85">
        <v>0</v>
      </c>
      <c r="AB335" s="85">
        <v>0</v>
      </c>
      <c r="AC335" s="85">
        <v>0</v>
      </c>
      <c r="AD335" s="85"/>
    </row>
    <row r="336" spans="1:30">
      <c r="A336" s="82" t="s">
        <v>580</v>
      </c>
      <c r="B336" s="83" t="s">
        <v>597</v>
      </c>
      <c r="C336" s="85">
        <v>0</v>
      </c>
      <c r="D336" s="85">
        <v>0</v>
      </c>
      <c r="E336" s="85">
        <v>0</v>
      </c>
      <c r="F336" s="85">
        <v>0</v>
      </c>
      <c r="G336" s="85">
        <v>0</v>
      </c>
      <c r="H336" s="85">
        <v>0</v>
      </c>
      <c r="I336" s="85">
        <v>0</v>
      </c>
      <c r="J336" s="85">
        <v>0</v>
      </c>
      <c r="K336" s="85">
        <v>0</v>
      </c>
      <c r="L336" s="85">
        <v>0</v>
      </c>
      <c r="M336" s="85">
        <v>0</v>
      </c>
      <c r="N336" s="85">
        <v>0</v>
      </c>
      <c r="O336" s="85">
        <v>0</v>
      </c>
      <c r="P336" s="85">
        <v>0</v>
      </c>
      <c r="Q336" s="85">
        <v>0</v>
      </c>
      <c r="R336" s="85">
        <v>0</v>
      </c>
      <c r="S336" s="85">
        <v>0</v>
      </c>
      <c r="T336" s="85">
        <v>0</v>
      </c>
      <c r="U336" s="85">
        <v>0</v>
      </c>
      <c r="V336" s="85">
        <v>0</v>
      </c>
      <c r="W336" s="85">
        <v>0</v>
      </c>
      <c r="X336" s="85">
        <v>0</v>
      </c>
      <c r="Y336" s="85">
        <v>0</v>
      </c>
      <c r="Z336" s="85">
        <v>0</v>
      </c>
      <c r="AA336" s="85">
        <v>0</v>
      </c>
      <c r="AB336" s="85">
        <v>0</v>
      </c>
      <c r="AC336" s="85">
        <v>0</v>
      </c>
      <c r="AD336" s="85"/>
    </row>
    <row r="337" spans="1:30">
      <c r="A337" s="82" t="s">
        <v>580</v>
      </c>
      <c r="B337" s="83" t="s">
        <v>600</v>
      </c>
      <c r="C337" s="85">
        <v>0</v>
      </c>
      <c r="D337" s="85">
        <v>0</v>
      </c>
      <c r="E337" s="85">
        <v>0</v>
      </c>
      <c r="F337" s="85">
        <v>0</v>
      </c>
      <c r="G337" s="85">
        <v>0</v>
      </c>
      <c r="H337" s="85">
        <v>0</v>
      </c>
      <c r="I337" s="85">
        <v>0</v>
      </c>
      <c r="J337" s="85">
        <v>0</v>
      </c>
      <c r="K337" s="85">
        <v>0</v>
      </c>
      <c r="L337" s="85">
        <v>0</v>
      </c>
      <c r="M337" s="85">
        <v>0</v>
      </c>
      <c r="N337" s="85">
        <v>0</v>
      </c>
      <c r="O337" s="85">
        <v>0</v>
      </c>
      <c r="P337" s="85">
        <v>0</v>
      </c>
      <c r="Q337" s="85">
        <v>0</v>
      </c>
      <c r="R337" s="85">
        <v>0</v>
      </c>
      <c r="S337" s="85">
        <v>0</v>
      </c>
      <c r="T337" s="85">
        <v>0</v>
      </c>
      <c r="U337" s="85">
        <v>0</v>
      </c>
      <c r="V337" s="85">
        <v>0</v>
      </c>
      <c r="W337" s="85">
        <v>0</v>
      </c>
      <c r="X337" s="85">
        <v>0</v>
      </c>
      <c r="Y337" s="85">
        <v>0</v>
      </c>
      <c r="Z337" s="85">
        <v>0</v>
      </c>
      <c r="AA337" s="85">
        <v>0</v>
      </c>
      <c r="AB337" s="85">
        <v>0</v>
      </c>
      <c r="AC337" s="85">
        <v>0</v>
      </c>
      <c r="AD337" s="85"/>
    </row>
    <row r="338" spans="1:30">
      <c r="A338" s="82" t="s">
        <v>580</v>
      </c>
      <c r="B338" s="83" t="s">
        <v>595</v>
      </c>
      <c r="C338" s="85">
        <v>0</v>
      </c>
      <c r="D338" s="85">
        <v>0</v>
      </c>
      <c r="E338" s="85">
        <v>0</v>
      </c>
      <c r="F338" s="85">
        <v>0</v>
      </c>
      <c r="G338" s="85">
        <v>0</v>
      </c>
      <c r="H338" s="85">
        <v>0</v>
      </c>
      <c r="I338" s="85">
        <v>0</v>
      </c>
      <c r="J338" s="85">
        <v>0</v>
      </c>
      <c r="K338" s="85">
        <v>0</v>
      </c>
      <c r="L338" s="85">
        <v>0</v>
      </c>
      <c r="M338" s="85">
        <v>0</v>
      </c>
      <c r="N338" s="85">
        <v>0</v>
      </c>
      <c r="O338" s="85">
        <v>0</v>
      </c>
      <c r="P338" s="85">
        <v>0</v>
      </c>
      <c r="Q338" s="85">
        <v>0</v>
      </c>
      <c r="R338" s="85">
        <v>0</v>
      </c>
      <c r="S338" s="85">
        <v>0</v>
      </c>
      <c r="T338" s="85">
        <v>0</v>
      </c>
      <c r="U338" s="85">
        <v>0</v>
      </c>
      <c r="V338" s="85">
        <v>0</v>
      </c>
      <c r="W338" s="85">
        <v>0</v>
      </c>
      <c r="X338" s="85">
        <v>0</v>
      </c>
      <c r="Y338" s="85">
        <v>0</v>
      </c>
      <c r="Z338" s="85">
        <v>0</v>
      </c>
      <c r="AA338" s="85">
        <v>0</v>
      </c>
      <c r="AB338" s="85">
        <v>0</v>
      </c>
      <c r="AC338" s="85">
        <v>0</v>
      </c>
      <c r="AD338" s="85"/>
    </row>
    <row r="339" spans="1:30">
      <c r="A339" s="82" t="s">
        <v>580</v>
      </c>
      <c r="B339" s="83" t="s">
        <v>596</v>
      </c>
      <c r="C339" s="85">
        <v>0</v>
      </c>
      <c r="D339" s="85">
        <v>0</v>
      </c>
      <c r="E339" s="85">
        <v>0</v>
      </c>
      <c r="F339" s="85">
        <v>0</v>
      </c>
      <c r="G339" s="85">
        <v>0</v>
      </c>
      <c r="H339" s="85">
        <v>0</v>
      </c>
      <c r="I339" s="85">
        <v>0</v>
      </c>
      <c r="J339" s="85">
        <v>0</v>
      </c>
      <c r="K339" s="85">
        <v>0</v>
      </c>
      <c r="L339" s="85">
        <v>0</v>
      </c>
      <c r="M339" s="85">
        <v>0</v>
      </c>
      <c r="N339" s="85">
        <v>0</v>
      </c>
      <c r="O339" s="85">
        <v>0</v>
      </c>
      <c r="P339" s="85">
        <v>0</v>
      </c>
      <c r="Q339" s="85">
        <f>10*0.065</f>
        <v>0.65</v>
      </c>
      <c r="R339" s="85">
        <f>9.8*0.065</f>
        <v>0.63700000000000012</v>
      </c>
      <c r="S339" s="85">
        <f>5*0.065</f>
        <v>0.32500000000000001</v>
      </c>
      <c r="T339" s="85">
        <v>0</v>
      </c>
      <c r="U339" s="85">
        <v>0</v>
      </c>
      <c r="V339" s="85">
        <v>0</v>
      </c>
      <c r="W339" s="85">
        <v>0</v>
      </c>
      <c r="X339" s="85">
        <v>0</v>
      </c>
      <c r="Y339" s="85">
        <v>0</v>
      </c>
      <c r="Z339" s="85">
        <v>0</v>
      </c>
      <c r="AA339" s="85">
        <v>0</v>
      </c>
      <c r="AB339" s="85">
        <v>0</v>
      </c>
      <c r="AC339" s="85">
        <v>0</v>
      </c>
      <c r="AD339" s="85"/>
    </row>
    <row r="340" spans="1:30">
      <c r="A340" s="82" t="s">
        <v>580</v>
      </c>
      <c r="B340" s="83" t="s">
        <v>594</v>
      </c>
      <c r="C340" s="85">
        <f>3.95*0.055</f>
        <v>0.21725</v>
      </c>
      <c r="D340" s="85">
        <f>19.38*0.055</f>
        <v>1.0658999999999998</v>
      </c>
      <c r="E340" s="85">
        <f>26.68*0.055</f>
        <v>1.4674</v>
      </c>
      <c r="F340" s="85">
        <f>12*0.055</f>
        <v>0.66</v>
      </c>
      <c r="G340" s="85">
        <f>9.6*0.055</f>
        <v>0.52800000000000002</v>
      </c>
      <c r="H340" s="85">
        <f>15*0.055</f>
        <v>0.82499999999999996</v>
      </c>
      <c r="I340" s="85">
        <f>15*0.055</f>
        <v>0.82499999999999996</v>
      </c>
      <c r="J340" s="85">
        <f>17.1*0.055</f>
        <v>0.94050000000000011</v>
      </c>
      <c r="K340" s="85">
        <f>16.4*0.055</f>
        <v>0.90199999999999991</v>
      </c>
      <c r="L340" s="85">
        <f>19.58*0.055</f>
        <v>1.0769</v>
      </c>
      <c r="M340" s="85">
        <f>20.24*0.055</f>
        <v>1.1132</v>
      </c>
      <c r="N340" s="85">
        <f>28.7*0.055</f>
        <v>1.5785</v>
      </c>
      <c r="O340" s="85">
        <f>32.5*0.055</f>
        <v>1.7875000000000001</v>
      </c>
      <c r="P340" s="85">
        <f>106.84*0.055</f>
        <v>5.8761999999999999</v>
      </c>
      <c r="Q340" s="85">
        <f>71.2*0.055</f>
        <v>3.9160000000000004</v>
      </c>
      <c r="R340" s="85">
        <f>95*0.055</f>
        <v>5.2249999999999996</v>
      </c>
      <c r="S340" s="85">
        <f>72.4*0.055</f>
        <v>3.9820000000000002</v>
      </c>
      <c r="T340" s="85">
        <f>48.3*0.055</f>
        <v>2.6564999999999999</v>
      </c>
      <c r="U340" s="85">
        <f>25.1*0.055</f>
        <v>1.3805000000000001</v>
      </c>
      <c r="V340" s="85">
        <f>22.3*0.055</f>
        <v>1.2265000000000001</v>
      </c>
      <c r="W340" s="85">
        <f>30.6*0.055</f>
        <v>1.6830000000000001</v>
      </c>
      <c r="X340" s="85">
        <f>25.2*0.055</f>
        <v>1.3859999999999999</v>
      </c>
      <c r="Y340" s="85">
        <f>38.2*0.055</f>
        <v>2.101</v>
      </c>
      <c r="Z340" s="85">
        <f>34.32*0.055</f>
        <v>1.8875999999999999</v>
      </c>
      <c r="AA340" s="85">
        <f>43.59*0.055</f>
        <v>2.3974500000000001</v>
      </c>
      <c r="AB340" s="85">
        <f>15.504*0.055</f>
        <v>0.85272000000000003</v>
      </c>
      <c r="AC340" s="85">
        <f>16.694*0.055</f>
        <v>0.91816999999999993</v>
      </c>
      <c r="AD340" s="85"/>
    </row>
    <row r="341" spans="1:30">
      <c r="A341" s="82" t="s">
        <v>580</v>
      </c>
      <c r="B341" s="87" t="s">
        <v>643</v>
      </c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>
        <v>0</v>
      </c>
      <c r="O341" s="85">
        <v>0</v>
      </c>
      <c r="P341" s="85">
        <v>0</v>
      </c>
      <c r="Q341" s="85">
        <v>0</v>
      </c>
      <c r="R341" s="85">
        <v>0</v>
      </c>
      <c r="S341" s="85">
        <v>0</v>
      </c>
      <c r="T341" s="85">
        <v>0</v>
      </c>
      <c r="U341" s="85">
        <v>0</v>
      </c>
      <c r="V341" s="85">
        <v>0</v>
      </c>
      <c r="W341" s="85">
        <v>0</v>
      </c>
      <c r="X341" s="85">
        <v>0</v>
      </c>
      <c r="Y341" s="85">
        <v>0</v>
      </c>
      <c r="Z341" s="85">
        <v>0</v>
      </c>
      <c r="AA341" s="85">
        <v>0</v>
      </c>
      <c r="AB341" s="85">
        <v>0</v>
      </c>
      <c r="AC341" s="85">
        <v>0</v>
      </c>
      <c r="AD341" s="85"/>
    </row>
    <row r="342" spans="1:30">
      <c r="A342" s="82" t="s">
        <v>581</v>
      </c>
      <c r="B342" s="83" t="s">
        <v>597</v>
      </c>
      <c r="C342" s="85">
        <v>0</v>
      </c>
      <c r="D342" s="85">
        <v>0</v>
      </c>
      <c r="E342" s="85">
        <v>0</v>
      </c>
      <c r="F342" s="84" t="s">
        <v>680</v>
      </c>
      <c r="G342" s="85">
        <v>0</v>
      </c>
      <c r="H342" s="85">
        <v>0</v>
      </c>
      <c r="I342" s="85">
        <v>0</v>
      </c>
      <c r="J342" s="85">
        <v>0</v>
      </c>
      <c r="K342" s="85">
        <v>0</v>
      </c>
      <c r="L342" s="85">
        <v>0</v>
      </c>
      <c r="M342" s="85">
        <v>0</v>
      </c>
      <c r="N342" s="85">
        <v>0</v>
      </c>
      <c r="O342" s="85">
        <v>0</v>
      </c>
      <c r="P342" s="85">
        <v>0</v>
      </c>
      <c r="Q342" s="85">
        <v>0</v>
      </c>
      <c r="R342" s="85">
        <v>0</v>
      </c>
      <c r="S342" s="85">
        <v>0</v>
      </c>
      <c r="T342" s="85">
        <v>0</v>
      </c>
      <c r="U342" s="85">
        <v>0</v>
      </c>
      <c r="V342" s="85">
        <v>0</v>
      </c>
      <c r="W342" s="85">
        <v>0</v>
      </c>
      <c r="X342" s="85">
        <v>0</v>
      </c>
      <c r="Y342" s="85">
        <v>0</v>
      </c>
      <c r="Z342" s="85">
        <v>0</v>
      </c>
      <c r="AA342" s="85">
        <v>0</v>
      </c>
      <c r="AB342" s="85">
        <v>0</v>
      </c>
      <c r="AC342" s="85">
        <v>0</v>
      </c>
      <c r="AD342" s="85"/>
    </row>
    <row r="343" spans="1:30">
      <c r="A343" s="82" t="s">
        <v>581</v>
      </c>
      <c r="B343" s="83" t="s">
        <v>600</v>
      </c>
      <c r="C343" s="85">
        <v>0</v>
      </c>
      <c r="D343" s="85">
        <v>0</v>
      </c>
      <c r="E343" s="85">
        <v>0</v>
      </c>
      <c r="F343" s="84" t="s">
        <v>680</v>
      </c>
      <c r="G343" s="85">
        <v>0</v>
      </c>
      <c r="H343" s="85">
        <v>0</v>
      </c>
      <c r="I343" s="85">
        <v>0</v>
      </c>
      <c r="J343" s="85">
        <v>0</v>
      </c>
      <c r="K343" s="85">
        <v>0</v>
      </c>
      <c r="L343" s="85">
        <v>0</v>
      </c>
      <c r="M343" s="85">
        <v>0</v>
      </c>
      <c r="N343" s="85">
        <v>0</v>
      </c>
      <c r="O343" s="85">
        <v>0</v>
      </c>
      <c r="P343" s="85">
        <v>0</v>
      </c>
      <c r="Q343" s="85">
        <v>0</v>
      </c>
      <c r="R343" s="85">
        <v>0</v>
      </c>
      <c r="S343" s="85">
        <v>0</v>
      </c>
      <c r="T343" s="85">
        <v>0</v>
      </c>
      <c r="U343" s="85">
        <v>0</v>
      </c>
      <c r="V343" s="85">
        <v>0</v>
      </c>
      <c r="W343" s="85">
        <v>0</v>
      </c>
      <c r="X343" s="85">
        <v>0</v>
      </c>
      <c r="Y343" s="85">
        <v>0</v>
      </c>
      <c r="Z343" s="85">
        <v>0</v>
      </c>
      <c r="AA343" s="85">
        <v>0</v>
      </c>
      <c r="AB343" s="85">
        <v>0</v>
      </c>
      <c r="AC343" s="85">
        <v>0</v>
      </c>
      <c r="AD343" s="85"/>
    </row>
    <row r="344" spans="1:30">
      <c r="A344" s="82" t="s">
        <v>581</v>
      </c>
      <c r="B344" s="83" t="s">
        <v>595</v>
      </c>
      <c r="C344" s="85">
        <v>0</v>
      </c>
      <c r="D344" s="85">
        <v>0</v>
      </c>
      <c r="E344" s="85">
        <v>0</v>
      </c>
      <c r="F344" s="84" t="s">
        <v>680</v>
      </c>
      <c r="G344" s="85">
        <v>0</v>
      </c>
      <c r="H344" s="85">
        <v>0</v>
      </c>
      <c r="I344" s="85">
        <v>0</v>
      </c>
      <c r="J344" s="85">
        <v>0</v>
      </c>
      <c r="K344" s="85">
        <v>0</v>
      </c>
      <c r="L344" s="85">
        <v>0</v>
      </c>
      <c r="M344" s="85">
        <v>0</v>
      </c>
      <c r="N344" s="85">
        <v>0</v>
      </c>
      <c r="O344" s="85">
        <v>0</v>
      </c>
      <c r="P344" s="85">
        <v>0</v>
      </c>
      <c r="Q344" s="85">
        <v>0</v>
      </c>
      <c r="R344" s="85">
        <v>0</v>
      </c>
      <c r="S344" s="85">
        <v>0</v>
      </c>
      <c r="T344" s="85">
        <v>0</v>
      </c>
      <c r="U344" s="85">
        <v>0</v>
      </c>
      <c r="V344" s="85">
        <v>0</v>
      </c>
      <c r="W344" s="85">
        <v>0</v>
      </c>
      <c r="X344" s="85">
        <v>0</v>
      </c>
      <c r="Y344" s="85">
        <v>0</v>
      </c>
      <c r="Z344" s="85">
        <v>0</v>
      </c>
      <c r="AA344" s="85">
        <v>0</v>
      </c>
      <c r="AB344" s="85">
        <v>0</v>
      </c>
      <c r="AC344" s="85">
        <v>0</v>
      </c>
      <c r="AD344" s="85"/>
    </row>
    <row r="345" spans="1:30">
      <c r="A345" s="82" t="s">
        <v>581</v>
      </c>
      <c r="B345" s="83" t="s">
        <v>596</v>
      </c>
      <c r="C345" s="85">
        <v>0</v>
      </c>
      <c r="D345" s="85">
        <v>0</v>
      </c>
      <c r="E345" s="85">
        <v>0</v>
      </c>
      <c r="F345" s="84" t="s">
        <v>680</v>
      </c>
      <c r="G345" s="85">
        <v>0</v>
      </c>
      <c r="H345" s="85">
        <v>0</v>
      </c>
      <c r="I345" s="85">
        <v>0</v>
      </c>
      <c r="J345" s="85">
        <v>0</v>
      </c>
      <c r="K345" s="85">
        <v>0</v>
      </c>
      <c r="L345" s="85">
        <v>0</v>
      </c>
      <c r="M345" s="85">
        <v>0</v>
      </c>
      <c r="N345" s="85">
        <v>0</v>
      </c>
      <c r="O345" s="85">
        <f>24.46*0.065</f>
        <v>1.5899000000000001</v>
      </c>
      <c r="P345" s="85">
        <f>49.2*0.065</f>
        <v>3.1980000000000004</v>
      </c>
      <c r="Q345" s="85">
        <f>375.7*0.065</f>
        <v>24.420500000000001</v>
      </c>
      <c r="R345" s="85">
        <f>375.7*0.065</f>
        <v>24.420500000000001</v>
      </c>
      <c r="S345" s="85">
        <f>90.3*0.065</f>
        <v>5.8695000000000004</v>
      </c>
      <c r="T345" s="85">
        <v>0</v>
      </c>
      <c r="U345" s="85">
        <f>36.72*0.065</f>
        <v>2.3868</v>
      </c>
      <c r="V345" s="85">
        <f>33.58*0.065</f>
        <v>2.1827000000000001</v>
      </c>
      <c r="W345" s="85">
        <f>73.63*0.065</f>
        <v>4.7859499999999997</v>
      </c>
      <c r="X345" s="85">
        <f>15.9*0.065</f>
        <v>1.0335000000000001</v>
      </c>
      <c r="Y345" s="85">
        <f>36.7*0.065</f>
        <v>2.3855000000000004</v>
      </c>
      <c r="Z345" s="85">
        <f>16.1*0.065</f>
        <v>1.0465000000000002</v>
      </c>
      <c r="AA345" s="85">
        <f>11.45*0.065</f>
        <v>0.74424999999999997</v>
      </c>
      <c r="AB345" s="85">
        <f>11.86*0.065</f>
        <v>0.77090000000000003</v>
      </c>
      <c r="AC345" s="85">
        <f>7.544*0.065</f>
        <v>0.49036000000000002</v>
      </c>
      <c r="AD345" s="85"/>
    </row>
    <row r="346" spans="1:30">
      <c r="A346" s="82" t="s">
        <v>581</v>
      </c>
      <c r="B346" s="83" t="s">
        <v>594</v>
      </c>
      <c r="C346" s="85">
        <f>60.96*0.055</f>
        <v>3.3528000000000002</v>
      </c>
      <c r="D346" s="85">
        <f>27.3*0.055</f>
        <v>1.5015000000000001</v>
      </c>
      <c r="E346" s="85">
        <f>51.78*0.055</f>
        <v>2.8479000000000001</v>
      </c>
      <c r="F346" s="84" t="s">
        <v>680</v>
      </c>
      <c r="G346" s="85">
        <f>56.5*0.055</f>
        <v>3.1074999999999999</v>
      </c>
      <c r="H346" s="85">
        <f>53.7*0.055</f>
        <v>2.9535</v>
      </c>
      <c r="I346" s="85">
        <f>99.83*0.055</f>
        <v>5.4906499999999996</v>
      </c>
      <c r="J346" s="85">
        <f>51.22*0.055</f>
        <v>2.8170999999999999</v>
      </c>
      <c r="K346" s="85">
        <f>95.5*0.055</f>
        <v>5.2525000000000004</v>
      </c>
      <c r="L346" s="85">
        <f>216.44*0.055</f>
        <v>11.904199999999999</v>
      </c>
      <c r="M346" s="85">
        <f>140.45*0.055</f>
        <v>7.7247499999999993</v>
      </c>
      <c r="N346" s="85">
        <v>10.851500000000001</v>
      </c>
      <c r="O346" s="85">
        <f>326.4*0.055</f>
        <v>17.951999999999998</v>
      </c>
      <c r="P346" s="85">
        <f>335.4*0.055</f>
        <v>18.446999999999999</v>
      </c>
      <c r="Q346" s="85">
        <f>961.9*0.055</f>
        <v>52.904499999999999</v>
      </c>
      <c r="R346" s="85">
        <f>961.9*0.055</f>
        <v>52.904499999999999</v>
      </c>
      <c r="S346" s="85">
        <f>451.7*0.055</f>
        <v>24.843499999999999</v>
      </c>
      <c r="T346" s="85">
        <f>502.499*0.055</f>
        <v>27.637445000000003</v>
      </c>
      <c r="U346" s="85">
        <f>418.29*0.055</f>
        <v>23.005950000000002</v>
      </c>
      <c r="V346" s="85">
        <f>384.7*0.055</f>
        <v>21.1585</v>
      </c>
      <c r="W346" s="85">
        <f>284.14*0.055</f>
        <v>15.627699999999999</v>
      </c>
      <c r="X346" s="85">
        <f>318.37*0.055</f>
        <v>17.510349999999999</v>
      </c>
      <c r="Y346" s="85">
        <f>311.6*0.055</f>
        <v>17.138000000000002</v>
      </c>
      <c r="Z346" s="85">
        <f>305.3*0.055</f>
        <v>16.791499999999999</v>
      </c>
      <c r="AA346" s="85">
        <f>298.18*0.055</f>
        <v>16.399899999999999</v>
      </c>
      <c r="AB346" s="85">
        <f>276.41*0.055</f>
        <v>15.202550000000002</v>
      </c>
      <c r="AC346" s="85">
        <f>292.5*0.055</f>
        <v>16.087499999999999</v>
      </c>
      <c r="AD346" s="85"/>
    </row>
    <row r="347" spans="1:30">
      <c r="A347" s="82" t="s">
        <v>581</v>
      </c>
      <c r="B347" s="87" t="s">
        <v>643</v>
      </c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>
        <v>0</v>
      </c>
      <c r="O347" s="85">
        <v>0</v>
      </c>
      <c r="P347" s="85">
        <v>0</v>
      </c>
      <c r="Q347" s="85">
        <v>0</v>
      </c>
      <c r="R347" s="85">
        <v>0</v>
      </c>
      <c r="S347" s="85">
        <v>0</v>
      </c>
      <c r="T347" s="85">
        <v>0</v>
      </c>
      <c r="U347" s="85">
        <v>0</v>
      </c>
      <c r="V347" s="85">
        <v>0</v>
      </c>
      <c r="W347" s="85">
        <v>0</v>
      </c>
      <c r="X347" s="85">
        <v>0</v>
      </c>
      <c r="Y347" s="85">
        <v>0</v>
      </c>
      <c r="Z347" s="85">
        <v>0</v>
      </c>
      <c r="AA347" s="85">
        <v>0</v>
      </c>
      <c r="AB347" s="85">
        <v>0</v>
      </c>
      <c r="AC347" s="85">
        <v>0</v>
      </c>
      <c r="AD347" s="85"/>
    </row>
    <row r="348" spans="1:30">
      <c r="A348" s="82" t="s">
        <v>583</v>
      </c>
      <c r="B348" s="83" t="s">
        <v>597</v>
      </c>
      <c r="C348" s="85">
        <v>0</v>
      </c>
      <c r="D348" s="85">
        <v>0</v>
      </c>
      <c r="E348" s="85">
        <v>0</v>
      </c>
      <c r="F348" s="85">
        <v>0</v>
      </c>
      <c r="G348" s="85">
        <v>0</v>
      </c>
      <c r="H348" s="85">
        <v>0</v>
      </c>
      <c r="I348" s="85">
        <v>0</v>
      </c>
      <c r="J348" s="85">
        <v>0</v>
      </c>
      <c r="K348" s="85">
        <v>0</v>
      </c>
      <c r="L348" s="85">
        <v>0</v>
      </c>
      <c r="M348" s="85">
        <v>0</v>
      </c>
      <c r="N348" s="85">
        <v>0</v>
      </c>
      <c r="O348" s="85">
        <v>0</v>
      </c>
      <c r="P348" s="85">
        <v>0</v>
      </c>
      <c r="Q348" s="85">
        <v>0</v>
      </c>
      <c r="R348" s="85">
        <v>0</v>
      </c>
      <c r="S348" s="85">
        <v>0</v>
      </c>
      <c r="T348" s="85">
        <v>0</v>
      </c>
      <c r="U348" s="85">
        <v>0</v>
      </c>
      <c r="V348" s="85">
        <v>0</v>
      </c>
      <c r="W348" s="85">
        <v>0</v>
      </c>
      <c r="X348" s="85">
        <v>0</v>
      </c>
      <c r="Y348" s="85">
        <v>0</v>
      </c>
      <c r="Z348" s="85">
        <v>0</v>
      </c>
      <c r="AA348" s="85">
        <v>0</v>
      </c>
      <c r="AB348" s="85">
        <v>0</v>
      </c>
      <c r="AC348" s="85">
        <v>0</v>
      </c>
      <c r="AD348" s="85"/>
    </row>
    <row r="349" spans="1:30">
      <c r="A349" s="82" t="s">
        <v>583</v>
      </c>
      <c r="B349" s="83" t="s">
        <v>600</v>
      </c>
      <c r="C349" s="85">
        <v>0</v>
      </c>
      <c r="D349" s="85">
        <v>0</v>
      </c>
      <c r="E349" s="85">
        <v>0</v>
      </c>
      <c r="F349" s="85">
        <v>0</v>
      </c>
      <c r="G349" s="85">
        <v>0</v>
      </c>
      <c r="H349" s="85">
        <v>0</v>
      </c>
      <c r="I349" s="85">
        <v>0</v>
      </c>
      <c r="J349" s="85">
        <v>0</v>
      </c>
      <c r="K349" s="85">
        <v>0</v>
      </c>
      <c r="L349" s="85">
        <v>0</v>
      </c>
      <c r="M349" s="85">
        <v>0</v>
      </c>
      <c r="N349" s="85">
        <v>0</v>
      </c>
      <c r="O349" s="85">
        <v>0</v>
      </c>
      <c r="P349" s="85">
        <v>0</v>
      </c>
      <c r="Q349" s="85">
        <v>0</v>
      </c>
      <c r="R349" s="85">
        <v>0</v>
      </c>
      <c r="S349" s="85">
        <v>0</v>
      </c>
      <c r="T349" s="85">
        <v>0</v>
      </c>
      <c r="U349" s="85">
        <v>0</v>
      </c>
      <c r="V349" s="85">
        <v>0</v>
      </c>
      <c r="W349" s="85">
        <v>0</v>
      </c>
      <c r="X349" s="85">
        <v>0</v>
      </c>
      <c r="Y349" s="85">
        <v>0</v>
      </c>
      <c r="Z349" s="85">
        <v>0</v>
      </c>
      <c r="AA349" s="85">
        <v>0</v>
      </c>
      <c r="AB349" s="85">
        <v>0</v>
      </c>
      <c r="AC349" s="85">
        <v>0</v>
      </c>
      <c r="AD349" s="85"/>
    </row>
    <row r="350" spans="1:30">
      <c r="A350" s="82" t="s">
        <v>583</v>
      </c>
      <c r="B350" s="83" t="s">
        <v>595</v>
      </c>
      <c r="C350" s="85">
        <v>0</v>
      </c>
      <c r="D350" s="85">
        <v>0</v>
      </c>
      <c r="E350" s="85">
        <v>0</v>
      </c>
      <c r="F350" s="85">
        <v>0</v>
      </c>
      <c r="G350" s="85">
        <v>0</v>
      </c>
      <c r="H350" s="85">
        <v>0</v>
      </c>
      <c r="I350" s="85">
        <v>0</v>
      </c>
      <c r="J350" s="85">
        <v>0</v>
      </c>
      <c r="K350" s="85">
        <v>0</v>
      </c>
      <c r="L350" s="85">
        <v>0</v>
      </c>
      <c r="M350" s="85">
        <v>0</v>
      </c>
      <c r="N350" s="85">
        <v>0</v>
      </c>
      <c r="O350" s="85">
        <v>0</v>
      </c>
      <c r="P350" s="85">
        <v>0</v>
      </c>
      <c r="Q350" s="85">
        <v>0</v>
      </c>
      <c r="R350" s="85">
        <v>0</v>
      </c>
      <c r="S350" s="85">
        <v>0</v>
      </c>
      <c r="T350" s="85">
        <v>0</v>
      </c>
      <c r="U350" s="85">
        <v>0</v>
      </c>
      <c r="V350" s="85">
        <v>0</v>
      </c>
      <c r="W350" s="85">
        <v>0</v>
      </c>
      <c r="X350" s="85">
        <v>0</v>
      </c>
      <c r="Y350" s="85">
        <v>0</v>
      </c>
      <c r="Z350" s="85">
        <v>0</v>
      </c>
      <c r="AA350" s="85">
        <v>0</v>
      </c>
      <c r="AB350" s="85">
        <v>0</v>
      </c>
      <c r="AC350" s="85">
        <v>0</v>
      </c>
      <c r="AD350" s="85"/>
    </row>
    <row r="351" spans="1:30">
      <c r="A351" s="82" t="s">
        <v>583</v>
      </c>
      <c r="B351" s="83" t="s">
        <v>596</v>
      </c>
      <c r="C351" s="85">
        <v>0</v>
      </c>
      <c r="D351" s="85">
        <v>0</v>
      </c>
      <c r="E351" s="85">
        <v>0</v>
      </c>
      <c r="F351" s="85">
        <v>0</v>
      </c>
      <c r="G351" s="85">
        <v>0</v>
      </c>
      <c r="H351" s="85">
        <v>0</v>
      </c>
      <c r="I351" s="85">
        <v>0</v>
      </c>
      <c r="J351" s="85">
        <v>0</v>
      </c>
      <c r="K351" s="85">
        <v>0</v>
      </c>
      <c r="L351" s="85">
        <v>0</v>
      </c>
      <c r="M351" s="85">
        <v>0</v>
      </c>
      <c r="N351" s="85">
        <v>0</v>
      </c>
      <c r="O351" s="85">
        <v>0</v>
      </c>
      <c r="P351" s="85">
        <v>0</v>
      </c>
      <c r="Q351" s="85">
        <v>0</v>
      </c>
      <c r="R351" s="85">
        <v>0</v>
      </c>
      <c r="S351" s="85">
        <v>0</v>
      </c>
      <c r="T351" s="85">
        <v>0</v>
      </c>
      <c r="U351" s="85">
        <v>0</v>
      </c>
      <c r="V351" s="85">
        <v>0</v>
      </c>
      <c r="W351" s="85">
        <v>0</v>
      </c>
      <c r="X351" s="85">
        <v>0</v>
      </c>
      <c r="Y351" s="85">
        <v>0</v>
      </c>
      <c r="Z351" s="85">
        <v>0</v>
      </c>
      <c r="AA351" s="85">
        <v>0</v>
      </c>
      <c r="AB351" s="85">
        <v>0</v>
      </c>
      <c r="AC351" s="85">
        <v>0</v>
      </c>
      <c r="AD351" s="85"/>
    </row>
    <row r="352" spans="1:30">
      <c r="A352" s="82" t="s">
        <v>583</v>
      </c>
      <c r="B352" s="83" t="s">
        <v>594</v>
      </c>
      <c r="C352" s="85">
        <f>5.2928*0.055</f>
        <v>0.29110399999999997</v>
      </c>
      <c r="D352" s="85">
        <f>4.2928*0.055</f>
        <v>0.23610399999999998</v>
      </c>
      <c r="E352" s="85">
        <f>7.576*0.055</f>
        <v>0.41667999999999999</v>
      </c>
      <c r="F352" s="85">
        <f>5.254*0.055</f>
        <v>0.28897</v>
      </c>
      <c r="G352" s="85">
        <v>0</v>
      </c>
      <c r="H352" s="85">
        <f>2.79*0.055</f>
        <v>0.15345</v>
      </c>
      <c r="I352" s="85">
        <f>0.81*0.055</f>
        <v>4.4550000000000006E-2</v>
      </c>
      <c r="J352" s="85">
        <f>4.41*0.055</f>
        <v>0.24255000000000002</v>
      </c>
      <c r="K352" s="85">
        <f>3.66*0.055</f>
        <v>0.20130000000000001</v>
      </c>
      <c r="L352" s="85">
        <f>8.72*0.055</f>
        <v>0.47960000000000003</v>
      </c>
      <c r="M352" s="85">
        <f>1.71*0.055</f>
        <v>9.4049999999999995E-2</v>
      </c>
      <c r="N352" s="85">
        <v>0.2959</v>
      </c>
      <c r="O352" s="85">
        <f>3.69*0.055</f>
        <v>0.20294999999999999</v>
      </c>
      <c r="P352" s="85">
        <f>8.48*0.055</f>
        <v>0.46640000000000004</v>
      </c>
      <c r="Q352" s="85">
        <f>15.09*0.055</f>
        <v>0.82994999999999997</v>
      </c>
      <c r="R352" s="85">
        <f>15.1*0.055</f>
        <v>0.83050000000000002</v>
      </c>
      <c r="S352" s="85">
        <f>3.26*0.055</f>
        <v>0.17929999999999999</v>
      </c>
      <c r="T352" s="85">
        <f>4.64*0.055</f>
        <v>0.25519999999999998</v>
      </c>
      <c r="U352" s="85">
        <f>5.91*0.055</f>
        <v>0.32505000000000001</v>
      </c>
      <c r="V352" s="85">
        <f>6.627*0.055</f>
        <v>0.364485</v>
      </c>
      <c r="W352" s="85">
        <f>3.936*0.055</f>
        <v>0.21648000000000001</v>
      </c>
      <c r="X352" s="85">
        <f>3.659*0.055</f>
        <v>0.20124499999999998</v>
      </c>
      <c r="Y352" s="85">
        <f>3.97*0.055</f>
        <v>0.21835000000000002</v>
      </c>
      <c r="Z352" s="85">
        <f>3.763*0.055</f>
        <v>0.20696499999999998</v>
      </c>
      <c r="AA352" s="85">
        <f>3.25*0.055</f>
        <v>0.17874999999999999</v>
      </c>
      <c r="AB352" s="85">
        <f>3.3*0.055</f>
        <v>0.18149999999999999</v>
      </c>
      <c r="AC352" s="85">
        <f>2.28*0.055</f>
        <v>0.12539999999999998</v>
      </c>
      <c r="AD352" s="85"/>
    </row>
    <row r="353" spans="1:30">
      <c r="A353" s="82" t="s">
        <v>583</v>
      </c>
      <c r="B353" s="87" t="s">
        <v>643</v>
      </c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>
        <v>0</v>
      </c>
      <c r="O353" s="85">
        <v>0</v>
      </c>
      <c r="P353" s="85">
        <v>0</v>
      </c>
      <c r="Q353" s="85">
        <v>0</v>
      </c>
      <c r="R353" s="85">
        <v>0</v>
      </c>
      <c r="S353" s="85">
        <v>0</v>
      </c>
      <c r="T353" s="85">
        <v>0</v>
      </c>
      <c r="U353" s="85">
        <v>0</v>
      </c>
      <c r="V353" s="85">
        <v>0</v>
      </c>
      <c r="W353" s="85">
        <v>0</v>
      </c>
      <c r="X353" s="85">
        <v>0</v>
      </c>
      <c r="Y353" s="85">
        <v>0</v>
      </c>
      <c r="Z353" s="85">
        <v>0</v>
      </c>
      <c r="AA353" s="85">
        <v>0</v>
      </c>
      <c r="AB353" s="85">
        <v>0</v>
      </c>
      <c r="AC353" s="85">
        <v>0</v>
      </c>
      <c r="AD353" s="85"/>
    </row>
    <row r="354" spans="1:30">
      <c r="A354" s="82" t="s">
        <v>584</v>
      </c>
      <c r="B354" s="83" t="s">
        <v>597</v>
      </c>
      <c r="C354" s="85">
        <v>0</v>
      </c>
      <c r="D354" s="85">
        <v>0</v>
      </c>
      <c r="E354" s="85">
        <v>0</v>
      </c>
      <c r="F354" s="85">
        <v>0</v>
      </c>
      <c r="G354" s="85">
        <v>0</v>
      </c>
      <c r="H354" s="85">
        <v>0</v>
      </c>
      <c r="I354" s="85">
        <v>0</v>
      </c>
      <c r="J354" s="85">
        <v>0</v>
      </c>
      <c r="K354" s="85">
        <v>0</v>
      </c>
      <c r="L354" s="85">
        <v>0</v>
      </c>
      <c r="M354" s="85">
        <v>0</v>
      </c>
      <c r="N354" s="85">
        <f>0.41*0.02</f>
        <v>8.199999999999999E-3</v>
      </c>
      <c r="O354" s="85">
        <f>0.45*0.02</f>
        <v>9.0000000000000011E-3</v>
      </c>
      <c r="P354" s="85">
        <v>0</v>
      </c>
      <c r="Q354" s="85">
        <f>0.1*0.02</f>
        <v>2E-3</v>
      </c>
      <c r="R354" s="85">
        <v>0</v>
      </c>
      <c r="S354" s="85">
        <v>0</v>
      </c>
      <c r="T354" s="85">
        <v>0</v>
      </c>
      <c r="U354" s="85">
        <f>0.045*0.02</f>
        <v>8.9999999999999998E-4</v>
      </c>
      <c r="V354" s="85">
        <f>0.05*0.02</f>
        <v>1E-3</v>
      </c>
      <c r="W354" s="85">
        <v>0</v>
      </c>
      <c r="X354" s="85">
        <f>0.45*0.02</f>
        <v>9.0000000000000011E-3</v>
      </c>
      <c r="Y354" s="85">
        <f>0.73*0.02</f>
        <v>1.46E-2</v>
      </c>
      <c r="Z354" s="85">
        <v>0</v>
      </c>
      <c r="AA354" s="85">
        <f>0.54*0.02</f>
        <v>1.0800000000000001E-2</v>
      </c>
      <c r="AB354" s="85">
        <f>0.95*0.02</f>
        <v>1.9E-2</v>
      </c>
      <c r="AC354" s="85">
        <v>0</v>
      </c>
      <c r="AD354" s="85"/>
    </row>
    <row r="355" spans="1:30">
      <c r="A355" s="82" t="s">
        <v>584</v>
      </c>
      <c r="B355" s="83" t="s">
        <v>600</v>
      </c>
      <c r="C355" s="85">
        <v>0</v>
      </c>
      <c r="D355" s="85">
        <v>0</v>
      </c>
      <c r="E355" s="85">
        <v>0</v>
      </c>
      <c r="F355" s="85">
        <v>0</v>
      </c>
      <c r="G355" s="85">
        <v>0</v>
      </c>
      <c r="H355" s="85">
        <v>0</v>
      </c>
      <c r="I355" s="85">
        <v>0</v>
      </c>
      <c r="J355" s="85">
        <v>0</v>
      </c>
      <c r="K355" s="85">
        <v>0</v>
      </c>
      <c r="L355" s="85">
        <v>0</v>
      </c>
      <c r="M355" s="85">
        <v>0</v>
      </c>
      <c r="N355" s="85">
        <v>0</v>
      </c>
      <c r="O355" s="85">
        <f>9.74*0.022</f>
        <v>0.21428</v>
      </c>
      <c r="P355" s="85">
        <f>4*0.022</f>
        <v>8.7999999999999995E-2</v>
      </c>
      <c r="Q355" s="85">
        <f>6.4*0.022</f>
        <v>0.14080000000000001</v>
      </c>
      <c r="R355" s="85">
        <f>4*0.022</f>
        <v>8.7999999999999995E-2</v>
      </c>
      <c r="S355" s="85">
        <f>2.6*0.022</f>
        <v>5.7200000000000001E-2</v>
      </c>
      <c r="T355" s="85">
        <v>0</v>
      </c>
      <c r="U355" s="85">
        <f>0.043*0.022</f>
        <v>9.459999999999999E-4</v>
      </c>
      <c r="V355" s="85">
        <f>0.43*0.022</f>
        <v>9.4599999999999997E-3</v>
      </c>
      <c r="W355" s="85">
        <f>0.49*0.022</f>
        <v>1.078E-2</v>
      </c>
      <c r="X355" s="85">
        <v>0</v>
      </c>
      <c r="Y355" s="85">
        <v>0</v>
      </c>
      <c r="Z355" s="85">
        <v>0</v>
      </c>
      <c r="AA355" s="85">
        <v>0</v>
      </c>
      <c r="AB355" s="85">
        <v>0</v>
      </c>
      <c r="AC355" s="85">
        <v>0</v>
      </c>
      <c r="AD355" s="85"/>
    </row>
    <row r="356" spans="1:30">
      <c r="A356" s="82" t="s">
        <v>584</v>
      </c>
      <c r="B356" s="83" t="s">
        <v>595</v>
      </c>
      <c r="C356" s="85">
        <v>0</v>
      </c>
      <c r="D356" s="85">
        <v>0</v>
      </c>
      <c r="E356" s="85">
        <v>0</v>
      </c>
      <c r="F356" s="85">
        <v>0</v>
      </c>
      <c r="G356" s="85">
        <v>0</v>
      </c>
      <c r="H356" s="85">
        <v>0</v>
      </c>
      <c r="I356" s="85">
        <f>19.6*0.11</f>
        <v>2.1560000000000001</v>
      </c>
      <c r="J356" s="85">
        <v>0</v>
      </c>
      <c r="K356" s="85">
        <v>0</v>
      </c>
      <c r="L356" s="85">
        <f>4.5*0.11</f>
        <v>0.495</v>
      </c>
      <c r="M356" s="85">
        <f>6.51*0.11</f>
        <v>0.71609999999999996</v>
      </c>
      <c r="N356" s="85">
        <v>0</v>
      </c>
      <c r="O356" s="85">
        <f>11.2*0.11</f>
        <v>1.232</v>
      </c>
      <c r="P356" s="85">
        <f>10.25*0.11</f>
        <v>1.1274999999999999</v>
      </c>
      <c r="Q356" s="85">
        <f>10.68*0.11</f>
        <v>1.1748000000000001</v>
      </c>
      <c r="R356" s="85">
        <f>9*0.11</f>
        <v>0.99</v>
      </c>
      <c r="S356" s="85">
        <f>23*0.11</f>
        <v>2.5299999999999998</v>
      </c>
      <c r="T356" s="85">
        <f>13.4*0.11</f>
        <v>1.474</v>
      </c>
      <c r="U356" s="85">
        <f>21.82*0.11</f>
        <v>2.4001999999999999</v>
      </c>
      <c r="V356" s="85">
        <f>10.76*0.11</f>
        <v>1.1836</v>
      </c>
      <c r="W356" s="85">
        <f>9.89*0.11</f>
        <v>1.0879000000000001</v>
      </c>
      <c r="X356" s="85">
        <f>17.29*0.11</f>
        <v>1.9018999999999999</v>
      </c>
      <c r="Y356" s="85">
        <f>5.53*0.11</f>
        <v>0.60830000000000006</v>
      </c>
      <c r="Z356" s="85">
        <f>5.22*0.11</f>
        <v>0.57419999999999993</v>
      </c>
      <c r="AA356" s="85">
        <f>4.19*0.11</f>
        <v>0.46090000000000003</v>
      </c>
      <c r="AB356" s="85">
        <f>1.88*0.11</f>
        <v>0.20679999999999998</v>
      </c>
      <c r="AC356" s="85">
        <f>1.77*0.11</f>
        <v>0.19470000000000001</v>
      </c>
      <c r="AD356" s="85"/>
    </row>
    <row r="357" spans="1:30">
      <c r="A357" s="82" t="s">
        <v>584</v>
      </c>
      <c r="B357" s="83" t="s">
        <v>700</v>
      </c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>
        <f>4*0.11</f>
        <v>0.44</v>
      </c>
      <c r="S357" s="85">
        <f>10*0.11</f>
        <v>1.1000000000000001</v>
      </c>
      <c r="T357" s="85">
        <f>29*0.11</f>
        <v>3.19</v>
      </c>
      <c r="U357" s="85">
        <v>0</v>
      </c>
      <c r="V357" s="85">
        <f>17.6*0.11</f>
        <v>1.9360000000000002</v>
      </c>
      <c r="W357" s="85">
        <f>13.81*0.11</f>
        <v>1.5191000000000001</v>
      </c>
      <c r="X357" s="85">
        <f>7.74*0.11</f>
        <v>0.85140000000000005</v>
      </c>
      <c r="Y357" s="85">
        <f>0.27*0.11</f>
        <v>2.9700000000000001E-2</v>
      </c>
      <c r="Z357" s="85">
        <v>0</v>
      </c>
      <c r="AA357" s="85">
        <v>0</v>
      </c>
      <c r="AB357" s="85">
        <v>0</v>
      </c>
      <c r="AC357" s="85">
        <v>0</v>
      </c>
      <c r="AD357" s="85"/>
    </row>
    <row r="358" spans="1:30">
      <c r="A358" s="82" t="s">
        <v>584</v>
      </c>
      <c r="B358" s="83" t="s">
        <v>596</v>
      </c>
      <c r="C358" s="85">
        <v>0</v>
      </c>
      <c r="D358" s="85">
        <v>0</v>
      </c>
      <c r="E358" s="85">
        <v>0</v>
      </c>
      <c r="F358" s="85">
        <v>0</v>
      </c>
      <c r="G358" s="85">
        <v>0</v>
      </c>
      <c r="H358" s="85">
        <v>0</v>
      </c>
      <c r="I358" s="85">
        <v>0</v>
      </c>
      <c r="J358" s="85">
        <v>0</v>
      </c>
      <c r="K358" s="85">
        <v>0</v>
      </c>
      <c r="L358" s="85">
        <v>0</v>
      </c>
      <c r="M358" s="85">
        <v>0</v>
      </c>
      <c r="N358" s="85">
        <f>1.13*0.065</f>
        <v>7.3450000000000001E-2</v>
      </c>
      <c r="O358" s="85">
        <v>0</v>
      </c>
      <c r="P358" s="85">
        <f>0.75*0.065</f>
        <v>4.8750000000000002E-2</v>
      </c>
      <c r="Q358" s="85">
        <f>2.5*0.065</f>
        <v>0.16250000000000001</v>
      </c>
      <c r="R358" s="85">
        <f>1*0.065</f>
        <v>6.5000000000000002E-2</v>
      </c>
      <c r="S358" s="85">
        <f>1*0.065</f>
        <v>6.5000000000000002E-2</v>
      </c>
      <c r="T358" s="85">
        <f>1*0.065</f>
        <v>6.5000000000000002E-2</v>
      </c>
      <c r="U358" s="85">
        <v>0</v>
      </c>
      <c r="V358" s="85">
        <v>0</v>
      </c>
      <c r="W358" s="85">
        <v>0</v>
      </c>
      <c r="X358" s="85">
        <v>0</v>
      </c>
      <c r="Y358" s="85">
        <v>0</v>
      </c>
      <c r="Z358" s="85">
        <v>0</v>
      </c>
      <c r="AA358" s="85">
        <v>0</v>
      </c>
      <c r="AB358" s="85">
        <v>0</v>
      </c>
      <c r="AC358" s="85">
        <v>0</v>
      </c>
      <c r="AD358" s="85"/>
    </row>
    <row r="359" spans="1:30">
      <c r="A359" s="82" t="s">
        <v>584</v>
      </c>
      <c r="B359" s="83" t="s">
        <v>594</v>
      </c>
      <c r="C359" s="85">
        <f>28*0.055</f>
        <v>1.54</v>
      </c>
      <c r="D359" s="85">
        <f>20*0.055</f>
        <v>1.1000000000000001</v>
      </c>
      <c r="E359" s="85">
        <f>19.8*0.055</f>
        <v>1.089</v>
      </c>
      <c r="F359" s="85">
        <f>38.88*0.055</f>
        <v>2.1384000000000003</v>
      </c>
      <c r="G359" s="85">
        <f>40.9*0.055</f>
        <v>2.2494999999999998</v>
      </c>
      <c r="H359" s="85">
        <f>21.4*0.055</f>
        <v>1.1769999999999998</v>
      </c>
      <c r="I359" s="85">
        <f>30.2*0.055</f>
        <v>1.661</v>
      </c>
      <c r="J359" s="85">
        <f>60.3*0.055</f>
        <v>3.3165</v>
      </c>
      <c r="K359" s="85">
        <f>40*0.055</f>
        <v>2.2000000000000002</v>
      </c>
      <c r="L359" s="85">
        <f>109.1*0.055</f>
        <v>6.0004999999999997</v>
      </c>
      <c r="M359" s="85">
        <f>94.98*0.055</f>
        <v>5.2239000000000004</v>
      </c>
      <c r="N359" s="85">
        <f>156.47*0.055</f>
        <v>8.6058500000000002</v>
      </c>
      <c r="O359" s="85">
        <f>84.08*0.055</f>
        <v>4.6243999999999996</v>
      </c>
      <c r="P359" s="85">
        <f>156.89*0.055</f>
        <v>8.6289499999999997</v>
      </c>
      <c r="Q359" s="85">
        <f>143.8*0.055</f>
        <v>7.9090000000000007</v>
      </c>
      <c r="R359" s="85">
        <f>110*0.055</f>
        <v>6.05</v>
      </c>
      <c r="S359" s="85">
        <f>130*0.055</f>
        <v>7.15</v>
      </c>
      <c r="T359" s="85">
        <f>131*0.055</f>
        <v>7.2050000000000001</v>
      </c>
      <c r="U359" s="85">
        <f>136.97*0.055</f>
        <v>7.5333499999999995</v>
      </c>
      <c r="V359" s="85">
        <f>(66.07-1.42)*0.055</f>
        <v>3.5557499999999997</v>
      </c>
      <c r="W359" s="85">
        <f>61.8*0.055</f>
        <v>3.399</v>
      </c>
      <c r="X359" s="85">
        <f>66.97*0.055</f>
        <v>3.6833499999999999</v>
      </c>
      <c r="Y359" s="85">
        <f>49.66*0.055</f>
        <v>2.7312999999999996</v>
      </c>
      <c r="Z359" s="85">
        <f>67.97*0.055</f>
        <v>3.7383500000000001</v>
      </c>
      <c r="AA359" s="85">
        <f>61.62*0.055</f>
        <v>3.3891</v>
      </c>
      <c r="AB359" s="85">
        <f>68.58*0.055</f>
        <v>3.7719</v>
      </c>
      <c r="AC359" s="85">
        <f>48.66*0.055</f>
        <v>2.6762999999999999</v>
      </c>
      <c r="AD359" s="85"/>
    </row>
    <row r="360" spans="1:30">
      <c r="A360" s="82" t="s">
        <v>584</v>
      </c>
      <c r="B360" s="87" t="s">
        <v>643</v>
      </c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>
        <v>0</v>
      </c>
      <c r="O360" s="85"/>
      <c r="P360" s="85">
        <v>0</v>
      </c>
      <c r="Q360" s="85">
        <v>0</v>
      </c>
      <c r="R360" s="85">
        <v>0</v>
      </c>
      <c r="S360" s="85">
        <v>0</v>
      </c>
      <c r="T360" s="85">
        <v>0</v>
      </c>
      <c r="U360" s="85">
        <v>0</v>
      </c>
      <c r="V360" s="85">
        <v>0</v>
      </c>
      <c r="W360" s="85">
        <v>0</v>
      </c>
      <c r="X360" s="85">
        <v>0</v>
      </c>
      <c r="Y360" s="85">
        <v>0</v>
      </c>
      <c r="Z360" s="85">
        <v>0</v>
      </c>
      <c r="AA360" s="85">
        <v>0</v>
      </c>
      <c r="AB360" s="85">
        <v>0</v>
      </c>
      <c r="AC360" s="85">
        <v>0</v>
      </c>
      <c r="AD360" s="85"/>
    </row>
    <row r="361" spans="1:30">
      <c r="A361" s="82" t="s">
        <v>584</v>
      </c>
      <c r="B361" s="87" t="s">
        <v>406</v>
      </c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>
        <f>0.18*0.033</f>
        <v>5.94E-3</v>
      </c>
      <c r="S361" s="85">
        <v>0</v>
      </c>
      <c r="T361" s="85">
        <v>0</v>
      </c>
      <c r="U361" s="85">
        <v>0</v>
      </c>
      <c r="V361" s="85">
        <v>0</v>
      </c>
      <c r="W361" s="85">
        <v>0</v>
      </c>
      <c r="X361" s="85">
        <v>0</v>
      </c>
      <c r="Y361" s="85">
        <v>0</v>
      </c>
      <c r="Z361" s="85">
        <v>0</v>
      </c>
      <c r="AA361" s="85">
        <v>0</v>
      </c>
      <c r="AB361" s="85">
        <v>0</v>
      </c>
      <c r="AC361" s="85">
        <v>0</v>
      </c>
      <c r="AD361" s="85"/>
    </row>
    <row r="362" spans="1:30">
      <c r="A362" s="82" t="s">
        <v>585</v>
      </c>
      <c r="B362" s="83" t="s">
        <v>597</v>
      </c>
      <c r="C362" s="85">
        <v>0</v>
      </c>
      <c r="D362" s="85">
        <v>0</v>
      </c>
      <c r="E362" s="85">
        <v>0</v>
      </c>
      <c r="F362" s="85">
        <v>0</v>
      </c>
      <c r="G362" s="85">
        <v>0</v>
      </c>
      <c r="H362" s="85">
        <v>0</v>
      </c>
      <c r="I362" s="85">
        <v>0</v>
      </c>
      <c r="J362" s="85">
        <v>0</v>
      </c>
      <c r="K362" s="85">
        <v>0</v>
      </c>
      <c r="L362" s="85">
        <v>0</v>
      </c>
      <c r="M362" s="85">
        <v>0</v>
      </c>
      <c r="N362" s="85">
        <v>0</v>
      </c>
      <c r="O362" s="85">
        <v>0</v>
      </c>
      <c r="P362" s="85">
        <v>0</v>
      </c>
      <c r="Q362" s="85">
        <v>0</v>
      </c>
      <c r="R362" s="85">
        <v>0</v>
      </c>
      <c r="S362" s="85">
        <v>0</v>
      </c>
      <c r="T362" s="85">
        <v>0</v>
      </c>
      <c r="U362" s="85">
        <v>0</v>
      </c>
      <c r="V362" s="85">
        <v>0</v>
      </c>
      <c r="W362" s="85">
        <v>0</v>
      </c>
      <c r="X362" s="85">
        <v>0</v>
      </c>
      <c r="Y362" s="85">
        <v>0</v>
      </c>
      <c r="Z362" s="85">
        <v>0</v>
      </c>
      <c r="AA362" s="85">
        <v>0</v>
      </c>
      <c r="AB362" s="85">
        <v>0</v>
      </c>
      <c r="AC362" s="85">
        <v>0</v>
      </c>
      <c r="AD362" s="85"/>
    </row>
    <row r="363" spans="1:30">
      <c r="A363" s="82" t="s">
        <v>585</v>
      </c>
      <c r="B363" s="83" t="s">
        <v>600</v>
      </c>
      <c r="C363" s="85">
        <v>0</v>
      </c>
      <c r="D363" s="85">
        <v>0</v>
      </c>
      <c r="E363" s="85">
        <v>0</v>
      </c>
      <c r="F363" s="85">
        <v>0</v>
      </c>
      <c r="G363" s="85">
        <v>0</v>
      </c>
      <c r="H363" s="85">
        <v>0</v>
      </c>
      <c r="I363" s="85">
        <v>0</v>
      </c>
      <c r="J363" s="85">
        <v>0</v>
      </c>
      <c r="K363" s="85">
        <v>0</v>
      </c>
      <c r="L363" s="85">
        <v>0</v>
      </c>
      <c r="M363" s="85">
        <v>0</v>
      </c>
      <c r="N363" s="85">
        <v>0</v>
      </c>
      <c r="O363" s="85">
        <v>0</v>
      </c>
      <c r="P363" s="85">
        <v>0</v>
      </c>
      <c r="Q363" s="85">
        <v>0</v>
      </c>
      <c r="R363" s="85">
        <v>0</v>
      </c>
      <c r="S363" s="85">
        <v>0</v>
      </c>
      <c r="T363" s="85">
        <v>0</v>
      </c>
      <c r="U363" s="85">
        <v>0</v>
      </c>
      <c r="V363" s="85">
        <v>0</v>
      </c>
      <c r="W363" s="85">
        <v>0</v>
      </c>
      <c r="X363" s="85">
        <v>0</v>
      </c>
      <c r="Y363" s="85">
        <v>0</v>
      </c>
      <c r="Z363" s="85">
        <v>0</v>
      </c>
      <c r="AA363" s="85">
        <v>0</v>
      </c>
      <c r="AB363" s="85">
        <v>0</v>
      </c>
      <c r="AC363" s="85">
        <v>0</v>
      </c>
      <c r="AD363" s="85"/>
    </row>
    <row r="364" spans="1:30">
      <c r="A364" s="82" t="s">
        <v>585</v>
      </c>
      <c r="B364" s="83" t="s">
        <v>595</v>
      </c>
      <c r="C364" s="85">
        <v>0</v>
      </c>
      <c r="D364" s="85">
        <v>0</v>
      </c>
      <c r="E364" s="85">
        <v>0</v>
      </c>
      <c r="F364" s="85">
        <v>0</v>
      </c>
      <c r="G364" s="85">
        <v>0</v>
      </c>
      <c r="H364" s="85">
        <v>0</v>
      </c>
      <c r="I364" s="85">
        <v>0</v>
      </c>
      <c r="J364" s="85">
        <v>0</v>
      </c>
      <c r="K364" s="85">
        <v>0</v>
      </c>
      <c r="L364" s="85">
        <v>0</v>
      </c>
      <c r="M364" s="85">
        <v>0</v>
      </c>
      <c r="N364" s="85">
        <v>0</v>
      </c>
      <c r="O364" s="85">
        <v>0</v>
      </c>
      <c r="P364" s="85">
        <v>0</v>
      </c>
      <c r="Q364" s="85">
        <v>0</v>
      </c>
      <c r="R364" s="85">
        <v>0</v>
      </c>
      <c r="S364" s="85">
        <v>0</v>
      </c>
      <c r="T364" s="85">
        <v>0</v>
      </c>
      <c r="U364" s="85">
        <v>0</v>
      </c>
      <c r="V364" s="85">
        <v>0</v>
      </c>
      <c r="W364" s="85">
        <v>0</v>
      </c>
      <c r="X364" s="85">
        <v>0</v>
      </c>
      <c r="Y364" s="85">
        <v>0</v>
      </c>
      <c r="Z364" s="85">
        <v>0</v>
      </c>
      <c r="AA364" s="85">
        <v>0</v>
      </c>
      <c r="AB364" s="85">
        <v>0</v>
      </c>
      <c r="AC364" s="85">
        <v>0</v>
      </c>
      <c r="AD364" s="85"/>
    </row>
    <row r="365" spans="1:30">
      <c r="A365" s="82" t="s">
        <v>585</v>
      </c>
      <c r="B365" s="83" t="s">
        <v>596</v>
      </c>
      <c r="C365" s="85">
        <v>0</v>
      </c>
      <c r="D365" s="85">
        <v>0</v>
      </c>
      <c r="E365" s="85">
        <v>0</v>
      </c>
      <c r="F365" s="85">
        <v>0</v>
      </c>
      <c r="G365" s="85">
        <v>0</v>
      </c>
      <c r="H365" s="85">
        <v>0</v>
      </c>
      <c r="I365" s="85">
        <v>0</v>
      </c>
      <c r="J365" s="85">
        <v>0</v>
      </c>
      <c r="K365" s="85">
        <v>0</v>
      </c>
      <c r="L365" s="85">
        <v>0</v>
      </c>
      <c r="M365" s="85">
        <v>0</v>
      </c>
      <c r="N365" s="85">
        <v>0</v>
      </c>
      <c r="O365" s="85">
        <v>0</v>
      </c>
      <c r="P365" s="85">
        <v>0</v>
      </c>
      <c r="Q365" s="85">
        <v>0</v>
      </c>
      <c r="R365" s="85">
        <v>0</v>
      </c>
      <c r="S365" s="85">
        <v>0</v>
      </c>
      <c r="T365" s="85">
        <v>0</v>
      </c>
      <c r="U365" s="85">
        <v>0</v>
      </c>
      <c r="V365" s="85">
        <v>0</v>
      </c>
      <c r="W365" s="85">
        <v>0</v>
      </c>
      <c r="X365" s="85">
        <v>0</v>
      </c>
      <c r="Y365" s="85">
        <v>0</v>
      </c>
      <c r="Z365" s="85">
        <v>0</v>
      </c>
      <c r="AA365" s="85">
        <v>0</v>
      </c>
      <c r="AB365" s="85">
        <v>0</v>
      </c>
      <c r="AC365" s="85">
        <v>0</v>
      </c>
      <c r="AD365" s="85"/>
    </row>
    <row r="366" spans="1:30">
      <c r="A366" s="82" t="s">
        <v>585</v>
      </c>
      <c r="B366" s="83" t="s">
        <v>594</v>
      </c>
      <c r="C366" s="85">
        <v>0</v>
      </c>
      <c r="D366" s="85">
        <v>0</v>
      </c>
      <c r="E366" s="85">
        <v>0</v>
      </c>
      <c r="F366" s="85">
        <v>0</v>
      </c>
      <c r="G366" s="85">
        <v>0</v>
      </c>
      <c r="H366" s="85">
        <v>0</v>
      </c>
      <c r="I366" s="85">
        <v>0</v>
      </c>
      <c r="J366" s="85">
        <v>0</v>
      </c>
      <c r="K366" s="85">
        <v>0</v>
      </c>
      <c r="L366" s="85">
        <v>0</v>
      </c>
      <c r="M366" s="85">
        <v>0</v>
      </c>
      <c r="N366" s="85">
        <v>0</v>
      </c>
      <c r="O366" s="85">
        <v>0</v>
      </c>
      <c r="P366" s="85">
        <f>20.67*0.055</f>
        <v>1.1368500000000001</v>
      </c>
      <c r="Q366" s="85">
        <f>395.88*0.055</f>
        <v>21.773399999999999</v>
      </c>
      <c r="R366" s="85">
        <f>426.3*0.055</f>
        <v>23.4465</v>
      </c>
      <c r="S366" s="85">
        <f>445.95*0.055</f>
        <v>24.527249999999999</v>
      </c>
      <c r="T366" s="85">
        <f>403.56*0.055</f>
        <v>22.195800000000002</v>
      </c>
      <c r="U366" s="85">
        <f>128.8*0.055</f>
        <v>7.0840000000000005</v>
      </c>
      <c r="V366" s="85">
        <f>125.3*0.055</f>
        <v>6.8914999999999997</v>
      </c>
      <c r="W366" s="85">
        <f>102.65*0.055</f>
        <v>5.6457500000000005</v>
      </c>
      <c r="X366" s="85">
        <f>85.45*0.055</f>
        <v>4.6997499999999999</v>
      </c>
      <c r="Y366" s="85">
        <f>46.12*0.055</f>
        <v>2.5366</v>
      </c>
      <c r="Z366" s="85">
        <f>40*0.055</f>
        <v>2.2000000000000002</v>
      </c>
      <c r="AA366" s="85">
        <f>35*0.055</f>
        <v>1.925</v>
      </c>
      <c r="AB366" s="85">
        <f>30*0.055</f>
        <v>1.65</v>
      </c>
      <c r="AC366" s="85">
        <f>25*0.055</f>
        <v>1.375</v>
      </c>
      <c r="AD366" s="85"/>
    </row>
    <row r="367" spans="1:30">
      <c r="A367" s="82" t="s">
        <v>585</v>
      </c>
      <c r="B367" s="87" t="s">
        <v>643</v>
      </c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>
        <v>0</v>
      </c>
      <c r="O367" s="85">
        <v>0</v>
      </c>
      <c r="P367" s="85">
        <v>0</v>
      </c>
      <c r="Q367" s="85">
        <v>0</v>
      </c>
      <c r="R367" s="85">
        <v>0</v>
      </c>
      <c r="S367" s="85">
        <v>0</v>
      </c>
      <c r="T367" s="85">
        <v>0</v>
      </c>
      <c r="U367" s="85">
        <v>0</v>
      </c>
      <c r="V367" s="85">
        <v>0</v>
      </c>
      <c r="W367" s="85">
        <v>0</v>
      </c>
      <c r="X367" s="85">
        <v>0</v>
      </c>
      <c r="Y367" s="85">
        <v>0</v>
      </c>
      <c r="Z367" s="85">
        <v>0</v>
      </c>
      <c r="AA367" s="85">
        <v>0</v>
      </c>
      <c r="AB367" s="85">
        <v>0</v>
      </c>
      <c r="AC367" s="85">
        <v>0</v>
      </c>
      <c r="AD367" s="85"/>
    </row>
    <row r="368" spans="1:30">
      <c r="A368" s="82" t="s">
        <v>771</v>
      </c>
      <c r="B368" s="83" t="s">
        <v>597</v>
      </c>
      <c r="C368" s="85">
        <v>0</v>
      </c>
      <c r="D368" s="85">
        <v>0</v>
      </c>
      <c r="E368" s="85">
        <v>0</v>
      </c>
      <c r="F368" s="85">
        <v>0</v>
      </c>
      <c r="G368" s="85">
        <v>0</v>
      </c>
      <c r="H368" s="85">
        <v>0</v>
      </c>
      <c r="I368" s="85">
        <v>0</v>
      </c>
      <c r="J368" s="85">
        <v>0</v>
      </c>
      <c r="K368" s="85">
        <v>0</v>
      </c>
      <c r="L368" s="85">
        <v>0</v>
      </c>
      <c r="M368" s="85">
        <v>0</v>
      </c>
      <c r="N368" s="85"/>
      <c r="O368" s="85">
        <v>0</v>
      </c>
      <c r="P368" s="85">
        <v>0</v>
      </c>
      <c r="Q368" s="85">
        <v>0</v>
      </c>
      <c r="R368" s="85">
        <v>0</v>
      </c>
      <c r="S368" s="85">
        <v>0</v>
      </c>
      <c r="T368" s="85">
        <v>0</v>
      </c>
      <c r="U368" s="85">
        <v>0</v>
      </c>
      <c r="V368" s="85">
        <v>0</v>
      </c>
      <c r="W368" s="85">
        <v>0</v>
      </c>
      <c r="X368" s="85">
        <v>0</v>
      </c>
      <c r="Y368" s="85">
        <v>0</v>
      </c>
      <c r="Z368" s="85">
        <v>0</v>
      </c>
      <c r="AA368" s="85">
        <v>0</v>
      </c>
      <c r="AB368" s="85">
        <v>0</v>
      </c>
      <c r="AC368" s="85">
        <v>0</v>
      </c>
      <c r="AD368" s="85"/>
    </row>
    <row r="369" spans="1:30">
      <c r="A369" s="82" t="s">
        <v>771</v>
      </c>
      <c r="B369" s="83" t="s">
        <v>600</v>
      </c>
      <c r="C369" s="85">
        <v>0</v>
      </c>
      <c r="D369" s="85">
        <v>0</v>
      </c>
      <c r="E369" s="85">
        <v>0</v>
      </c>
      <c r="F369" s="85">
        <v>0</v>
      </c>
      <c r="G369" s="85">
        <v>0</v>
      </c>
      <c r="H369" s="85">
        <v>0</v>
      </c>
      <c r="I369" s="85">
        <v>0</v>
      </c>
      <c r="J369" s="85">
        <v>0</v>
      </c>
      <c r="K369" s="85">
        <v>0</v>
      </c>
      <c r="L369" s="85">
        <v>0</v>
      </c>
      <c r="M369" s="85">
        <v>0</v>
      </c>
      <c r="N369" s="85"/>
      <c r="O369" s="85">
        <v>0</v>
      </c>
      <c r="P369" s="85">
        <v>0</v>
      </c>
      <c r="Q369" s="85">
        <v>0</v>
      </c>
      <c r="R369" s="85">
        <v>0</v>
      </c>
      <c r="S369" s="85">
        <v>0</v>
      </c>
      <c r="T369" s="85">
        <v>0</v>
      </c>
      <c r="U369" s="85">
        <v>0</v>
      </c>
      <c r="V369" s="85">
        <v>0</v>
      </c>
      <c r="W369" s="85">
        <v>0</v>
      </c>
      <c r="X369" s="85">
        <v>0</v>
      </c>
      <c r="Y369" s="85">
        <v>0</v>
      </c>
      <c r="Z369" s="85">
        <v>0</v>
      </c>
      <c r="AA369" s="85">
        <v>0</v>
      </c>
      <c r="AB369" s="85">
        <v>0</v>
      </c>
      <c r="AC369" s="85">
        <v>0</v>
      </c>
      <c r="AD369" s="85"/>
    </row>
    <row r="370" spans="1:30">
      <c r="A370" s="82" t="s">
        <v>771</v>
      </c>
      <c r="B370" s="83" t="s">
        <v>595</v>
      </c>
      <c r="C370" s="85">
        <v>0</v>
      </c>
      <c r="D370" s="85">
        <v>0</v>
      </c>
      <c r="E370" s="85">
        <v>0</v>
      </c>
      <c r="F370" s="85">
        <v>0</v>
      </c>
      <c r="G370" s="85">
        <v>0</v>
      </c>
      <c r="H370" s="85">
        <v>0</v>
      </c>
      <c r="I370" s="85">
        <v>0</v>
      </c>
      <c r="J370" s="85">
        <v>0</v>
      </c>
      <c r="K370" s="85">
        <v>0</v>
      </c>
      <c r="L370" s="85">
        <v>0</v>
      </c>
      <c r="M370" s="85">
        <v>0</v>
      </c>
      <c r="N370" s="85"/>
      <c r="O370" s="85">
        <v>0</v>
      </c>
      <c r="P370" s="85">
        <v>0</v>
      </c>
      <c r="Q370" s="85">
        <v>0</v>
      </c>
      <c r="R370" s="85">
        <v>0</v>
      </c>
      <c r="S370" s="85">
        <v>0</v>
      </c>
      <c r="T370" s="85">
        <v>0</v>
      </c>
      <c r="U370" s="85">
        <v>0</v>
      </c>
      <c r="V370" s="85">
        <v>0</v>
      </c>
      <c r="W370" s="85">
        <v>0</v>
      </c>
      <c r="X370" s="85">
        <v>0</v>
      </c>
      <c r="Y370" s="85">
        <v>0</v>
      </c>
      <c r="Z370" s="85">
        <v>0</v>
      </c>
      <c r="AA370" s="85">
        <v>0</v>
      </c>
      <c r="AB370" s="85">
        <v>0</v>
      </c>
      <c r="AC370" s="85">
        <v>0</v>
      </c>
      <c r="AD370" s="85"/>
    </row>
    <row r="371" spans="1:30">
      <c r="A371" s="82" t="s">
        <v>771</v>
      </c>
      <c r="B371" s="83" t="s">
        <v>596</v>
      </c>
      <c r="C371" s="85">
        <v>0</v>
      </c>
      <c r="D371" s="85">
        <v>0</v>
      </c>
      <c r="E371" s="85">
        <v>0</v>
      </c>
      <c r="F371" s="85">
        <v>0</v>
      </c>
      <c r="G371" s="85">
        <v>0</v>
      </c>
      <c r="H371" s="85">
        <v>0</v>
      </c>
      <c r="I371" s="85">
        <v>0</v>
      </c>
      <c r="J371" s="85">
        <v>0</v>
      </c>
      <c r="K371" s="85">
        <v>0</v>
      </c>
      <c r="L371" s="85">
        <v>0</v>
      </c>
      <c r="M371" s="85">
        <v>0</v>
      </c>
      <c r="N371" s="85"/>
      <c r="O371" s="85">
        <v>0</v>
      </c>
      <c r="P371" s="85">
        <v>0</v>
      </c>
      <c r="Q371" s="85">
        <v>0</v>
      </c>
      <c r="R371" s="85">
        <v>0</v>
      </c>
      <c r="S371" s="85">
        <v>0</v>
      </c>
      <c r="T371" s="85">
        <v>0</v>
      </c>
      <c r="U371" s="85">
        <v>0</v>
      </c>
      <c r="V371" s="85">
        <v>0</v>
      </c>
      <c r="W371" s="85">
        <v>0</v>
      </c>
      <c r="X371" s="85">
        <v>0</v>
      </c>
      <c r="Y371" s="85">
        <v>0</v>
      </c>
      <c r="Z371" s="85">
        <v>0</v>
      </c>
      <c r="AA371" s="85">
        <v>0</v>
      </c>
      <c r="AB371" s="85">
        <v>0</v>
      </c>
      <c r="AC371" s="85">
        <v>0</v>
      </c>
      <c r="AD371" s="85"/>
    </row>
    <row r="372" spans="1:30">
      <c r="A372" s="82" t="s">
        <v>771</v>
      </c>
      <c r="B372" s="83" t="s">
        <v>594</v>
      </c>
      <c r="C372" s="85">
        <v>0</v>
      </c>
      <c r="D372" s="85">
        <v>0</v>
      </c>
      <c r="E372" s="85">
        <v>0</v>
      </c>
      <c r="F372" s="85">
        <v>0</v>
      </c>
      <c r="G372" s="85">
        <v>0</v>
      </c>
      <c r="H372" s="85">
        <v>0</v>
      </c>
      <c r="I372" s="85">
        <v>0</v>
      </c>
      <c r="J372" s="85">
        <v>0</v>
      </c>
      <c r="K372" s="85">
        <v>0</v>
      </c>
      <c r="L372" s="85">
        <v>0</v>
      </c>
      <c r="M372" s="85">
        <f>25*0.055</f>
        <v>1.375</v>
      </c>
      <c r="N372" s="85"/>
      <c r="O372" s="85">
        <f>3*0.055</f>
        <v>0.16500000000000001</v>
      </c>
      <c r="P372" s="85">
        <f>15*0.055</f>
        <v>0.82499999999999996</v>
      </c>
      <c r="Q372" s="85">
        <f>49.53*0.055</f>
        <v>2.7241500000000003</v>
      </c>
      <c r="R372" s="85">
        <f>52*0.055</f>
        <v>2.86</v>
      </c>
      <c r="S372" s="85">
        <f>52*0.055</f>
        <v>2.86</v>
      </c>
      <c r="T372" s="85">
        <f>49*0.055</f>
        <v>2.6949999999999998</v>
      </c>
      <c r="U372" s="85">
        <f>42*0.055</f>
        <v>2.31</v>
      </c>
      <c r="V372" s="85">
        <f>51*0.055</f>
        <v>2.8050000000000002</v>
      </c>
      <c r="W372" s="85">
        <f>45*0.055</f>
        <v>2.4750000000000001</v>
      </c>
      <c r="X372" s="85">
        <f>42*0.055</f>
        <v>2.31</v>
      </c>
      <c r="Y372" s="85">
        <f>36*0.055</f>
        <v>1.98</v>
      </c>
      <c r="Z372" s="85">
        <f>28*0.055</f>
        <v>1.54</v>
      </c>
      <c r="AA372" s="85">
        <f>23*0.055</f>
        <v>1.2649999999999999</v>
      </c>
      <c r="AB372" s="85">
        <f>20*0.055</f>
        <v>1.1000000000000001</v>
      </c>
      <c r="AC372" s="85">
        <f>15*0.055</f>
        <v>0.82499999999999996</v>
      </c>
      <c r="AD372" s="85"/>
    </row>
    <row r="373" spans="1:30">
      <c r="A373" s="82" t="s">
        <v>771</v>
      </c>
      <c r="B373" s="87" t="s">
        <v>643</v>
      </c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>
        <v>0</v>
      </c>
      <c r="P373" s="85">
        <v>0</v>
      </c>
      <c r="Q373" s="85">
        <v>0</v>
      </c>
      <c r="R373" s="85">
        <v>0</v>
      </c>
      <c r="S373" s="85">
        <v>0</v>
      </c>
      <c r="T373" s="85">
        <v>0</v>
      </c>
      <c r="U373" s="85">
        <v>0</v>
      </c>
      <c r="V373" s="85">
        <v>0</v>
      </c>
      <c r="W373" s="85">
        <v>0</v>
      </c>
      <c r="X373" s="85">
        <v>0</v>
      </c>
      <c r="Y373" s="85">
        <v>0</v>
      </c>
      <c r="Z373" s="85">
        <v>0</v>
      </c>
      <c r="AA373" s="85">
        <v>0</v>
      </c>
      <c r="AB373" s="85">
        <v>0</v>
      </c>
      <c r="AC373" s="85">
        <v>0</v>
      </c>
      <c r="AD373" s="85"/>
    </row>
    <row r="374" spans="1:30">
      <c r="A374" s="82" t="s">
        <v>586</v>
      </c>
      <c r="B374" s="83" t="s">
        <v>597</v>
      </c>
      <c r="C374" s="85">
        <v>0</v>
      </c>
      <c r="D374" s="85">
        <v>0</v>
      </c>
      <c r="E374" s="85">
        <v>0</v>
      </c>
      <c r="F374" s="85">
        <v>0</v>
      </c>
      <c r="G374" s="85">
        <v>0</v>
      </c>
      <c r="H374" s="85">
        <v>0</v>
      </c>
      <c r="I374" s="85">
        <v>0</v>
      </c>
      <c r="J374" s="85">
        <v>0</v>
      </c>
      <c r="K374" s="85">
        <v>0</v>
      </c>
      <c r="L374" s="85">
        <v>0</v>
      </c>
      <c r="M374" s="85">
        <v>0</v>
      </c>
      <c r="N374" s="85">
        <v>0</v>
      </c>
      <c r="O374" s="85">
        <v>0</v>
      </c>
      <c r="P374" s="85">
        <v>0</v>
      </c>
      <c r="Q374" s="85">
        <v>0</v>
      </c>
      <c r="R374" s="85">
        <v>0</v>
      </c>
      <c r="S374" s="85">
        <v>0</v>
      </c>
      <c r="T374" s="85">
        <v>0</v>
      </c>
      <c r="U374" s="85">
        <v>0</v>
      </c>
      <c r="V374" s="85">
        <v>0</v>
      </c>
      <c r="W374" s="85">
        <v>0</v>
      </c>
      <c r="X374" s="85">
        <v>0</v>
      </c>
      <c r="Y374" s="85">
        <v>0</v>
      </c>
      <c r="Z374" s="85">
        <v>0</v>
      </c>
      <c r="AA374" s="85">
        <v>0</v>
      </c>
      <c r="AB374" s="85">
        <v>0</v>
      </c>
      <c r="AC374" s="85">
        <v>0</v>
      </c>
      <c r="AD374" s="85"/>
    </row>
    <row r="375" spans="1:30">
      <c r="A375" s="82" t="s">
        <v>586</v>
      </c>
      <c r="B375" s="83" t="s">
        <v>600</v>
      </c>
      <c r="C375" s="85">
        <v>0</v>
      </c>
      <c r="D375" s="85">
        <v>0</v>
      </c>
      <c r="E375" s="85">
        <v>0</v>
      </c>
      <c r="F375" s="85">
        <v>0</v>
      </c>
      <c r="G375" s="85">
        <v>0</v>
      </c>
      <c r="H375" s="85">
        <v>0</v>
      </c>
      <c r="I375" s="85">
        <v>0</v>
      </c>
      <c r="J375" s="85">
        <v>0</v>
      </c>
      <c r="K375" s="85">
        <v>0</v>
      </c>
      <c r="L375" s="85">
        <v>0</v>
      </c>
      <c r="M375" s="85">
        <v>0</v>
      </c>
      <c r="N375" s="85">
        <v>0</v>
      </c>
      <c r="O375" s="85">
        <v>0</v>
      </c>
      <c r="P375" s="85">
        <v>0</v>
      </c>
      <c r="Q375" s="85">
        <v>0</v>
      </c>
      <c r="R375" s="85">
        <v>0</v>
      </c>
      <c r="S375" s="85">
        <v>0</v>
      </c>
      <c r="T375" s="85">
        <v>0</v>
      </c>
      <c r="U375" s="85">
        <v>0</v>
      </c>
      <c r="V375" s="85">
        <v>0</v>
      </c>
      <c r="W375" s="85">
        <v>0</v>
      </c>
      <c r="X375" s="85">
        <v>0</v>
      </c>
      <c r="Y375" s="85">
        <v>0</v>
      </c>
      <c r="Z375" s="85">
        <v>0</v>
      </c>
      <c r="AA375" s="85">
        <v>0</v>
      </c>
      <c r="AB375" s="85">
        <v>0</v>
      </c>
      <c r="AC375" s="85">
        <v>0</v>
      </c>
      <c r="AD375" s="85"/>
    </row>
    <row r="376" spans="1:30">
      <c r="A376" s="82" t="s">
        <v>586</v>
      </c>
      <c r="B376" s="83" t="s">
        <v>595</v>
      </c>
      <c r="C376" s="85">
        <v>0</v>
      </c>
      <c r="D376" s="85">
        <v>0</v>
      </c>
      <c r="E376" s="85">
        <v>0</v>
      </c>
      <c r="F376" s="85">
        <v>0</v>
      </c>
      <c r="G376" s="85">
        <v>0</v>
      </c>
      <c r="H376" s="85">
        <v>0</v>
      </c>
      <c r="I376" s="85">
        <v>0</v>
      </c>
      <c r="J376" s="85">
        <v>0</v>
      </c>
      <c r="K376" s="85">
        <v>0</v>
      </c>
      <c r="L376" s="85">
        <v>0</v>
      </c>
      <c r="M376" s="85">
        <v>0</v>
      </c>
      <c r="N376" s="85">
        <v>0</v>
      </c>
      <c r="O376" s="85">
        <v>0</v>
      </c>
      <c r="P376" s="85">
        <v>0</v>
      </c>
      <c r="Q376" s="85">
        <v>0</v>
      </c>
      <c r="R376" s="85">
        <v>0</v>
      </c>
      <c r="S376" s="85">
        <v>0</v>
      </c>
      <c r="T376" s="85">
        <v>0</v>
      </c>
      <c r="U376" s="85">
        <v>0</v>
      </c>
      <c r="V376" s="85">
        <v>0</v>
      </c>
      <c r="W376" s="85">
        <f>1.991*0.11</f>
        <v>0.21901000000000001</v>
      </c>
      <c r="X376" s="85">
        <v>0</v>
      </c>
      <c r="Y376" s="85">
        <f>0.68*0.11</f>
        <v>7.4800000000000005E-2</v>
      </c>
      <c r="Z376" s="85">
        <v>0</v>
      </c>
      <c r="AA376" s="85">
        <v>0</v>
      </c>
      <c r="AB376" s="85">
        <v>0</v>
      </c>
      <c r="AC376" s="85">
        <v>0</v>
      </c>
      <c r="AD376" s="85"/>
    </row>
    <row r="377" spans="1:30">
      <c r="A377" s="82" t="s">
        <v>586</v>
      </c>
      <c r="B377" s="83" t="s">
        <v>596</v>
      </c>
      <c r="C377" s="85">
        <v>0</v>
      </c>
      <c r="D377" s="85">
        <v>0</v>
      </c>
      <c r="E377" s="85">
        <v>0</v>
      </c>
      <c r="F377" s="85">
        <v>0</v>
      </c>
      <c r="G377" s="85">
        <v>0</v>
      </c>
      <c r="H377" s="85">
        <v>0</v>
      </c>
      <c r="I377" s="85">
        <v>0</v>
      </c>
      <c r="J377" s="85">
        <v>0</v>
      </c>
      <c r="K377" s="85">
        <v>0</v>
      </c>
      <c r="L377" s="85">
        <v>0</v>
      </c>
      <c r="M377" s="85">
        <v>0</v>
      </c>
      <c r="N377" s="85">
        <v>0</v>
      </c>
      <c r="O377" s="85">
        <v>0</v>
      </c>
      <c r="P377" s="85">
        <v>0</v>
      </c>
      <c r="Q377" s="85">
        <v>0</v>
      </c>
      <c r="R377" s="85">
        <v>0</v>
      </c>
      <c r="S377" s="85">
        <v>0</v>
      </c>
      <c r="T377" s="85">
        <v>0</v>
      </c>
      <c r="U377" s="85">
        <v>0</v>
      </c>
      <c r="V377" s="85">
        <v>0</v>
      </c>
      <c r="W377" s="85">
        <v>0</v>
      </c>
      <c r="X377" s="85">
        <v>0</v>
      </c>
      <c r="Y377" s="85">
        <v>0</v>
      </c>
      <c r="Z377" s="85">
        <v>0</v>
      </c>
      <c r="AA377" s="85">
        <v>0</v>
      </c>
      <c r="AB377" s="85">
        <v>0</v>
      </c>
      <c r="AC377" s="85">
        <v>0</v>
      </c>
      <c r="AD377" s="85"/>
    </row>
    <row r="378" spans="1:30">
      <c r="A378" s="82" t="s">
        <v>586</v>
      </c>
      <c r="B378" s="83" t="s">
        <v>594</v>
      </c>
      <c r="C378" s="85">
        <f>5.21*0.055</f>
        <v>0.28655000000000003</v>
      </c>
      <c r="D378" s="85">
        <f>8.45*0.055</f>
        <v>0.46474999999999994</v>
      </c>
      <c r="E378" s="85">
        <f>25.99*0.055</f>
        <v>1.4294499999999999</v>
      </c>
      <c r="F378" s="85">
        <f>26.43*0.055</f>
        <v>1.4536499999999999</v>
      </c>
      <c r="G378" s="85">
        <f>18.14*0.055</f>
        <v>0.99770000000000003</v>
      </c>
      <c r="H378" s="85">
        <f>21.25*0.055</f>
        <v>1.16875</v>
      </c>
      <c r="I378" s="85">
        <f>12.12*0.055</f>
        <v>0.66659999999999997</v>
      </c>
      <c r="J378" s="85">
        <f>23.2*0.055</f>
        <v>1.276</v>
      </c>
      <c r="K378" s="85">
        <f>22.41*0.055</f>
        <v>1.23255</v>
      </c>
      <c r="L378" s="85">
        <f>10.65*0.055</f>
        <v>0.58574999999999999</v>
      </c>
      <c r="M378" s="85">
        <f>44.6*0.055</f>
        <v>2.4530000000000003</v>
      </c>
      <c r="N378" s="85">
        <v>0.38170000000000004</v>
      </c>
      <c r="O378" s="85">
        <f>9.7*0.055</f>
        <v>0.53349999999999997</v>
      </c>
      <c r="P378" s="85">
        <f>31.37*0.055</f>
        <v>1.7253500000000002</v>
      </c>
      <c r="Q378" s="85">
        <f>19.27*0.055</f>
        <v>1.05985</v>
      </c>
      <c r="R378" s="85">
        <f>42.76*0.055</f>
        <v>2.3517999999999999</v>
      </c>
      <c r="S378" s="85">
        <f>43.901*0.055</f>
        <v>2.414555</v>
      </c>
      <c r="T378" s="85">
        <f>24.685*0.055</f>
        <v>1.357675</v>
      </c>
      <c r="U378" s="85">
        <f>17.424*0.055</f>
        <v>0.95831999999999995</v>
      </c>
      <c r="V378" s="85">
        <f>14.5*0.055</f>
        <v>0.79749999999999999</v>
      </c>
      <c r="W378" s="85">
        <f>20.3*0.055</f>
        <v>1.1165</v>
      </c>
      <c r="X378" s="85">
        <f>28.67*0.055</f>
        <v>1.5768500000000001</v>
      </c>
      <c r="Y378" s="85">
        <f>22.82*0.055</f>
        <v>1.2551000000000001</v>
      </c>
      <c r="Z378" s="85">
        <f>19.63*0.055</f>
        <v>1.07965</v>
      </c>
      <c r="AA378" s="85">
        <f>17.94*0.055</f>
        <v>0.98670000000000002</v>
      </c>
      <c r="AB378" s="85">
        <f>16.34*0.055</f>
        <v>0.89869999999999994</v>
      </c>
      <c r="AC378" s="85">
        <f>9.05*0.055</f>
        <v>0.49775000000000003</v>
      </c>
      <c r="AD378" s="85"/>
    </row>
    <row r="379" spans="1:30">
      <c r="A379" s="82" t="s">
        <v>586</v>
      </c>
      <c r="B379" s="87" t="s">
        <v>643</v>
      </c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>
        <v>0</v>
      </c>
      <c r="O379" s="85">
        <v>0</v>
      </c>
      <c r="P379" s="85">
        <v>0</v>
      </c>
      <c r="Q379" s="85">
        <v>0</v>
      </c>
      <c r="R379" s="85">
        <v>0</v>
      </c>
      <c r="S379" s="85">
        <v>0</v>
      </c>
      <c r="T379" s="85">
        <v>0</v>
      </c>
      <c r="U379" s="85">
        <v>0</v>
      </c>
      <c r="V379" s="85">
        <v>0</v>
      </c>
      <c r="W379" s="85">
        <v>0</v>
      </c>
      <c r="X379" s="85">
        <v>0</v>
      </c>
      <c r="Y379" s="85">
        <v>0</v>
      </c>
      <c r="Z379" s="85">
        <v>0</v>
      </c>
      <c r="AA379" s="85">
        <v>0</v>
      </c>
      <c r="AB379" s="85">
        <v>0</v>
      </c>
      <c r="AC379" s="85">
        <v>0</v>
      </c>
      <c r="AD379" s="85"/>
    </row>
    <row r="380" spans="1:30">
      <c r="A380" s="82" t="s">
        <v>582</v>
      </c>
      <c r="B380" s="83" t="s">
        <v>597</v>
      </c>
      <c r="C380" s="84" t="s">
        <v>680</v>
      </c>
      <c r="D380" s="84" t="s">
        <v>680</v>
      </c>
      <c r="E380" s="84" t="s">
        <v>680</v>
      </c>
      <c r="F380" s="84" t="s">
        <v>680</v>
      </c>
      <c r="G380" s="84" t="s">
        <v>680</v>
      </c>
      <c r="H380" s="84" t="s">
        <v>680</v>
      </c>
      <c r="I380" s="88">
        <v>0</v>
      </c>
      <c r="J380" s="84" t="s">
        <v>680</v>
      </c>
      <c r="K380" s="85">
        <v>0</v>
      </c>
      <c r="L380" s="85">
        <v>0</v>
      </c>
      <c r="M380" s="85">
        <v>0</v>
      </c>
      <c r="N380" s="85">
        <v>0</v>
      </c>
      <c r="O380" s="85">
        <v>0</v>
      </c>
      <c r="P380" s="85">
        <v>0</v>
      </c>
      <c r="Q380" s="85">
        <v>0</v>
      </c>
      <c r="R380" s="85">
        <v>0</v>
      </c>
      <c r="S380" s="85">
        <v>0</v>
      </c>
      <c r="T380" s="85">
        <v>0</v>
      </c>
      <c r="U380" s="85">
        <v>0</v>
      </c>
      <c r="V380" s="85">
        <v>0</v>
      </c>
      <c r="W380" s="85">
        <v>0</v>
      </c>
      <c r="X380" s="85">
        <v>0</v>
      </c>
      <c r="Y380" s="85">
        <v>0</v>
      </c>
      <c r="Z380" s="85">
        <v>0</v>
      </c>
      <c r="AA380" s="85">
        <v>0</v>
      </c>
      <c r="AB380" s="85">
        <v>0</v>
      </c>
      <c r="AC380" s="85">
        <v>0</v>
      </c>
      <c r="AD380" s="85"/>
    </row>
    <row r="381" spans="1:30">
      <c r="A381" s="82" t="s">
        <v>582</v>
      </c>
      <c r="B381" s="83" t="s">
        <v>600</v>
      </c>
      <c r="C381" s="84" t="s">
        <v>680</v>
      </c>
      <c r="D381" s="84" t="s">
        <v>680</v>
      </c>
      <c r="E381" s="84" t="s">
        <v>680</v>
      </c>
      <c r="F381" s="84" t="s">
        <v>680</v>
      </c>
      <c r="G381" s="84" t="s">
        <v>680</v>
      </c>
      <c r="H381" s="84" t="s">
        <v>680</v>
      </c>
      <c r="I381" s="85">
        <v>0</v>
      </c>
      <c r="J381" s="84" t="s">
        <v>680</v>
      </c>
      <c r="K381" s="85">
        <v>0</v>
      </c>
      <c r="L381" s="85">
        <v>0</v>
      </c>
      <c r="M381" s="85">
        <v>0</v>
      </c>
      <c r="N381" s="85">
        <v>0</v>
      </c>
      <c r="O381" s="85">
        <v>0</v>
      </c>
      <c r="P381" s="85">
        <v>0</v>
      </c>
      <c r="Q381" s="85">
        <v>0</v>
      </c>
      <c r="R381" s="85">
        <v>0</v>
      </c>
      <c r="S381" s="85">
        <v>0</v>
      </c>
      <c r="T381" s="85">
        <v>0</v>
      </c>
      <c r="U381" s="85">
        <v>0</v>
      </c>
      <c r="V381" s="85">
        <v>0</v>
      </c>
      <c r="W381" s="85">
        <v>0</v>
      </c>
      <c r="X381" s="85">
        <v>0</v>
      </c>
      <c r="Y381" s="85">
        <v>0</v>
      </c>
      <c r="Z381" s="85">
        <v>0</v>
      </c>
      <c r="AA381" s="85">
        <v>0</v>
      </c>
      <c r="AB381" s="85">
        <v>0</v>
      </c>
      <c r="AC381" s="85">
        <v>0</v>
      </c>
      <c r="AD381" s="85"/>
    </row>
    <row r="382" spans="1:30">
      <c r="A382" s="82" t="s">
        <v>582</v>
      </c>
      <c r="B382" s="83" t="s">
        <v>595</v>
      </c>
      <c r="C382" s="84" t="s">
        <v>680</v>
      </c>
      <c r="D382" s="84" t="s">
        <v>680</v>
      </c>
      <c r="E382" s="84" t="s">
        <v>680</v>
      </c>
      <c r="F382" s="84" t="s">
        <v>680</v>
      </c>
      <c r="G382" s="84" t="s">
        <v>680</v>
      </c>
      <c r="H382" s="84" t="s">
        <v>680</v>
      </c>
      <c r="I382" s="88">
        <v>0</v>
      </c>
      <c r="J382" s="84" t="s">
        <v>680</v>
      </c>
      <c r="K382" s="85">
        <v>0</v>
      </c>
      <c r="L382" s="85">
        <v>0</v>
      </c>
      <c r="M382" s="85">
        <v>0</v>
      </c>
      <c r="N382" s="85">
        <v>0</v>
      </c>
      <c r="O382" s="85">
        <v>0</v>
      </c>
      <c r="P382" s="85">
        <v>0</v>
      </c>
      <c r="Q382" s="85">
        <v>0</v>
      </c>
      <c r="R382" s="85">
        <v>0</v>
      </c>
      <c r="S382" s="85">
        <v>0</v>
      </c>
      <c r="T382" s="85">
        <v>0</v>
      </c>
      <c r="U382" s="85">
        <v>0</v>
      </c>
      <c r="V382" s="85">
        <v>0</v>
      </c>
      <c r="W382" s="85">
        <f>1.78*0.11</f>
        <v>0.1958</v>
      </c>
      <c r="X382" s="85">
        <v>0</v>
      </c>
      <c r="Y382" s="85">
        <v>0</v>
      </c>
      <c r="Z382" s="85">
        <v>0</v>
      </c>
      <c r="AA382" s="85">
        <v>0</v>
      </c>
      <c r="AB382" s="85">
        <v>0</v>
      </c>
      <c r="AC382" s="85">
        <v>0</v>
      </c>
      <c r="AD382" s="85"/>
    </row>
    <row r="383" spans="1:30">
      <c r="A383" s="82" t="s">
        <v>582</v>
      </c>
      <c r="B383" s="83" t="s">
        <v>596</v>
      </c>
      <c r="C383" s="84" t="s">
        <v>680</v>
      </c>
      <c r="D383" s="84" t="s">
        <v>680</v>
      </c>
      <c r="E383" s="84" t="s">
        <v>680</v>
      </c>
      <c r="F383" s="84" t="s">
        <v>680</v>
      </c>
      <c r="G383" s="84" t="s">
        <v>680</v>
      </c>
      <c r="H383" s="84" t="s">
        <v>680</v>
      </c>
      <c r="I383" s="88">
        <v>0</v>
      </c>
      <c r="J383" s="84" t="s">
        <v>680</v>
      </c>
      <c r="K383" s="85">
        <v>0</v>
      </c>
      <c r="L383" s="85">
        <v>0</v>
      </c>
      <c r="M383" s="85">
        <v>0</v>
      </c>
      <c r="N383" s="85">
        <v>0</v>
      </c>
      <c r="O383" s="85">
        <v>0</v>
      </c>
      <c r="P383" s="85">
        <v>0</v>
      </c>
      <c r="Q383" s="85">
        <v>0</v>
      </c>
      <c r="R383" s="85">
        <v>0</v>
      </c>
      <c r="S383" s="85">
        <v>0</v>
      </c>
      <c r="T383" s="85">
        <v>0</v>
      </c>
      <c r="U383" s="85">
        <v>0</v>
      </c>
      <c r="V383" s="85">
        <v>0</v>
      </c>
      <c r="W383" s="85">
        <v>0</v>
      </c>
      <c r="X383" s="85">
        <v>0</v>
      </c>
      <c r="Y383" s="85">
        <v>0</v>
      </c>
      <c r="Z383" s="85">
        <v>0</v>
      </c>
      <c r="AA383" s="85">
        <v>0</v>
      </c>
      <c r="AB383" s="85">
        <v>0</v>
      </c>
      <c r="AC383" s="85">
        <v>0</v>
      </c>
      <c r="AD383" s="85"/>
    </row>
    <row r="384" spans="1:30">
      <c r="A384" s="82" t="s">
        <v>582</v>
      </c>
      <c r="B384" s="83" t="s">
        <v>594</v>
      </c>
      <c r="C384" s="84" t="s">
        <v>680</v>
      </c>
      <c r="D384" s="84" t="s">
        <v>680</v>
      </c>
      <c r="E384" s="84" t="s">
        <v>680</v>
      </c>
      <c r="F384" s="84" t="s">
        <v>680</v>
      </c>
      <c r="G384" s="84" t="s">
        <v>680</v>
      </c>
      <c r="H384" s="84" t="s">
        <v>680</v>
      </c>
      <c r="I384" s="88">
        <f>272.4*0.055</f>
        <v>14.981999999999999</v>
      </c>
      <c r="J384" s="84" t="s">
        <v>680</v>
      </c>
      <c r="K384" s="85">
        <f>65.62*0.055</f>
        <v>3.6091000000000002</v>
      </c>
      <c r="L384" s="85">
        <f>147.5*0.055</f>
        <v>8.1125000000000007</v>
      </c>
      <c r="M384" s="85">
        <f>75.36*0.055</f>
        <v>4.1448</v>
      </c>
      <c r="N384" s="85">
        <v>4.4368499999999997</v>
      </c>
      <c r="O384" s="85">
        <v>0</v>
      </c>
      <c r="P384" s="85">
        <f>25.7*0.055</f>
        <v>1.4135</v>
      </c>
      <c r="Q384" s="85">
        <f>35.308*0.055</f>
        <v>1.94194</v>
      </c>
      <c r="R384" s="85">
        <f>33.41*0.055</f>
        <v>1.8375499999999998</v>
      </c>
      <c r="S384" s="85">
        <f>77*0.055</f>
        <v>4.2350000000000003</v>
      </c>
      <c r="T384" s="85">
        <f>93.67*0.055</f>
        <v>5.1518500000000005</v>
      </c>
      <c r="U384" s="85">
        <f>35.37*0.055</f>
        <v>1.9453499999999999</v>
      </c>
      <c r="V384" s="85">
        <f>48.19*0.055</f>
        <v>2.6504499999999998</v>
      </c>
      <c r="W384" s="85">
        <f>55.6*0.055</f>
        <v>3.0580000000000003</v>
      </c>
      <c r="X384" s="85">
        <f>54.35*0.055</f>
        <v>2.9892500000000002</v>
      </c>
      <c r="Y384" s="85">
        <f>40.7*0.055</f>
        <v>2.2385000000000002</v>
      </c>
      <c r="Z384" s="85">
        <f>42.25*0.055</f>
        <v>2.32375</v>
      </c>
      <c r="AA384" s="85">
        <f>48.19*0.055</f>
        <v>2.6504499999999998</v>
      </c>
      <c r="AB384" s="85">
        <f>28.54*0.055</f>
        <v>1.5696999999999999</v>
      </c>
      <c r="AC384" s="85">
        <f>20.52*0.055</f>
        <v>1.1286</v>
      </c>
      <c r="AD384" s="85"/>
    </row>
    <row r="385" spans="1:30">
      <c r="A385" s="82" t="s">
        <v>582</v>
      </c>
      <c r="B385" s="87" t="s">
        <v>643</v>
      </c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>
        <v>0</v>
      </c>
      <c r="O385" s="85">
        <v>0</v>
      </c>
      <c r="P385" s="85">
        <v>0</v>
      </c>
      <c r="Q385" s="85">
        <v>0</v>
      </c>
      <c r="R385" s="85">
        <v>0</v>
      </c>
      <c r="S385" s="85">
        <v>0</v>
      </c>
      <c r="T385" s="85">
        <v>0</v>
      </c>
      <c r="U385" s="85">
        <v>0</v>
      </c>
      <c r="V385" s="85">
        <v>0</v>
      </c>
      <c r="W385" s="85">
        <v>0</v>
      </c>
      <c r="X385" s="85">
        <v>0</v>
      </c>
      <c r="Y385" s="85">
        <v>0</v>
      </c>
      <c r="Z385" s="85">
        <v>0</v>
      </c>
      <c r="AA385" s="85">
        <v>0</v>
      </c>
      <c r="AB385" s="85">
        <v>0</v>
      </c>
      <c r="AC385" s="85">
        <v>0</v>
      </c>
      <c r="AD385" s="85"/>
    </row>
    <row r="386" spans="1:30">
      <c r="A386" s="82" t="s">
        <v>587</v>
      </c>
      <c r="B386" s="83" t="s">
        <v>597</v>
      </c>
      <c r="C386" s="85">
        <v>0</v>
      </c>
      <c r="D386" s="85">
        <v>0</v>
      </c>
      <c r="E386" s="85">
        <v>0</v>
      </c>
      <c r="F386" s="84" t="s">
        <v>680</v>
      </c>
      <c r="G386" s="85">
        <v>0</v>
      </c>
      <c r="H386" s="85">
        <v>0</v>
      </c>
      <c r="I386" s="85">
        <v>0</v>
      </c>
      <c r="J386" s="85">
        <v>0</v>
      </c>
      <c r="K386" s="85">
        <v>0</v>
      </c>
      <c r="L386" s="85">
        <v>0</v>
      </c>
      <c r="M386" s="85">
        <v>0</v>
      </c>
      <c r="N386" s="85">
        <v>0</v>
      </c>
      <c r="O386" s="85">
        <v>0</v>
      </c>
      <c r="P386" s="85">
        <v>0</v>
      </c>
      <c r="Q386" s="85">
        <v>0</v>
      </c>
      <c r="R386" s="85">
        <v>0</v>
      </c>
      <c r="S386" s="85">
        <v>0</v>
      </c>
      <c r="T386" s="85">
        <v>0</v>
      </c>
      <c r="U386" s="85">
        <v>0</v>
      </c>
      <c r="V386" s="85">
        <v>0</v>
      </c>
      <c r="W386" s="85">
        <v>0</v>
      </c>
      <c r="X386" s="85">
        <v>0</v>
      </c>
      <c r="Y386" s="85">
        <v>0</v>
      </c>
      <c r="Z386" s="85">
        <v>0</v>
      </c>
      <c r="AA386" s="85">
        <v>0</v>
      </c>
      <c r="AB386" s="85">
        <v>0</v>
      </c>
      <c r="AC386" s="85">
        <v>0</v>
      </c>
      <c r="AD386" s="85"/>
    </row>
    <row r="387" spans="1:30">
      <c r="A387" s="82" t="s">
        <v>587</v>
      </c>
      <c r="B387" s="83" t="s">
        <v>600</v>
      </c>
      <c r="C387" s="85">
        <v>0</v>
      </c>
      <c r="D387" s="85">
        <v>0</v>
      </c>
      <c r="E387" s="85">
        <v>0</v>
      </c>
      <c r="F387" s="84" t="s">
        <v>680</v>
      </c>
      <c r="G387" s="85">
        <v>0</v>
      </c>
      <c r="H387" s="85">
        <v>0</v>
      </c>
      <c r="I387" s="85">
        <v>0</v>
      </c>
      <c r="J387" s="85">
        <v>0</v>
      </c>
      <c r="K387" s="85">
        <v>0</v>
      </c>
      <c r="L387" s="85">
        <v>0</v>
      </c>
      <c r="M387" s="85">
        <v>0</v>
      </c>
      <c r="N387" s="85">
        <v>0</v>
      </c>
      <c r="O387" s="85">
        <v>0</v>
      </c>
      <c r="P387" s="85">
        <v>0</v>
      </c>
      <c r="Q387" s="85">
        <v>0</v>
      </c>
      <c r="R387" s="85">
        <v>0</v>
      </c>
      <c r="S387" s="85">
        <v>0</v>
      </c>
      <c r="T387" s="85">
        <v>0</v>
      </c>
      <c r="U387" s="85">
        <v>0</v>
      </c>
      <c r="V387" s="85">
        <v>0</v>
      </c>
      <c r="W387" s="85">
        <v>0</v>
      </c>
      <c r="X387" s="85">
        <v>0</v>
      </c>
      <c r="Y387" s="85">
        <v>0</v>
      </c>
      <c r="Z387" s="85">
        <v>0</v>
      </c>
      <c r="AA387" s="85">
        <v>0</v>
      </c>
      <c r="AB387" s="85">
        <v>0</v>
      </c>
      <c r="AC387" s="85">
        <v>0</v>
      </c>
      <c r="AD387" s="85"/>
    </row>
    <row r="388" spans="1:30">
      <c r="A388" s="82" t="s">
        <v>587</v>
      </c>
      <c r="B388" s="83" t="s">
        <v>595</v>
      </c>
      <c r="C388" s="85">
        <v>0</v>
      </c>
      <c r="D388" s="85">
        <v>0</v>
      </c>
      <c r="E388" s="85">
        <v>0</v>
      </c>
      <c r="F388" s="84" t="s">
        <v>680</v>
      </c>
      <c r="G388" s="85">
        <v>0</v>
      </c>
      <c r="H388" s="85">
        <v>0</v>
      </c>
      <c r="I388" s="85">
        <v>0</v>
      </c>
      <c r="J388" s="85">
        <v>0</v>
      </c>
      <c r="K388" s="85">
        <v>0</v>
      </c>
      <c r="L388" s="85">
        <v>0</v>
      </c>
      <c r="M388" s="85">
        <v>0</v>
      </c>
      <c r="N388" s="85">
        <v>1.3926000000000001</v>
      </c>
      <c r="O388" s="85">
        <f>30.2*0.11</f>
        <v>3.3220000000000001</v>
      </c>
      <c r="P388" s="85">
        <f>39.2*0.11</f>
        <v>4.3120000000000003</v>
      </c>
      <c r="Q388" s="85">
        <f>16.7*0.11</f>
        <v>1.837</v>
      </c>
      <c r="R388" s="85">
        <f>17.8*0.11</f>
        <v>1.9580000000000002</v>
      </c>
      <c r="S388" s="85">
        <f>19.1*0.11</f>
        <v>2.101</v>
      </c>
      <c r="T388" s="85">
        <f>28.45*0.11</f>
        <v>3.1294999999999997</v>
      </c>
      <c r="U388" s="85">
        <f>26.41*0.11</f>
        <v>2.9051</v>
      </c>
      <c r="V388" s="85">
        <f>15.75*0.11</f>
        <v>1.7324999999999999</v>
      </c>
      <c r="W388" s="85">
        <f>9.72*0.11</f>
        <v>1.0692000000000002</v>
      </c>
      <c r="X388" s="85">
        <f>9.4*0.11</f>
        <v>1.034</v>
      </c>
      <c r="Y388" s="85">
        <v>0</v>
      </c>
      <c r="Z388" s="85">
        <v>0</v>
      </c>
      <c r="AA388" s="85">
        <v>0</v>
      </c>
      <c r="AB388" s="85">
        <v>0</v>
      </c>
      <c r="AC388" s="85">
        <v>0</v>
      </c>
      <c r="AD388" s="85"/>
    </row>
    <row r="389" spans="1:30">
      <c r="A389" s="82" t="s">
        <v>587</v>
      </c>
      <c r="B389" s="83" t="s">
        <v>700</v>
      </c>
      <c r="C389" s="85"/>
      <c r="D389" s="85"/>
      <c r="E389" s="85"/>
      <c r="F389" s="84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>
        <f>34.84*0.11</f>
        <v>3.8324000000000003</v>
      </c>
      <c r="S389" s="85">
        <f>37.76*0.11</f>
        <v>4.1536</v>
      </c>
      <c r="T389" s="85">
        <f>32.21*0.11</f>
        <v>3.5430999999999999</v>
      </c>
      <c r="U389" s="85">
        <f>28.01*0.11</f>
        <v>3.0811000000000002</v>
      </c>
      <c r="V389" s="85">
        <f>8.07*0.11</f>
        <v>0.88770000000000004</v>
      </c>
      <c r="W389" s="85">
        <f>3.08*0.11</f>
        <v>0.33879999999999999</v>
      </c>
      <c r="X389" s="85">
        <f>10.1*0.11</f>
        <v>1.111</v>
      </c>
      <c r="Y389" s="85">
        <v>0</v>
      </c>
      <c r="Z389" s="85">
        <v>0</v>
      </c>
      <c r="AA389" s="85">
        <v>0</v>
      </c>
      <c r="AB389" s="85">
        <v>0</v>
      </c>
      <c r="AC389" s="85">
        <v>0</v>
      </c>
      <c r="AD389" s="85"/>
    </row>
    <row r="390" spans="1:30">
      <c r="A390" s="82" t="s">
        <v>587</v>
      </c>
      <c r="B390" s="83" t="s">
        <v>596</v>
      </c>
      <c r="C390" s="85">
        <v>0</v>
      </c>
      <c r="D390" s="85">
        <v>0</v>
      </c>
      <c r="E390" s="85">
        <v>0</v>
      </c>
      <c r="F390" s="84" t="s">
        <v>680</v>
      </c>
      <c r="G390" s="85">
        <v>0</v>
      </c>
      <c r="H390" s="85">
        <v>0</v>
      </c>
      <c r="I390" s="85">
        <v>0</v>
      </c>
      <c r="J390" s="85">
        <v>0</v>
      </c>
      <c r="K390" s="85">
        <v>0</v>
      </c>
      <c r="L390" s="85">
        <v>0</v>
      </c>
      <c r="M390" s="85">
        <v>0</v>
      </c>
      <c r="N390" s="85">
        <v>0</v>
      </c>
      <c r="O390" s="85">
        <v>0</v>
      </c>
      <c r="P390" s="85">
        <v>0</v>
      </c>
      <c r="Q390" s="85">
        <v>0</v>
      </c>
      <c r="R390" s="85">
        <v>0</v>
      </c>
      <c r="S390" s="85">
        <v>0</v>
      </c>
      <c r="T390" s="85">
        <v>0</v>
      </c>
      <c r="U390" s="85">
        <v>0</v>
      </c>
      <c r="V390" s="85">
        <v>0</v>
      </c>
      <c r="W390" s="85">
        <v>0</v>
      </c>
      <c r="X390" s="85">
        <v>0</v>
      </c>
      <c r="Y390" s="85">
        <v>0</v>
      </c>
      <c r="Z390" s="85">
        <v>0</v>
      </c>
      <c r="AA390" s="85">
        <v>0</v>
      </c>
      <c r="AB390" s="85">
        <v>0</v>
      </c>
      <c r="AC390" s="85">
        <v>0</v>
      </c>
      <c r="AD390" s="85"/>
    </row>
    <row r="391" spans="1:30">
      <c r="A391" s="82" t="s">
        <v>587</v>
      </c>
      <c r="B391" s="83" t="s">
        <v>594</v>
      </c>
      <c r="C391" s="85">
        <v>0</v>
      </c>
      <c r="D391" s="85">
        <v>0</v>
      </c>
      <c r="E391" s="85">
        <v>0</v>
      </c>
      <c r="F391" s="84" t="s">
        <v>680</v>
      </c>
      <c r="G391" s="85">
        <f>143.64*0.055</f>
        <v>7.900199999999999</v>
      </c>
      <c r="H391" s="85">
        <f>114.15*0.055</f>
        <v>6.2782500000000008</v>
      </c>
      <c r="I391" s="85">
        <f>123*0.055</f>
        <v>6.7649999999999997</v>
      </c>
      <c r="J391" s="85">
        <f>217.46*0.055</f>
        <v>11.9603</v>
      </c>
      <c r="K391" s="85">
        <f>107.12*0.055</f>
        <v>5.8916000000000004</v>
      </c>
      <c r="L391" s="85">
        <f>197.99*0.055</f>
        <v>10.88945</v>
      </c>
      <c r="M391" s="85">
        <f>170.6*0.055</f>
        <v>9.3829999999999991</v>
      </c>
      <c r="N391" s="85">
        <v>10.8284</v>
      </c>
      <c r="O391" s="85">
        <f>252.67*0.055</f>
        <v>13.896849999999999</v>
      </c>
      <c r="P391" s="85">
        <f>295.59*0.055</f>
        <v>16.257449999999999</v>
      </c>
      <c r="Q391" s="85">
        <f>290.5*0.055</f>
        <v>15.977500000000001</v>
      </c>
      <c r="R391" s="85">
        <f>364.29*0.055</f>
        <v>20.03595</v>
      </c>
      <c r="S391" s="85">
        <f>372*0.055</f>
        <v>20.46</v>
      </c>
      <c r="T391" s="85">
        <f>381.48*0.055</f>
        <v>20.981400000000001</v>
      </c>
      <c r="U391" s="85">
        <f>291.46*0.055</f>
        <v>16.0303</v>
      </c>
      <c r="V391" s="85">
        <f>208.08*0.055</f>
        <v>11.4444</v>
      </c>
      <c r="W391" s="85">
        <f>184.02*0.055</f>
        <v>10.1211</v>
      </c>
      <c r="X391" s="85">
        <f>225.5*0.055</f>
        <v>12.4025</v>
      </c>
      <c r="Y391" s="85">
        <f>196.45*0.055</f>
        <v>10.80475</v>
      </c>
      <c r="Z391" s="85">
        <f>170.32*0.055</f>
        <v>9.3675999999999995</v>
      </c>
      <c r="AA391" s="85">
        <f>164.36*0.055</f>
        <v>9.0398000000000014</v>
      </c>
      <c r="AB391" s="85">
        <f>130.39*0.055</f>
        <v>7.1714499999999992</v>
      </c>
      <c r="AC391" s="85">
        <f>120.59*0.055</f>
        <v>6.6324500000000004</v>
      </c>
      <c r="AD391" s="85"/>
    </row>
    <row r="392" spans="1:30">
      <c r="A392" s="82" t="s">
        <v>587</v>
      </c>
      <c r="B392" s="87" t="s">
        <v>643</v>
      </c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>
        <v>0</v>
      </c>
      <c r="O392" s="85">
        <v>0</v>
      </c>
      <c r="P392" s="85">
        <v>0</v>
      </c>
      <c r="Q392" s="85">
        <v>0</v>
      </c>
      <c r="R392" s="85">
        <v>0</v>
      </c>
      <c r="S392" s="85">
        <v>0</v>
      </c>
      <c r="T392" s="85">
        <v>0</v>
      </c>
      <c r="U392" s="85">
        <v>0</v>
      </c>
      <c r="V392" s="85">
        <v>0</v>
      </c>
      <c r="W392" s="85">
        <v>0</v>
      </c>
      <c r="X392" s="85">
        <v>0</v>
      </c>
      <c r="Y392" s="85">
        <v>0</v>
      </c>
      <c r="Z392" s="85">
        <v>0</v>
      </c>
      <c r="AA392" s="85">
        <v>0</v>
      </c>
      <c r="AB392" s="85">
        <v>0</v>
      </c>
      <c r="AC392" s="85">
        <v>0</v>
      </c>
      <c r="AD392" s="85"/>
    </row>
    <row r="393" spans="1:30">
      <c r="A393" s="82" t="s">
        <v>165</v>
      </c>
      <c r="B393" s="83" t="s">
        <v>597</v>
      </c>
      <c r="C393" s="85">
        <v>0</v>
      </c>
      <c r="D393" s="85">
        <v>0</v>
      </c>
      <c r="E393" s="85">
        <v>0</v>
      </c>
      <c r="F393" s="85">
        <v>0</v>
      </c>
      <c r="G393" s="85">
        <v>0</v>
      </c>
      <c r="H393" s="85">
        <v>0</v>
      </c>
      <c r="I393" s="85">
        <f>25*0.02</f>
        <v>0.5</v>
      </c>
      <c r="J393" s="85">
        <f>25*0.02</f>
        <v>0.5</v>
      </c>
      <c r="K393" s="85">
        <f>0.45*0.02</f>
        <v>9.0000000000000011E-3</v>
      </c>
      <c r="L393" s="85">
        <f>60*0.02</f>
        <v>1.2</v>
      </c>
      <c r="M393" s="85">
        <f>15.26*0.02</f>
        <v>0.30520000000000003</v>
      </c>
      <c r="N393" s="85">
        <f>20*0.02</f>
        <v>0.4</v>
      </c>
      <c r="O393" s="85">
        <f>27.25*0.02</f>
        <v>0.54500000000000004</v>
      </c>
      <c r="P393" s="85">
        <f>101*0.02</f>
        <v>2.02</v>
      </c>
      <c r="Q393" s="85">
        <f>238*0.02</f>
        <v>4.76</v>
      </c>
      <c r="R393" s="85">
        <f>115.085*0.02</f>
        <v>2.3016999999999999</v>
      </c>
      <c r="S393" s="85">
        <v>0</v>
      </c>
      <c r="T393" s="95">
        <f>136*0.02</f>
        <v>2.72</v>
      </c>
      <c r="U393" s="85">
        <f>196.952*0.02</f>
        <v>3.9390399999999999</v>
      </c>
      <c r="V393" s="85">
        <f>180.82*0.02</f>
        <v>3.6164000000000001</v>
      </c>
      <c r="W393" s="85">
        <f>174.87*0.02</f>
        <v>3.4974000000000003</v>
      </c>
      <c r="X393" s="85">
        <f>373.53*0.02</f>
        <v>7.4705999999999992</v>
      </c>
      <c r="Y393" s="85">
        <f>253.47*0.02</f>
        <v>5.0693999999999999</v>
      </c>
      <c r="Z393" s="85">
        <f>82.38*0.02</f>
        <v>1.6476</v>
      </c>
      <c r="AA393" s="85">
        <f>77.48*0.02</f>
        <v>1.5496000000000001</v>
      </c>
      <c r="AB393" s="85">
        <f>12.993*0.02</f>
        <v>0.25986000000000004</v>
      </c>
      <c r="AC393" s="85">
        <f>47.188*0.02</f>
        <v>0.94376000000000004</v>
      </c>
      <c r="AD393" s="85"/>
    </row>
    <row r="394" spans="1:30">
      <c r="A394" s="82" t="s">
        <v>165</v>
      </c>
      <c r="B394" s="83" t="s">
        <v>600</v>
      </c>
      <c r="C394" s="85">
        <v>0</v>
      </c>
      <c r="D394" s="85">
        <v>0</v>
      </c>
      <c r="E394" s="85">
        <v>0</v>
      </c>
      <c r="F394" s="85">
        <v>0</v>
      </c>
      <c r="G394" s="85">
        <v>0</v>
      </c>
      <c r="H394" s="85">
        <v>0</v>
      </c>
      <c r="I394" s="85">
        <v>0</v>
      </c>
      <c r="J394" s="85">
        <v>0</v>
      </c>
      <c r="K394" s="85">
        <v>0</v>
      </c>
      <c r="L394" s="85">
        <v>0</v>
      </c>
      <c r="M394" s="85">
        <v>0</v>
      </c>
      <c r="N394" s="85">
        <v>0</v>
      </c>
      <c r="O394" s="85">
        <v>0</v>
      </c>
      <c r="P394" s="85">
        <v>0</v>
      </c>
      <c r="Q394" s="85">
        <f>620.401*0.022</f>
        <v>13.648821999999997</v>
      </c>
      <c r="R394" s="85">
        <f>603.241*0.022</f>
        <v>13.271301999999999</v>
      </c>
      <c r="S394" s="85">
        <f>288.738*0.022</f>
        <v>6.3522359999999995</v>
      </c>
      <c r="T394" s="95">
        <f>69.247*0.022</f>
        <v>1.523434</v>
      </c>
      <c r="U394" s="85">
        <v>0</v>
      </c>
      <c r="V394" s="85">
        <v>0</v>
      </c>
      <c r="W394" s="85">
        <v>0</v>
      </c>
      <c r="X394" s="85">
        <v>0</v>
      </c>
      <c r="Y394" s="85">
        <v>0</v>
      </c>
      <c r="Z394" s="85">
        <v>0</v>
      </c>
      <c r="AA394" s="85">
        <v>0</v>
      </c>
      <c r="AB394" s="85">
        <v>0</v>
      </c>
      <c r="AC394" s="85">
        <v>0</v>
      </c>
      <c r="AD394" s="85"/>
    </row>
    <row r="395" spans="1:30">
      <c r="A395" s="82" t="s">
        <v>165</v>
      </c>
      <c r="B395" s="83" t="s">
        <v>595</v>
      </c>
      <c r="C395" s="85">
        <v>0</v>
      </c>
      <c r="D395" s="85">
        <v>0</v>
      </c>
      <c r="E395" s="85">
        <v>0</v>
      </c>
      <c r="F395" s="85">
        <v>0</v>
      </c>
      <c r="G395" s="85">
        <v>0</v>
      </c>
      <c r="H395" s="85">
        <v>0</v>
      </c>
      <c r="I395" s="85">
        <f>359.3*0.11</f>
        <v>39.523000000000003</v>
      </c>
      <c r="J395" s="85">
        <f>1401.32*0.11</f>
        <v>154.14519999999999</v>
      </c>
      <c r="K395" s="85">
        <f>952.22*0.11</f>
        <v>104.74420000000001</v>
      </c>
      <c r="L395" s="85">
        <f>1357*0.11</f>
        <v>149.27000000000001</v>
      </c>
      <c r="M395" s="85">
        <f>2155.92*0.11</f>
        <v>237.15120000000002</v>
      </c>
      <c r="N395" s="85">
        <f>2672.82*0.11</f>
        <v>294.0102</v>
      </c>
      <c r="O395" s="85">
        <f>4711.96*0.11</f>
        <v>518.31560000000002</v>
      </c>
      <c r="P395" s="85">
        <f>12588.9*0.11</f>
        <v>1384.779</v>
      </c>
      <c r="Q395" s="85">
        <f>7900*0.11</f>
        <v>869</v>
      </c>
      <c r="R395" s="85">
        <f>7836.8*0.11</f>
        <v>862.048</v>
      </c>
      <c r="S395" s="85">
        <f>7924*0.11</f>
        <v>871.64</v>
      </c>
      <c r="T395" s="95">
        <f>(6325*0.11)</f>
        <v>695.75</v>
      </c>
      <c r="U395" s="85">
        <f>4568.216*0.11</f>
        <v>502.50376000000006</v>
      </c>
      <c r="V395" s="85">
        <f>4112.56*0.11</f>
        <v>452.38160000000005</v>
      </c>
      <c r="W395" s="85">
        <f>3028*0.11</f>
        <v>333.08</v>
      </c>
      <c r="X395" s="85">
        <f>3638.02*0.11</f>
        <v>400.18220000000002</v>
      </c>
      <c r="Y395" s="85">
        <f>2526.25*0.11</f>
        <v>277.88749999999999</v>
      </c>
      <c r="Z395" s="85">
        <f>2896.29*0.11</f>
        <v>318.59190000000001</v>
      </c>
      <c r="AA395" s="85">
        <f>3494.18*0.11</f>
        <v>384.35980000000001</v>
      </c>
      <c r="AB395" s="85">
        <v>0</v>
      </c>
      <c r="AC395" s="85">
        <v>0</v>
      </c>
      <c r="AD395" s="85"/>
    </row>
    <row r="396" spans="1:30">
      <c r="A396" s="82" t="s">
        <v>165</v>
      </c>
      <c r="B396" s="83" t="s">
        <v>700</v>
      </c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95">
        <f>75*0.11</f>
        <v>8.25</v>
      </c>
      <c r="U396" s="85">
        <v>0</v>
      </c>
      <c r="V396" s="85">
        <v>0</v>
      </c>
      <c r="W396" s="85">
        <v>0</v>
      </c>
      <c r="X396" s="85">
        <v>0</v>
      </c>
      <c r="Y396" s="85">
        <v>0</v>
      </c>
      <c r="Z396" s="85">
        <v>0</v>
      </c>
      <c r="AA396" s="85">
        <v>0</v>
      </c>
      <c r="AB396" s="85">
        <v>0</v>
      </c>
      <c r="AC396" s="85">
        <v>0</v>
      </c>
      <c r="AD396" s="85"/>
    </row>
    <row r="397" spans="1:30">
      <c r="A397" s="82" t="s">
        <v>165</v>
      </c>
      <c r="B397" s="83" t="s">
        <v>596</v>
      </c>
      <c r="C397" s="85">
        <v>0</v>
      </c>
      <c r="D397" s="85">
        <v>0</v>
      </c>
      <c r="E397" s="85">
        <v>0</v>
      </c>
      <c r="F397" s="85">
        <v>0</v>
      </c>
      <c r="G397" s="85">
        <v>0</v>
      </c>
      <c r="H397" s="85">
        <v>0</v>
      </c>
      <c r="I397" s="85">
        <v>0</v>
      </c>
      <c r="J397" s="85">
        <v>0</v>
      </c>
      <c r="K397" s="85">
        <v>0</v>
      </c>
      <c r="L397" s="85">
        <v>0</v>
      </c>
      <c r="M397" s="85">
        <v>0</v>
      </c>
      <c r="N397" s="85">
        <f>82*0.065</f>
        <v>5.33</v>
      </c>
      <c r="O397" s="85">
        <v>0</v>
      </c>
      <c r="P397" s="85">
        <f>390*0.065</f>
        <v>25.35</v>
      </c>
      <c r="Q397" s="85">
        <f>3001.026*0.065</f>
        <v>195.06668999999999</v>
      </c>
      <c r="R397" s="85">
        <f>805*0.065</f>
        <v>52.325000000000003</v>
      </c>
      <c r="S397" s="85">
        <f>645*0.065</f>
        <v>41.925000000000004</v>
      </c>
      <c r="T397" s="95">
        <f>1308.401*0.065</f>
        <v>85.046065000000013</v>
      </c>
      <c r="U397" s="85">
        <f>428.939*0.065</f>
        <v>27.881035000000001</v>
      </c>
      <c r="V397" s="85">
        <f>120.32*0.065</f>
        <v>7.8208000000000002</v>
      </c>
      <c r="W397" s="85">
        <f>126*0.065</f>
        <v>8.19</v>
      </c>
      <c r="X397" s="85">
        <f>126*0.065</f>
        <v>8.19</v>
      </c>
      <c r="Y397" s="85">
        <f>120*0.065</f>
        <v>7.8000000000000007</v>
      </c>
      <c r="Z397" s="85">
        <v>0</v>
      </c>
      <c r="AA397" s="85">
        <v>0</v>
      </c>
      <c r="AB397" s="85">
        <v>0</v>
      </c>
      <c r="AC397" s="85">
        <v>0</v>
      </c>
      <c r="AD397" s="85"/>
    </row>
    <row r="398" spans="1:30">
      <c r="A398" s="82" t="s">
        <v>165</v>
      </c>
      <c r="B398" s="83" t="s">
        <v>594</v>
      </c>
      <c r="C398" s="85">
        <v>0</v>
      </c>
      <c r="D398" s="85">
        <v>0</v>
      </c>
      <c r="E398" s="85">
        <v>0</v>
      </c>
      <c r="F398" s="85">
        <v>0</v>
      </c>
      <c r="G398" s="85">
        <v>0</v>
      </c>
      <c r="H398" s="85">
        <v>0</v>
      </c>
      <c r="I398" s="85">
        <f>2973*0.055</f>
        <v>163.51500000000001</v>
      </c>
      <c r="J398" s="85">
        <f>(14606.17-11399.51)*0.055</f>
        <v>176.3663</v>
      </c>
      <c r="K398" s="85">
        <f>(19215.5-14567.9)*0.055</f>
        <v>255.61800000000002</v>
      </c>
      <c r="L398" s="85">
        <f>7228*0.055</f>
        <v>397.54</v>
      </c>
      <c r="M398" s="85">
        <f>(24789.24-15026.07)*0.055</f>
        <v>536.97435000000007</v>
      </c>
      <c r="N398" s="85">
        <f>6137*0.055</f>
        <v>337.53500000000003</v>
      </c>
      <c r="O398" s="85">
        <f>14668.5*0.055</f>
        <v>806.76750000000004</v>
      </c>
      <c r="P398" s="85">
        <f>10831.72*0.055</f>
        <v>595.74459999999999</v>
      </c>
      <c r="Q398" s="85">
        <f>((1280+47657.12-38478.103)*0.055)</f>
        <v>575.24593500000003</v>
      </c>
      <c r="R398" s="85">
        <f>(1868.268+47613.297-30034.172)*0.055</f>
        <v>1069.6066150000001</v>
      </c>
      <c r="S398" s="85">
        <f>(1316-18394.472+48476.597)*0.055</f>
        <v>1726.8968749999999</v>
      </c>
      <c r="T398" s="96">
        <f>((3217+48177.8479999999-16212.349)*0.055)</f>
        <v>1935.0374449999947</v>
      </c>
      <c r="U398" s="97">
        <f>(40650.551-16823.332)*0.055</f>
        <v>1310.4970450000001</v>
      </c>
      <c r="V398" s="97">
        <f>(54937.92-19049.11)*0.055</f>
        <v>1973.88455</v>
      </c>
      <c r="W398" s="97">
        <f>(53313.73-19913.58)*0.055</f>
        <v>1837.0082500000001</v>
      </c>
      <c r="X398" s="97">
        <f>(31036.64-20152.34)*0.055</f>
        <v>598.63649999999996</v>
      </c>
      <c r="Y398" s="97">
        <f>(32949.48-23572.53)*0.055</f>
        <v>515.73225000000025</v>
      </c>
      <c r="Z398" s="97">
        <f>(34690.35-25364.23)*0.055</f>
        <v>512.9366</v>
      </c>
      <c r="AA398" s="97">
        <f>(35146.854-25158.408)*0.055</f>
        <v>549.36452999999995</v>
      </c>
      <c r="AB398" s="97">
        <f>(24633.337-19229.147)*0.055</f>
        <v>297.23044999999991</v>
      </c>
      <c r="AC398" s="97">
        <f>(21346.036-17067.043)*0.055</f>
        <v>235.34461499999992</v>
      </c>
      <c r="AD398" s="97"/>
    </row>
    <row r="399" spans="1:30">
      <c r="A399" s="82" t="s">
        <v>165</v>
      </c>
      <c r="B399" s="87" t="s">
        <v>643</v>
      </c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>
        <v>0</v>
      </c>
      <c r="O399" s="85">
        <v>0</v>
      </c>
      <c r="P399" s="85">
        <v>0</v>
      </c>
      <c r="Q399" s="85">
        <v>0</v>
      </c>
      <c r="R399" s="85">
        <v>0</v>
      </c>
      <c r="S399" s="85">
        <v>0</v>
      </c>
      <c r="T399" s="95">
        <v>0</v>
      </c>
      <c r="U399" s="85">
        <v>0</v>
      </c>
      <c r="V399" s="85">
        <v>0</v>
      </c>
      <c r="W399" s="85">
        <v>0</v>
      </c>
      <c r="X399" s="85">
        <v>0</v>
      </c>
      <c r="Y399" s="85">
        <v>0</v>
      </c>
      <c r="Z399" s="85">
        <v>0</v>
      </c>
      <c r="AA399" s="85">
        <v>0</v>
      </c>
      <c r="AB399" s="85">
        <v>0</v>
      </c>
      <c r="AC399" s="85">
        <v>0</v>
      </c>
      <c r="AD399" s="85"/>
    </row>
    <row r="400" spans="1:30">
      <c r="A400" s="82" t="s">
        <v>669</v>
      </c>
      <c r="B400" s="83" t="s">
        <v>597</v>
      </c>
      <c r="C400" s="84" t="s">
        <v>680</v>
      </c>
      <c r="D400" s="84" t="s">
        <v>680</v>
      </c>
      <c r="E400" s="84" t="s">
        <v>680</v>
      </c>
      <c r="F400" s="84" t="s">
        <v>680</v>
      </c>
      <c r="G400" s="85">
        <v>0</v>
      </c>
      <c r="H400" s="85">
        <v>0</v>
      </c>
      <c r="I400" s="85">
        <f>15.5*0.02</f>
        <v>0.31</v>
      </c>
      <c r="J400" s="85">
        <f>15.5*0.02</f>
        <v>0.31</v>
      </c>
      <c r="K400" s="85">
        <f>15.5*0.02</f>
        <v>0.31</v>
      </c>
      <c r="L400" s="85">
        <f>66.22*0.02</f>
        <v>1.3244</v>
      </c>
      <c r="M400" s="85">
        <v>0</v>
      </c>
      <c r="N400" s="85">
        <f>34.71*0.02</f>
        <v>0.69420000000000004</v>
      </c>
      <c r="O400" s="85">
        <f>288.35*0.02</f>
        <v>5.7670000000000003</v>
      </c>
      <c r="P400" s="85">
        <f>91.48*0.02</f>
        <v>1.8296000000000001</v>
      </c>
      <c r="Q400" s="85">
        <f>318*0.02</f>
        <v>6.36</v>
      </c>
      <c r="R400" s="85">
        <f>66.44*0.02</f>
        <v>1.3288</v>
      </c>
      <c r="S400" s="85">
        <f>311.67*0.02</f>
        <v>6.2334000000000005</v>
      </c>
      <c r="T400" s="85">
        <f>190.93*0.02</f>
        <v>3.8186</v>
      </c>
      <c r="U400" s="85">
        <f>100.46*0.02</f>
        <v>2.0091999999999999</v>
      </c>
      <c r="V400" s="85">
        <f>108.82*0.02</f>
        <v>2.1764000000000001</v>
      </c>
      <c r="W400" s="85">
        <f>101.9*0.02</f>
        <v>2.0380000000000003</v>
      </c>
      <c r="X400" s="85">
        <f>123.63*0.02</f>
        <v>2.4725999999999999</v>
      </c>
      <c r="Y400" s="85">
        <f>110*0.02</f>
        <v>2.2000000000000002</v>
      </c>
      <c r="Z400" s="85">
        <f>99.92*0.02</f>
        <v>1.9984000000000002</v>
      </c>
      <c r="AA400" s="85">
        <f>106.52*0.02</f>
        <v>2.1303999999999998</v>
      </c>
      <c r="AB400" s="85">
        <f>90.976*0.02</f>
        <v>1.81952</v>
      </c>
      <c r="AC400" s="85">
        <f>34.52*0.02</f>
        <v>0.69040000000000012</v>
      </c>
      <c r="AD400" s="85"/>
    </row>
    <row r="401" spans="1:30">
      <c r="A401" s="82" t="s">
        <v>669</v>
      </c>
      <c r="B401" s="83" t="s">
        <v>600</v>
      </c>
      <c r="C401" s="84" t="s">
        <v>680</v>
      </c>
      <c r="D401" s="84" t="s">
        <v>680</v>
      </c>
      <c r="E401" s="84" t="s">
        <v>680</v>
      </c>
      <c r="F401" s="84" t="s">
        <v>680</v>
      </c>
      <c r="G401" s="85">
        <v>0</v>
      </c>
      <c r="H401" s="85">
        <v>0</v>
      </c>
      <c r="I401" s="85">
        <v>0</v>
      </c>
      <c r="J401" s="85">
        <v>0</v>
      </c>
      <c r="K401" s="85">
        <v>0</v>
      </c>
      <c r="L401" s="85">
        <v>0</v>
      </c>
      <c r="M401" s="85">
        <v>0</v>
      </c>
      <c r="N401" s="85">
        <v>0</v>
      </c>
      <c r="O401" s="85">
        <v>0</v>
      </c>
      <c r="P401" s="85">
        <v>0</v>
      </c>
      <c r="Q401" s="85">
        <f>0.14*0.022</f>
        <v>3.0800000000000003E-3</v>
      </c>
      <c r="R401" s="85">
        <f>0.12*0.022</f>
        <v>2.6399999999999996E-3</v>
      </c>
      <c r="S401" s="85">
        <v>0</v>
      </c>
      <c r="T401" s="85">
        <v>0</v>
      </c>
      <c r="U401" s="85">
        <v>0</v>
      </c>
      <c r="V401" s="85">
        <v>0</v>
      </c>
      <c r="W401" s="85">
        <v>0</v>
      </c>
      <c r="X401" s="85">
        <v>0</v>
      </c>
      <c r="Y401" s="85">
        <v>0</v>
      </c>
      <c r="Z401" s="85">
        <v>0</v>
      </c>
      <c r="AA401" s="85">
        <v>0</v>
      </c>
      <c r="AB401" s="85">
        <v>0</v>
      </c>
      <c r="AC401" s="85">
        <v>0</v>
      </c>
      <c r="AD401" s="85"/>
    </row>
    <row r="402" spans="1:30">
      <c r="A402" s="82" t="s">
        <v>669</v>
      </c>
      <c r="B402" s="83" t="s">
        <v>595</v>
      </c>
      <c r="C402" s="84" t="s">
        <v>680</v>
      </c>
      <c r="D402" s="84" t="s">
        <v>680</v>
      </c>
      <c r="E402" s="84" t="s">
        <v>680</v>
      </c>
      <c r="F402" s="84" t="s">
        <v>680</v>
      </c>
      <c r="G402" s="85">
        <v>0</v>
      </c>
      <c r="H402" s="85">
        <v>0</v>
      </c>
      <c r="I402" s="85">
        <f>1005.1*0.11</f>
        <v>110.56100000000001</v>
      </c>
      <c r="J402" s="85">
        <f>1092.6*0.11</f>
        <v>120.18599999999999</v>
      </c>
      <c r="K402" s="85">
        <f>1161.1*0.11</f>
        <v>127.72099999999999</v>
      </c>
      <c r="L402" s="85">
        <f>1406.68*0.11</f>
        <v>154.73480000000001</v>
      </c>
      <c r="M402" s="85">
        <f>1635.8*0.11</f>
        <v>179.93799999999999</v>
      </c>
      <c r="N402" s="85">
        <f>1526*0.11</f>
        <v>167.86</v>
      </c>
      <c r="O402" s="85">
        <f>1007.52*0.11</f>
        <v>110.8272</v>
      </c>
      <c r="P402" s="85">
        <f>874.24*0.11</f>
        <v>96.166399999999996</v>
      </c>
      <c r="Q402" s="85">
        <f>1186*0.11</f>
        <v>130.46</v>
      </c>
      <c r="R402" s="85">
        <f>1225.83*0.11</f>
        <v>134.84129999999999</v>
      </c>
      <c r="S402" s="85">
        <f>1009.91*0.11</f>
        <v>111.09009999999999</v>
      </c>
      <c r="T402" s="85">
        <f>1096.4*0.11</f>
        <v>120.60400000000001</v>
      </c>
      <c r="U402" s="85">
        <f>1300*0.11</f>
        <v>143</v>
      </c>
      <c r="V402" s="85">
        <f>843*0.11</f>
        <v>92.73</v>
      </c>
      <c r="W402" s="85">
        <f>420*0.11</f>
        <v>46.2</v>
      </c>
      <c r="X402" s="85">
        <f>560*0.11</f>
        <v>61.6</v>
      </c>
      <c r="Y402" s="85">
        <f>570*0.11</f>
        <v>62.7</v>
      </c>
      <c r="Z402" s="85">
        <f>560*0.11</f>
        <v>61.6</v>
      </c>
      <c r="AA402" s="85">
        <f>440*0.11</f>
        <v>48.4</v>
      </c>
      <c r="AB402" s="85">
        <f>220*0.11</f>
        <v>24.2</v>
      </c>
      <c r="AC402" s="85">
        <f>100*0.11</f>
        <v>11</v>
      </c>
      <c r="AD402" s="85"/>
    </row>
    <row r="403" spans="1:30">
      <c r="A403" s="82" t="s">
        <v>669</v>
      </c>
      <c r="B403" s="83" t="s">
        <v>596</v>
      </c>
      <c r="C403" s="84" t="s">
        <v>680</v>
      </c>
      <c r="D403" s="84" t="s">
        <v>680</v>
      </c>
      <c r="E403" s="84" t="s">
        <v>680</v>
      </c>
      <c r="F403" s="84" t="s">
        <v>680</v>
      </c>
      <c r="G403" s="85">
        <v>0</v>
      </c>
      <c r="H403" s="85">
        <v>0</v>
      </c>
      <c r="I403" s="85">
        <v>0</v>
      </c>
      <c r="J403" s="85">
        <v>0</v>
      </c>
      <c r="K403" s="85">
        <v>0</v>
      </c>
      <c r="L403" s="85">
        <f>17.68*0.065</f>
        <v>1.1492</v>
      </c>
      <c r="M403" s="85">
        <v>0</v>
      </c>
      <c r="N403" s="85">
        <v>0</v>
      </c>
      <c r="O403" s="85">
        <v>0</v>
      </c>
      <c r="P403" s="85">
        <v>0</v>
      </c>
      <c r="Q403" s="85">
        <v>0</v>
      </c>
      <c r="R403" s="85">
        <v>0</v>
      </c>
      <c r="S403" s="85">
        <f>64.12*0.065</f>
        <v>4.1678000000000006</v>
      </c>
      <c r="T403" s="85">
        <f>24.86*0.065</f>
        <v>1.6159000000000001</v>
      </c>
      <c r="U403" s="85">
        <f>6.41*0.065</f>
        <v>0.41665000000000002</v>
      </c>
      <c r="V403" s="85">
        <f>4.46*0.065</f>
        <v>0.28989999999999999</v>
      </c>
      <c r="W403" s="85">
        <v>0</v>
      </c>
      <c r="X403" s="85">
        <f>10.0368*0.065</f>
        <v>0.65239199999999997</v>
      </c>
      <c r="Y403" s="85">
        <f>6.41*0.065</f>
        <v>0.41665000000000002</v>
      </c>
      <c r="Z403" s="85">
        <f>8.2*0.065</f>
        <v>0.53299999999999992</v>
      </c>
      <c r="AA403" s="85">
        <f>6.41*0.065</f>
        <v>0.41665000000000002</v>
      </c>
      <c r="AB403" s="85">
        <v>0</v>
      </c>
      <c r="AC403" s="85">
        <f>6.41*0.065</f>
        <v>0.41665000000000002</v>
      </c>
      <c r="AD403" s="85"/>
    </row>
    <row r="404" spans="1:30">
      <c r="A404" s="82" t="s">
        <v>669</v>
      </c>
      <c r="B404" s="83" t="s">
        <v>594</v>
      </c>
      <c r="C404" s="84" t="s">
        <v>680</v>
      </c>
      <c r="D404" s="84" t="s">
        <v>680</v>
      </c>
      <c r="E404" s="84" t="s">
        <v>680</v>
      </c>
      <c r="F404" s="84" t="s">
        <v>680</v>
      </c>
      <c r="G404" s="85">
        <v>0</v>
      </c>
      <c r="H404" s="85">
        <v>0</v>
      </c>
      <c r="I404" s="85">
        <f>359.5*0.055</f>
        <v>19.772500000000001</v>
      </c>
      <c r="J404" s="85">
        <f>1772.66*0.055</f>
        <v>97.496300000000005</v>
      </c>
      <c r="K404" s="85">
        <f>1772.66*0.055</f>
        <v>97.496300000000005</v>
      </c>
      <c r="L404" s="85">
        <f>2127.19*0.055</f>
        <v>116.99545000000001</v>
      </c>
      <c r="M404" s="85">
        <f>2339.91*0.055</f>
        <v>128.69504999999998</v>
      </c>
      <c r="N404" s="85">
        <f>2387.81*0.055</f>
        <v>131.32955000000001</v>
      </c>
      <c r="O404" s="85">
        <f>3094*0.055</f>
        <v>170.17</v>
      </c>
      <c r="P404" s="85">
        <f>3668.35*0.055</f>
        <v>201.75925000000001</v>
      </c>
      <c r="Q404" s="85">
        <f>4327*0.055</f>
        <v>237.98500000000001</v>
      </c>
      <c r="R404" s="85">
        <f>5396.81*0.055</f>
        <v>296.82455000000004</v>
      </c>
      <c r="S404" s="85">
        <f>3909.64*0.055</f>
        <v>215.03020000000001</v>
      </c>
      <c r="T404" s="85">
        <f>3662.39*0.055</f>
        <v>201.43144999999998</v>
      </c>
      <c r="U404" s="85">
        <f>2977.06*0.055</f>
        <v>163.73830000000001</v>
      </c>
      <c r="V404" s="85">
        <f>2944.17*0.055</f>
        <v>161.92935</v>
      </c>
      <c r="W404" s="85">
        <f>1892.9*0.055</f>
        <v>104.10950000000001</v>
      </c>
      <c r="X404" s="85">
        <f>3267.524*0.055</f>
        <v>179.71382</v>
      </c>
      <c r="Y404" s="85">
        <f>3171*0.055</f>
        <v>174.405</v>
      </c>
      <c r="Z404" s="85">
        <f>3114.31*0.055</f>
        <v>171.28704999999999</v>
      </c>
      <c r="AA404" s="85">
        <f>2993.63*0.055</f>
        <v>164.64965000000001</v>
      </c>
      <c r="AB404" s="85">
        <f>2952.6032*0.055</f>
        <v>162.39317600000001</v>
      </c>
      <c r="AC404" s="85">
        <f>2913.7*0.055</f>
        <v>160.2535</v>
      </c>
      <c r="AD404" s="85"/>
    </row>
    <row r="405" spans="1:30">
      <c r="A405" s="82" t="s">
        <v>669</v>
      </c>
      <c r="B405" s="87" t="s">
        <v>643</v>
      </c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>
        <v>0</v>
      </c>
      <c r="O405" s="85">
        <v>0</v>
      </c>
      <c r="P405" s="85">
        <v>0</v>
      </c>
      <c r="Q405" s="85">
        <f>0.58*0.07</f>
        <v>4.0600000000000004E-2</v>
      </c>
      <c r="R405" s="85">
        <f>0.01*0.07</f>
        <v>7.000000000000001E-4</v>
      </c>
      <c r="S405" s="85">
        <f>13.96*0.07</f>
        <v>0.97720000000000018</v>
      </c>
      <c r="T405" s="85">
        <f>27.29*0.07</f>
        <v>1.9103000000000001</v>
      </c>
      <c r="U405" s="85">
        <f>19.37*0.07</f>
        <v>1.3559000000000001</v>
      </c>
      <c r="V405" s="85">
        <f>12.23*0.07</f>
        <v>0.85610000000000008</v>
      </c>
      <c r="W405" s="85">
        <f>4.55*0.07</f>
        <v>0.31850000000000001</v>
      </c>
      <c r="X405" s="85">
        <f>3.13*0.07</f>
        <v>0.21910000000000002</v>
      </c>
      <c r="Y405" s="85">
        <f>1*0.07</f>
        <v>7.0000000000000007E-2</v>
      </c>
      <c r="Z405" s="85">
        <f>2*0.07</f>
        <v>0.14000000000000001</v>
      </c>
      <c r="AA405" s="85">
        <f>2*0.07</f>
        <v>0.14000000000000001</v>
      </c>
      <c r="AB405" s="85">
        <v>0</v>
      </c>
      <c r="AC405" s="85">
        <v>0</v>
      </c>
      <c r="AD405" s="85"/>
    </row>
    <row r="406" spans="1:30">
      <c r="A406" s="82" t="s">
        <v>413</v>
      </c>
      <c r="B406" s="83" t="s">
        <v>597</v>
      </c>
      <c r="C406" s="85">
        <v>0</v>
      </c>
      <c r="D406" s="85">
        <v>0</v>
      </c>
      <c r="E406" s="85">
        <v>0</v>
      </c>
      <c r="F406" s="85">
        <v>0</v>
      </c>
      <c r="G406" s="85">
        <v>0</v>
      </c>
      <c r="H406" s="85">
        <v>0</v>
      </c>
      <c r="I406" s="85">
        <v>0</v>
      </c>
      <c r="J406" s="85">
        <v>0</v>
      </c>
      <c r="K406" s="85">
        <v>0</v>
      </c>
      <c r="L406" s="85"/>
      <c r="M406" s="85">
        <v>0</v>
      </c>
      <c r="N406" s="85">
        <v>0</v>
      </c>
      <c r="O406" s="85">
        <v>0</v>
      </c>
      <c r="P406" s="85">
        <v>0</v>
      </c>
      <c r="Q406" s="85">
        <v>0</v>
      </c>
      <c r="R406" s="85">
        <v>0</v>
      </c>
      <c r="S406" s="85">
        <v>0</v>
      </c>
      <c r="T406" s="85">
        <v>0</v>
      </c>
      <c r="U406" s="85">
        <v>0</v>
      </c>
      <c r="V406" s="85">
        <v>0</v>
      </c>
      <c r="W406" s="85">
        <v>0</v>
      </c>
      <c r="X406" s="85">
        <v>0</v>
      </c>
      <c r="Y406" s="85">
        <v>0</v>
      </c>
      <c r="Z406" s="85">
        <v>0</v>
      </c>
      <c r="AA406" s="85">
        <v>0</v>
      </c>
      <c r="AB406" s="85">
        <v>0</v>
      </c>
      <c r="AC406" s="85">
        <v>0</v>
      </c>
      <c r="AD406" s="85"/>
    </row>
    <row r="407" spans="1:30">
      <c r="A407" s="82" t="s">
        <v>413</v>
      </c>
      <c r="B407" s="83" t="s">
        <v>600</v>
      </c>
      <c r="C407" s="85">
        <v>0</v>
      </c>
      <c r="D407" s="85">
        <v>0</v>
      </c>
      <c r="E407" s="85">
        <v>0</v>
      </c>
      <c r="F407" s="85">
        <v>0</v>
      </c>
      <c r="G407" s="85">
        <v>0</v>
      </c>
      <c r="H407" s="85">
        <v>0</v>
      </c>
      <c r="I407" s="85">
        <v>0</v>
      </c>
      <c r="J407" s="85">
        <v>0</v>
      </c>
      <c r="K407" s="85">
        <v>0</v>
      </c>
      <c r="L407" s="85"/>
      <c r="M407" s="85">
        <v>0</v>
      </c>
      <c r="N407" s="85">
        <v>0</v>
      </c>
      <c r="O407" s="85">
        <v>0</v>
      </c>
      <c r="P407" s="85">
        <v>0</v>
      </c>
      <c r="Q407" s="85">
        <v>0</v>
      </c>
      <c r="R407" s="85">
        <v>0</v>
      </c>
      <c r="S407" s="85">
        <v>0</v>
      </c>
      <c r="T407" s="85">
        <v>0</v>
      </c>
      <c r="U407" s="85">
        <v>0</v>
      </c>
      <c r="V407" s="85">
        <v>0</v>
      </c>
      <c r="W407" s="85">
        <v>0</v>
      </c>
      <c r="X407" s="85">
        <v>0</v>
      </c>
      <c r="Y407" s="85">
        <f>0.6*0.022</f>
        <v>1.3199999999999998E-2</v>
      </c>
      <c r="Z407" s="85">
        <v>0</v>
      </c>
      <c r="AA407" s="85">
        <v>0</v>
      </c>
      <c r="AB407" s="85">
        <v>0</v>
      </c>
      <c r="AC407" s="85">
        <v>0</v>
      </c>
      <c r="AD407" s="85"/>
    </row>
    <row r="408" spans="1:30">
      <c r="A408" s="82" t="s">
        <v>413</v>
      </c>
      <c r="B408" s="83" t="s">
        <v>595</v>
      </c>
      <c r="C408" s="85">
        <v>0</v>
      </c>
      <c r="D408" s="85">
        <v>0</v>
      </c>
      <c r="E408" s="85">
        <v>0</v>
      </c>
      <c r="F408" s="85">
        <v>0</v>
      </c>
      <c r="G408" s="85">
        <v>0</v>
      </c>
      <c r="H408" s="85">
        <f>130*0.11</f>
        <v>14.3</v>
      </c>
      <c r="I408" s="85">
        <f>177.5*0.11</f>
        <v>19.524999999999999</v>
      </c>
      <c r="J408" s="85">
        <f>292*0.11</f>
        <v>32.119999999999997</v>
      </c>
      <c r="K408" s="85">
        <f>443*0.11</f>
        <v>48.73</v>
      </c>
      <c r="L408" s="85"/>
      <c r="M408" s="85">
        <f>791.28*0.11</f>
        <v>87.040800000000004</v>
      </c>
      <c r="N408" s="85">
        <f>894.09*0.11</f>
        <v>98.349900000000005</v>
      </c>
      <c r="O408" s="85">
        <f>924.8*0.11</f>
        <v>101.72799999999999</v>
      </c>
      <c r="P408" s="85">
        <f>1725.8*0.11</f>
        <v>189.83799999999999</v>
      </c>
      <c r="Q408" s="85">
        <f>1870.9*0.11</f>
        <v>205.79900000000001</v>
      </c>
      <c r="R408" s="85">
        <f>2071.54*0.11</f>
        <v>227.86939999999998</v>
      </c>
      <c r="S408" s="85">
        <f>1913.72*0.11</f>
        <v>210.50919999999999</v>
      </c>
      <c r="T408" s="85">
        <f>1906.46*0.11</f>
        <v>209.7106</v>
      </c>
      <c r="U408" s="85">
        <f>1805.97*0.11</f>
        <v>198.6567</v>
      </c>
      <c r="V408" s="85">
        <f>1777*0.11</f>
        <v>195.47</v>
      </c>
      <c r="W408" s="85">
        <f>1420*0.11</f>
        <v>156.19999999999999</v>
      </c>
      <c r="X408" s="85">
        <f>1020.18*0.11</f>
        <v>112.21979999999999</v>
      </c>
      <c r="Y408" s="85">
        <f>1024.08*0.11</f>
        <v>112.64879999999999</v>
      </c>
      <c r="Z408" s="85">
        <f>576.123*0.11</f>
        <v>63.373530000000002</v>
      </c>
      <c r="AA408" s="85">
        <f>50.88*0.11</f>
        <v>5.5968</v>
      </c>
      <c r="AB408" s="85">
        <f>732.154*0.11</f>
        <v>80.536940000000001</v>
      </c>
      <c r="AC408" s="85">
        <f>447.61*0.11</f>
        <v>49.237100000000005</v>
      </c>
      <c r="AD408" s="85"/>
    </row>
    <row r="409" spans="1:30">
      <c r="A409" s="82" t="s">
        <v>413</v>
      </c>
      <c r="B409" s="83" t="s">
        <v>596</v>
      </c>
      <c r="C409" s="85">
        <v>0</v>
      </c>
      <c r="D409" s="85">
        <v>0</v>
      </c>
      <c r="E409" s="85">
        <v>0</v>
      </c>
      <c r="F409" s="85">
        <v>0</v>
      </c>
      <c r="G409" s="85">
        <v>0</v>
      </c>
      <c r="H409" s="85">
        <v>0</v>
      </c>
      <c r="I409" s="85">
        <v>0</v>
      </c>
      <c r="J409" s="85">
        <v>0</v>
      </c>
      <c r="K409" s="85">
        <v>0</v>
      </c>
      <c r="L409" s="85"/>
      <c r="M409" s="85">
        <v>0</v>
      </c>
      <c r="N409" s="85">
        <v>0</v>
      </c>
      <c r="O409" s="85">
        <v>0</v>
      </c>
      <c r="P409" s="85">
        <v>0</v>
      </c>
      <c r="Q409" s="85">
        <v>0</v>
      </c>
      <c r="R409" s="85">
        <v>0</v>
      </c>
      <c r="S409" s="85">
        <v>0</v>
      </c>
      <c r="T409" s="85">
        <v>0</v>
      </c>
      <c r="U409" s="85">
        <v>0</v>
      </c>
      <c r="V409" s="85">
        <v>0</v>
      </c>
      <c r="W409" s="85">
        <v>0</v>
      </c>
      <c r="X409" s="85">
        <v>0</v>
      </c>
      <c r="Y409" s="85">
        <v>0</v>
      </c>
      <c r="Z409" s="85">
        <v>0</v>
      </c>
      <c r="AA409" s="85">
        <v>0</v>
      </c>
      <c r="AB409" s="85">
        <v>0</v>
      </c>
      <c r="AC409" s="85">
        <v>0</v>
      </c>
      <c r="AD409" s="85"/>
    </row>
    <row r="410" spans="1:30">
      <c r="A410" s="82" t="s">
        <v>413</v>
      </c>
      <c r="B410" s="83" t="s">
        <v>594</v>
      </c>
      <c r="C410" s="85">
        <f>240*0.055</f>
        <v>13.2</v>
      </c>
      <c r="D410" s="85">
        <f>200*0.055</f>
        <v>11</v>
      </c>
      <c r="E410" s="85">
        <f>350*0.055</f>
        <v>19.25</v>
      </c>
      <c r="F410" s="85">
        <f>370*0.055</f>
        <v>20.350000000000001</v>
      </c>
      <c r="G410" s="85">
        <f>250*0.055</f>
        <v>13.75</v>
      </c>
      <c r="H410" s="85">
        <f>350*0.055</f>
        <v>19.25</v>
      </c>
      <c r="I410" s="85">
        <f>1300*0.055</f>
        <v>71.5</v>
      </c>
      <c r="J410" s="85">
        <f>2211*0.055</f>
        <v>121.605</v>
      </c>
      <c r="K410" s="85">
        <f>830*0.055</f>
        <v>45.65</v>
      </c>
      <c r="L410" s="85"/>
      <c r="M410" s="85">
        <f>1322.7*0.055</f>
        <v>72.748500000000007</v>
      </c>
      <c r="N410" s="85">
        <f>1239.77*0.055</f>
        <v>68.187349999999995</v>
      </c>
      <c r="O410" s="85">
        <f>1630.82*0.055</f>
        <v>89.695099999999996</v>
      </c>
      <c r="P410" s="85">
        <f>1328.16*0.055</f>
        <v>73.0488</v>
      </c>
      <c r="Q410" s="85">
        <f>2841.75*0.055</f>
        <v>156.29625000000001</v>
      </c>
      <c r="R410" s="85">
        <f>3107.31*0.055</f>
        <v>170.90205</v>
      </c>
      <c r="S410" s="85">
        <f>(3024.98*0.055)</f>
        <v>166.37389999999999</v>
      </c>
      <c r="T410" s="85">
        <f>3029.06*0.055</f>
        <v>166.59829999999999</v>
      </c>
      <c r="U410" s="85">
        <f>2886.94*0.055</f>
        <v>158.7817</v>
      </c>
      <c r="V410" s="85">
        <f>2666.78*0.055</f>
        <v>146.6729</v>
      </c>
      <c r="W410" s="85">
        <f>2783.22*0.055</f>
        <v>153.0771</v>
      </c>
      <c r="X410" s="85">
        <f>2922.89*0.055</f>
        <v>160.75895</v>
      </c>
      <c r="Y410" s="85">
        <f>2120.275*0.055</f>
        <v>116.61512500000001</v>
      </c>
      <c r="Z410" s="85">
        <f>1810.639*0.055</f>
        <v>99.585144999999997</v>
      </c>
      <c r="AA410" s="85">
        <f>1058.09*0.055</f>
        <v>58.194949999999999</v>
      </c>
      <c r="AB410" s="85">
        <f>1511.466*0.055</f>
        <v>83.130629999999996</v>
      </c>
      <c r="AC410" s="85">
        <f>1356.37*0.055</f>
        <v>74.600349999999992</v>
      </c>
      <c r="AD410" s="85"/>
    </row>
    <row r="411" spans="1:30">
      <c r="A411" s="82" t="s">
        <v>413</v>
      </c>
      <c r="B411" s="87" t="s">
        <v>643</v>
      </c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>
        <v>0</v>
      </c>
      <c r="O411" s="85">
        <v>0</v>
      </c>
      <c r="P411" s="85">
        <v>0</v>
      </c>
      <c r="Q411" s="85">
        <v>0</v>
      </c>
      <c r="R411" s="85">
        <v>0</v>
      </c>
      <c r="S411" s="85">
        <v>0</v>
      </c>
      <c r="T411" s="85">
        <v>0</v>
      </c>
      <c r="U411" s="85">
        <v>0</v>
      </c>
      <c r="V411" s="85">
        <v>0</v>
      </c>
      <c r="W411" s="85">
        <v>0</v>
      </c>
      <c r="X411" s="85">
        <v>0</v>
      </c>
      <c r="Y411" s="85">
        <v>0</v>
      </c>
      <c r="Z411" s="85">
        <v>0</v>
      </c>
      <c r="AA411" s="85">
        <v>0</v>
      </c>
      <c r="AB411" s="85">
        <v>0</v>
      </c>
      <c r="AC411" s="85">
        <v>0</v>
      </c>
      <c r="AD411" s="85"/>
    </row>
    <row r="412" spans="1:30">
      <c r="A412" s="82" t="s">
        <v>364</v>
      </c>
      <c r="B412" s="83" t="s">
        <v>597</v>
      </c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>
        <v>0</v>
      </c>
      <c r="Q412" s="85">
        <v>0</v>
      </c>
      <c r="R412" s="85">
        <v>0</v>
      </c>
      <c r="S412" s="85">
        <v>0</v>
      </c>
      <c r="T412" s="85">
        <v>0</v>
      </c>
      <c r="U412" s="85">
        <v>0</v>
      </c>
      <c r="V412" s="85">
        <v>0</v>
      </c>
      <c r="W412" s="85">
        <v>0</v>
      </c>
      <c r="X412" s="85">
        <v>0</v>
      </c>
      <c r="Y412" s="85">
        <v>0</v>
      </c>
      <c r="Z412" s="85">
        <v>0</v>
      </c>
      <c r="AA412" s="85">
        <v>0</v>
      </c>
      <c r="AB412" s="85">
        <v>0</v>
      </c>
      <c r="AC412" s="85">
        <v>0</v>
      </c>
      <c r="AD412" s="85"/>
    </row>
    <row r="413" spans="1:30">
      <c r="A413" s="82" t="s">
        <v>364</v>
      </c>
      <c r="B413" s="83" t="s">
        <v>600</v>
      </c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>
        <v>0</v>
      </c>
      <c r="Q413" s="85">
        <v>0</v>
      </c>
      <c r="R413" s="85">
        <f>4.65*0.022</f>
        <v>0.1023</v>
      </c>
      <c r="S413" s="85">
        <v>0</v>
      </c>
      <c r="T413" s="85">
        <v>0</v>
      </c>
      <c r="U413" s="85">
        <v>0</v>
      </c>
      <c r="V413" s="85">
        <v>0</v>
      </c>
      <c r="W413" s="85">
        <v>0</v>
      </c>
      <c r="X413" s="85">
        <v>0</v>
      </c>
      <c r="Y413" s="85">
        <v>0</v>
      </c>
      <c r="Z413" s="85">
        <v>0</v>
      </c>
      <c r="AA413" s="85">
        <v>0</v>
      </c>
      <c r="AB413" s="85">
        <v>0</v>
      </c>
      <c r="AC413" s="85">
        <v>0</v>
      </c>
      <c r="AD413" s="85"/>
    </row>
    <row r="414" spans="1:30">
      <c r="A414" s="82" t="s">
        <v>364</v>
      </c>
      <c r="B414" s="83" t="s">
        <v>595</v>
      </c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>
        <v>0</v>
      </c>
      <c r="Q414" s="85">
        <v>0</v>
      </c>
      <c r="R414" s="85">
        <v>0</v>
      </c>
      <c r="S414" s="85">
        <v>0</v>
      </c>
      <c r="T414" s="85">
        <v>0</v>
      </c>
      <c r="U414" s="85">
        <v>0</v>
      </c>
      <c r="V414" s="85">
        <v>0</v>
      </c>
      <c r="W414" s="85">
        <v>0</v>
      </c>
      <c r="X414" s="85">
        <v>0</v>
      </c>
      <c r="Y414" s="85">
        <v>0</v>
      </c>
      <c r="Z414" s="85">
        <v>0</v>
      </c>
      <c r="AA414" s="85">
        <v>0</v>
      </c>
      <c r="AB414" s="85">
        <v>0</v>
      </c>
      <c r="AC414" s="85">
        <v>0</v>
      </c>
      <c r="AD414" s="85"/>
    </row>
    <row r="415" spans="1:30">
      <c r="A415" s="82" t="s">
        <v>364</v>
      </c>
      <c r="B415" s="83" t="s">
        <v>596</v>
      </c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>
        <v>0</v>
      </c>
      <c r="Q415" s="85">
        <v>0</v>
      </c>
      <c r="R415" s="85">
        <f>2.79*0.065</f>
        <v>0.18135000000000001</v>
      </c>
      <c r="S415" s="85">
        <v>0</v>
      </c>
      <c r="T415" s="85">
        <v>0</v>
      </c>
      <c r="U415" s="85">
        <v>0</v>
      </c>
      <c r="V415" s="85">
        <v>0</v>
      </c>
      <c r="W415" s="85">
        <v>0</v>
      </c>
      <c r="X415" s="85">
        <v>0</v>
      </c>
      <c r="Y415" s="85">
        <v>0</v>
      </c>
      <c r="Z415" s="85">
        <v>0</v>
      </c>
      <c r="AA415" s="85">
        <v>0</v>
      </c>
      <c r="AB415" s="85">
        <v>0</v>
      </c>
      <c r="AC415" s="85">
        <v>0</v>
      </c>
      <c r="AD415" s="85"/>
    </row>
    <row r="416" spans="1:30">
      <c r="A416" s="82" t="s">
        <v>364</v>
      </c>
      <c r="B416" s="83" t="s">
        <v>594</v>
      </c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>
        <f>1938.2*0.055</f>
        <v>106.601</v>
      </c>
      <c r="Q416" s="85">
        <f>2017.45*0.055</f>
        <v>110.95975</v>
      </c>
      <c r="R416" s="85">
        <f>1918.96*0.055</f>
        <v>105.5428</v>
      </c>
      <c r="S416" s="85">
        <f>2008*0.055</f>
        <v>110.44</v>
      </c>
      <c r="T416" s="85">
        <f>2040*0.055</f>
        <v>112.2</v>
      </c>
      <c r="U416" s="85">
        <f>1850*0.055</f>
        <v>101.75</v>
      </c>
      <c r="V416" s="85">
        <f>1760.5*0.055</f>
        <v>96.827500000000001</v>
      </c>
      <c r="W416" s="85">
        <f>1698*0.055</f>
        <v>93.39</v>
      </c>
      <c r="X416" s="85">
        <f>1695*0.055</f>
        <v>93.224999999999994</v>
      </c>
      <c r="Y416" s="85">
        <f>1664*0.055</f>
        <v>91.52</v>
      </c>
      <c r="Z416" s="85">
        <f>1685*0.055</f>
        <v>92.674999999999997</v>
      </c>
      <c r="AA416" s="85">
        <f>1698*0.055</f>
        <v>93.39</v>
      </c>
      <c r="AB416" s="85">
        <f>1207*0.055</f>
        <v>66.385000000000005</v>
      </c>
      <c r="AC416" s="85">
        <f>1207*0.055</f>
        <v>66.385000000000005</v>
      </c>
      <c r="AD416" s="85"/>
    </row>
    <row r="417" spans="1:30">
      <c r="A417" s="82" t="s">
        <v>364</v>
      </c>
      <c r="B417" s="87" t="s">
        <v>643</v>
      </c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>
        <v>0</v>
      </c>
      <c r="Q417" s="85">
        <v>0</v>
      </c>
      <c r="R417" s="85">
        <v>0</v>
      </c>
      <c r="S417" s="85">
        <v>0</v>
      </c>
      <c r="T417" s="85">
        <v>0</v>
      </c>
      <c r="U417" s="85">
        <v>0</v>
      </c>
      <c r="V417" s="85">
        <v>0</v>
      </c>
      <c r="W417" s="85">
        <v>0</v>
      </c>
      <c r="X417" s="85">
        <v>0</v>
      </c>
      <c r="Y417" s="85">
        <v>0</v>
      </c>
      <c r="Z417" s="85">
        <v>0</v>
      </c>
      <c r="AA417" s="85">
        <v>0</v>
      </c>
      <c r="AB417" s="85">
        <v>0</v>
      </c>
      <c r="AC417" s="85">
        <v>0</v>
      </c>
      <c r="AD417" s="85"/>
    </row>
    <row r="418" spans="1:30">
      <c r="A418" s="82" t="s">
        <v>667</v>
      </c>
      <c r="B418" s="83" t="s">
        <v>597</v>
      </c>
      <c r="C418" s="85">
        <v>0</v>
      </c>
      <c r="D418" s="85">
        <v>0</v>
      </c>
      <c r="E418" s="85">
        <v>0</v>
      </c>
      <c r="F418" s="85">
        <v>0</v>
      </c>
      <c r="G418" s="85">
        <v>0</v>
      </c>
      <c r="H418" s="85">
        <v>0</v>
      </c>
      <c r="I418" s="85">
        <f>8.18*0.02</f>
        <v>0.1636</v>
      </c>
      <c r="J418" s="85">
        <v>0</v>
      </c>
      <c r="K418" s="85">
        <v>0</v>
      </c>
      <c r="L418" s="85">
        <v>0</v>
      </c>
      <c r="M418" s="85">
        <v>0</v>
      </c>
      <c r="N418" s="85">
        <v>0</v>
      </c>
      <c r="O418" s="85">
        <v>0</v>
      </c>
      <c r="P418" s="85">
        <v>0</v>
      </c>
      <c r="Q418" s="85">
        <v>0</v>
      </c>
      <c r="R418" s="85">
        <v>0</v>
      </c>
      <c r="S418" s="85">
        <v>0</v>
      </c>
      <c r="T418" s="85">
        <v>0</v>
      </c>
      <c r="U418" s="85">
        <f>0.64*0.02</f>
        <v>1.2800000000000001E-2</v>
      </c>
      <c r="V418" s="85">
        <v>0</v>
      </c>
      <c r="W418" s="85">
        <v>0</v>
      </c>
      <c r="X418" s="85">
        <f>0.715*0.02</f>
        <v>1.43E-2</v>
      </c>
      <c r="Y418" s="85">
        <v>0</v>
      </c>
      <c r="Z418" s="85">
        <v>0</v>
      </c>
      <c r="AA418" s="85">
        <v>0</v>
      </c>
      <c r="AB418" s="85">
        <v>0</v>
      </c>
      <c r="AC418" s="85">
        <v>0</v>
      </c>
      <c r="AD418" s="85"/>
    </row>
    <row r="419" spans="1:30">
      <c r="A419" s="82" t="s">
        <v>667</v>
      </c>
      <c r="B419" s="83" t="s">
        <v>600</v>
      </c>
      <c r="C419" s="85">
        <v>0</v>
      </c>
      <c r="D419" s="85">
        <v>0</v>
      </c>
      <c r="E419" s="85">
        <v>0</v>
      </c>
      <c r="F419" s="85">
        <v>0</v>
      </c>
      <c r="G419" s="85">
        <v>0</v>
      </c>
      <c r="H419" s="85">
        <v>0</v>
      </c>
      <c r="I419" s="85">
        <v>0</v>
      </c>
      <c r="J419" s="85">
        <v>0</v>
      </c>
      <c r="K419" s="85">
        <v>0</v>
      </c>
      <c r="L419" s="85">
        <v>0</v>
      </c>
      <c r="M419" s="85">
        <v>0</v>
      </c>
      <c r="N419" s="85">
        <v>0</v>
      </c>
      <c r="O419" s="85">
        <v>0</v>
      </c>
      <c r="P419" s="85">
        <v>0</v>
      </c>
      <c r="Q419" s="85">
        <v>0</v>
      </c>
      <c r="R419" s="85">
        <v>0</v>
      </c>
      <c r="S419" s="85">
        <v>0</v>
      </c>
      <c r="T419" s="85">
        <v>0</v>
      </c>
      <c r="U419" s="85">
        <v>0</v>
      </c>
      <c r="V419" s="85">
        <v>0</v>
      </c>
      <c r="W419" s="85">
        <f>0.278*0.022</f>
        <v>6.1159999999999999E-3</v>
      </c>
      <c r="X419" s="85">
        <v>0</v>
      </c>
      <c r="Y419" s="85">
        <v>0</v>
      </c>
      <c r="Z419" s="85">
        <v>0</v>
      </c>
      <c r="AA419" s="85">
        <v>0</v>
      </c>
      <c r="AB419" s="85">
        <v>0</v>
      </c>
      <c r="AC419" s="85">
        <v>0</v>
      </c>
      <c r="AD419" s="85"/>
    </row>
    <row r="420" spans="1:30">
      <c r="A420" s="82" t="s">
        <v>667</v>
      </c>
      <c r="B420" s="83" t="s">
        <v>595</v>
      </c>
      <c r="C420" s="85">
        <v>0</v>
      </c>
      <c r="D420" s="85">
        <v>0</v>
      </c>
      <c r="E420" s="85">
        <v>0</v>
      </c>
      <c r="F420" s="85">
        <v>0</v>
      </c>
      <c r="G420" s="85">
        <v>0</v>
      </c>
      <c r="H420" s="85">
        <v>0</v>
      </c>
      <c r="I420" s="85">
        <v>0</v>
      </c>
      <c r="J420" s="85">
        <v>0</v>
      </c>
      <c r="K420" s="85">
        <v>0</v>
      </c>
      <c r="L420" s="85">
        <v>0</v>
      </c>
      <c r="M420" s="85">
        <v>0</v>
      </c>
      <c r="N420" s="85">
        <v>0</v>
      </c>
      <c r="O420" s="85">
        <v>0</v>
      </c>
      <c r="P420" s="85">
        <v>0</v>
      </c>
      <c r="Q420" s="85">
        <f>34*0.11</f>
        <v>3.74</v>
      </c>
      <c r="R420" s="85">
        <f>32*0.11</f>
        <v>3.52</v>
      </c>
      <c r="S420" s="85">
        <f>23.8*0.11</f>
        <v>2.6179999999999999</v>
      </c>
      <c r="T420" s="85">
        <v>0</v>
      </c>
      <c r="U420" s="85">
        <v>0</v>
      </c>
      <c r="V420" s="85">
        <v>0</v>
      </c>
      <c r="W420" s="85">
        <v>0</v>
      </c>
      <c r="X420" s="85">
        <v>0</v>
      </c>
      <c r="Y420" s="85">
        <v>0</v>
      </c>
      <c r="Z420" s="85">
        <v>0</v>
      </c>
      <c r="AA420" s="85">
        <v>0</v>
      </c>
      <c r="AB420" s="85">
        <v>0</v>
      </c>
      <c r="AC420" s="85">
        <v>0</v>
      </c>
      <c r="AD420" s="85"/>
    </row>
    <row r="421" spans="1:30">
      <c r="A421" s="82" t="s">
        <v>667</v>
      </c>
      <c r="B421" s="83" t="s">
        <v>700</v>
      </c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>
        <f>28*0.11</f>
        <v>3.08</v>
      </c>
      <c r="U421" s="85">
        <v>0</v>
      </c>
      <c r="V421" s="85">
        <v>0</v>
      </c>
      <c r="W421" s="85">
        <v>0</v>
      </c>
      <c r="X421" s="85">
        <v>0</v>
      </c>
      <c r="Y421" s="85">
        <v>0</v>
      </c>
      <c r="Z421" s="85">
        <v>0</v>
      </c>
      <c r="AA421" s="85">
        <v>0</v>
      </c>
      <c r="AB421" s="85">
        <v>0</v>
      </c>
      <c r="AC421" s="85">
        <v>0</v>
      </c>
      <c r="AD421" s="85"/>
    </row>
    <row r="422" spans="1:30">
      <c r="A422" s="82" t="s">
        <v>667</v>
      </c>
      <c r="B422" s="83" t="s">
        <v>596</v>
      </c>
      <c r="C422" s="85">
        <v>0</v>
      </c>
      <c r="D422" s="85">
        <v>0</v>
      </c>
      <c r="E422" s="85">
        <v>0</v>
      </c>
      <c r="F422" s="85">
        <v>0</v>
      </c>
      <c r="G422" s="85">
        <v>0</v>
      </c>
      <c r="H422" s="85">
        <v>0</v>
      </c>
      <c r="I422" s="85">
        <v>0</v>
      </c>
      <c r="J422" s="85">
        <v>0</v>
      </c>
      <c r="K422" s="85">
        <v>0</v>
      </c>
      <c r="L422" s="85">
        <v>0</v>
      </c>
      <c r="M422" s="85">
        <v>0</v>
      </c>
      <c r="N422" s="85">
        <v>0</v>
      </c>
      <c r="O422" s="85">
        <v>0</v>
      </c>
      <c r="P422" s="85">
        <v>0</v>
      </c>
      <c r="Q422" s="85">
        <v>0</v>
      </c>
      <c r="R422" s="85">
        <f>0.17*0.065</f>
        <v>1.1050000000000001E-2</v>
      </c>
      <c r="S422" s="85">
        <v>0</v>
      </c>
      <c r="T422" s="85">
        <v>0</v>
      </c>
      <c r="U422" s="85">
        <v>0</v>
      </c>
      <c r="V422" s="85">
        <v>0</v>
      </c>
      <c r="W422" s="85">
        <v>0</v>
      </c>
      <c r="X422" s="85">
        <v>0</v>
      </c>
      <c r="Y422" s="85">
        <v>0</v>
      </c>
      <c r="Z422" s="85">
        <v>0</v>
      </c>
      <c r="AA422" s="85">
        <v>0</v>
      </c>
      <c r="AB422" s="85">
        <v>0</v>
      </c>
      <c r="AC422" s="85">
        <v>0</v>
      </c>
      <c r="AD422" s="85"/>
    </row>
    <row r="423" spans="1:30">
      <c r="A423" s="82" t="s">
        <v>667</v>
      </c>
      <c r="B423" s="83" t="s">
        <v>594</v>
      </c>
      <c r="C423" s="85">
        <f>71.6*0.055</f>
        <v>3.9379999999999997</v>
      </c>
      <c r="D423" s="85">
        <f>77.9*0.055</f>
        <v>4.2845000000000004</v>
      </c>
      <c r="E423" s="85">
        <f>84.5*0.055</f>
        <v>4.6475</v>
      </c>
      <c r="F423" s="85">
        <f>(95.21-2.18)*0.055</f>
        <v>5.116649999999999</v>
      </c>
      <c r="G423" s="85">
        <f>162.44*0.055</f>
        <v>8.9342000000000006</v>
      </c>
      <c r="H423" s="85">
        <f>119.36*0.055</f>
        <v>6.5648</v>
      </c>
      <c r="I423" s="85">
        <f>202.18*0.055</f>
        <v>11.119900000000001</v>
      </c>
      <c r="J423" s="85">
        <f>115.09*0.055</f>
        <v>6.3299500000000002</v>
      </c>
      <c r="K423" s="85">
        <f>81.4*0.055</f>
        <v>4.4770000000000003</v>
      </c>
      <c r="L423" s="85">
        <f>102.69*0.055</f>
        <v>5.6479499999999998</v>
      </c>
      <c r="M423" s="85">
        <v>0</v>
      </c>
      <c r="N423" s="85">
        <v>0.66659999999999997</v>
      </c>
      <c r="O423" s="85">
        <f>25.38*0.055</f>
        <v>1.3958999999999999</v>
      </c>
      <c r="P423" s="85">
        <f>125.78*0.055</f>
        <v>6.9179000000000004</v>
      </c>
      <c r="Q423" s="85">
        <f>263.61*0.055</f>
        <v>14.498550000000002</v>
      </c>
      <c r="R423" s="85">
        <f>197.59*0.055</f>
        <v>10.86745</v>
      </c>
      <c r="S423" s="85">
        <f>34.9*0.055</f>
        <v>1.9195</v>
      </c>
      <c r="T423" s="85">
        <f>58.55*0.055</f>
        <v>3.2202500000000001</v>
      </c>
      <c r="U423" s="85">
        <f>47.62*0.055</f>
        <v>2.6191</v>
      </c>
      <c r="V423" s="85">
        <f>42.89*0.055</f>
        <v>2.3589500000000001</v>
      </c>
      <c r="W423" s="85">
        <f>146.375*0.055</f>
        <v>8.0506250000000001</v>
      </c>
      <c r="X423" s="85">
        <f>145.527*0.055</f>
        <v>8.0039850000000001</v>
      </c>
      <c r="Y423" s="85">
        <f>149.832*0.055</f>
        <v>8.2407599999999999</v>
      </c>
      <c r="Z423" s="85">
        <f>181.291*0.055</f>
        <v>9.9710049999999999</v>
      </c>
      <c r="AA423" s="85">
        <f>51.98*0.055</f>
        <v>2.8588999999999998</v>
      </c>
      <c r="AB423" s="85">
        <f>90.45*0.055</f>
        <v>4.9747500000000002</v>
      </c>
      <c r="AC423" s="85">
        <f>19.68*0.055</f>
        <v>1.0824</v>
      </c>
      <c r="AD423" s="85"/>
    </row>
    <row r="424" spans="1:30">
      <c r="A424" s="82" t="s">
        <v>667</v>
      </c>
      <c r="B424" s="87" t="s">
        <v>643</v>
      </c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>
        <v>0</v>
      </c>
      <c r="O424" s="85">
        <v>0</v>
      </c>
      <c r="P424" s="85">
        <v>0</v>
      </c>
      <c r="Q424" s="85">
        <v>0</v>
      </c>
      <c r="R424" s="85">
        <v>0</v>
      </c>
      <c r="S424" s="85">
        <v>0</v>
      </c>
      <c r="T424" s="85">
        <v>0</v>
      </c>
      <c r="U424" s="85">
        <v>0</v>
      </c>
      <c r="V424" s="85">
        <v>0</v>
      </c>
      <c r="W424" s="85">
        <v>0</v>
      </c>
      <c r="X424" s="85">
        <v>0</v>
      </c>
      <c r="Y424" s="85">
        <v>0</v>
      </c>
      <c r="Z424" s="85">
        <v>0</v>
      </c>
      <c r="AA424" s="85">
        <v>0</v>
      </c>
      <c r="AB424" s="85">
        <v>0</v>
      </c>
      <c r="AC424" s="85">
        <v>0</v>
      </c>
      <c r="AD424" s="85"/>
    </row>
    <row r="425" spans="1:30">
      <c r="A425" s="82" t="s">
        <v>668</v>
      </c>
      <c r="B425" s="83" t="s">
        <v>597</v>
      </c>
      <c r="C425" s="85">
        <v>0</v>
      </c>
      <c r="D425" s="85">
        <v>0</v>
      </c>
      <c r="E425" s="85">
        <v>0</v>
      </c>
      <c r="F425" s="85">
        <v>0</v>
      </c>
      <c r="G425" s="85">
        <v>0</v>
      </c>
      <c r="H425" s="85">
        <v>0</v>
      </c>
      <c r="I425" s="85">
        <v>0</v>
      </c>
      <c r="J425" s="85">
        <v>0</v>
      </c>
      <c r="K425" s="85">
        <v>0</v>
      </c>
      <c r="L425" s="85">
        <v>0</v>
      </c>
      <c r="M425" s="85">
        <v>0</v>
      </c>
      <c r="N425" s="85">
        <v>0</v>
      </c>
      <c r="O425" s="85">
        <v>0</v>
      </c>
      <c r="P425" s="85">
        <v>0</v>
      </c>
      <c r="Q425" s="85">
        <v>0</v>
      </c>
      <c r="R425" s="85">
        <v>0</v>
      </c>
      <c r="S425" s="85">
        <v>0</v>
      </c>
      <c r="T425" s="85">
        <v>0</v>
      </c>
      <c r="U425" s="85">
        <v>0</v>
      </c>
      <c r="V425" s="85">
        <v>0</v>
      </c>
      <c r="W425" s="85">
        <v>0</v>
      </c>
      <c r="X425" s="85">
        <v>0</v>
      </c>
      <c r="Y425" s="85">
        <v>0</v>
      </c>
      <c r="Z425" s="85">
        <v>0</v>
      </c>
      <c r="AA425" s="85">
        <v>0</v>
      </c>
      <c r="AB425" s="85">
        <v>0</v>
      </c>
      <c r="AC425" s="85">
        <v>0</v>
      </c>
      <c r="AD425" s="85"/>
    </row>
    <row r="426" spans="1:30">
      <c r="A426" s="82" t="s">
        <v>668</v>
      </c>
      <c r="B426" s="83" t="s">
        <v>600</v>
      </c>
      <c r="C426" s="85">
        <v>0</v>
      </c>
      <c r="D426" s="85">
        <v>0</v>
      </c>
      <c r="E426" s="85">
        <v>0</v>
      </c>
      <c r="F426" s="85">
        <v>0</v>
      </c>
      <c r="G426" s="85">
        <v>0</v>
      </c>
      <c r="H426" s="85">
        <v>0</v>
      </c>
      <c r="I426" s="85">
        <v>0</v>
      </c>
      <c r="J426" s="85">
        <v>0</v>
      </c>
      <c r="K426" s="85">
        <v>0</v>
      </c>
      <c r="L426" s="85">
        <v>0</v>
      </c>
      <c r="M426" s="85">
        <v>0</v>
      </c>
      <c r="N426" s="85">
        <v>0</v>
      </c>
      <c r="O426" s="85">
        <v>0</v>
      </c>
      <c r="P426" s="85">
        <v>0</v>
      </c>
      <c r="Q426" s="85">
        <v>0</v>
      </c>
      <c r="R426" s="85">
        <v>0</v>
      </c>
      <c r="S426" s="85">
        <v>0</v>
      </c>
      <c r="T426" s="85">
        <v>0</v>
      </c>
      <c r="U426" s="85">
        <v>0</v>
      </c>
      <c r="V426" s="85">
        <v>0</v>
      </c>
      <c r="W426" s="85">
        <v>0</v>
      </c>
      <c r="X426" s="85">
        <v>0</v>
      </c>
      <c r="Y426" s="85">
        <v>0</v>
      </c>
      <c r="Z426" s="85">
        <v>0</v>
      </c>
      <c r="AA426" s="85">
        <v>0</v>
      </c>
      <c r="AB426" s="85">
        <v>0</v>
      </c>
      <c r="AC426" s="85">
        <v>0</v>
      </c>
      <c r="AD426" s="85"/>
    </row>
    <row r="427" spans="1:30">
      <c r="A427" s="82" t="s">
        <v>668</v>
      </c>
      <c r="B427" s="83" t="s">
        <v>595</v>
      </c>
      <c r="C427" s="85">
        <v>0</v>
      </c>
      <c r="D427" s="85">
        <v>0</v>
      </c>
      <c r="E427" s="85">
        <f>15*0.11</f>
        <v>1.65</v>
      </c>
      <c r="F427" s="85">
        <v>0</v>
      </c>
      <c r="G427" s="85">
        <f>45*0.11</f>
        <v>4.95</v>
      </c>
      <c r="H427" s="85">
        <f>140*0.11</f>
        <v>15.4</v>
      </c>
      <c r="I427" s="85">
        <f>210*0.11</f>
        <v>23.1</v>
      </c>
      <c r="J427" s="85">
        <f>160*0.11</f>
        <v>17.600000000000001</v>
      </c>
      <c r="K427" s="85">
        <f>150*0.11</f>
        <v>16.5</v>
      </c>
      <c r="L427" s="85">
        <f>100*0.11</f>
        <v>11</v>
      </c>
      <c r="M427" s="85">
        <f>120*0.11</f>
        <v>13.2</v>
      </c>
      <c r="N427" s="85">
        <v>13.75</v>
      </c>
      <c r="O427" s="85">
        <f>175*0.11</f>
        <v>19.25</v>
      </c>
      <c r="P427" s="85">
        <f>190*0.11</f>
        <v>20.9</v>
      </c>
      <c r="Q427" s="85">
        <f>207*0.11</f>
        <v>22.77</v>
      </c>
      <c r="R427" s="85">
        <f>316.3*0.11</f>
        <v>34.792999999999999</v>
      </c>
      <c r="S427" s="85">
        <f>335*0.11</f>
        <v>36.85</v>
      </c>
      <c r="T427" s="85">
        <f>350*0.11</f>
        <v>38.5</v>
      </c>
      <c r="U427" s="85">
        <f>160*0.11</f>
        <v>17.600000000000001</v>
      </c>
      <c r="V427" s="85">
        <f>169.1*0.11</f>
        <v>18.600999999999999</v>
      </c>
      <c r="W427" s="85">
        <f>170.1*0.11</f>
        <v>18.710999999999999</v>
      </c>
      <c r="X427" s="85">
        <v>0</v>
      </c>
      <c r="Y427" s="85">
        <v>0</v>
      </c>
      <c r="Z427" s="85">
        <v>0</v>
      </c>
      <c r="AA427" s="85">
        <f>60*0.11</f>
        <v>6.6</v>
      </c>
      <c r="AB427" s="85">
        <v>0</v>
      </c>
      <c r="AC427" s="85">
        <v>0</v>
      </c>
      <c r="AD427" s="85"/>
    </row>
    <row r="428" spans="1:30">
      <c r="A428" s="82" t="s">
        <v>668</v>
      </c>
      <c r="B428" s="83" t="s">
        <v>700</v>
      </c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>
        <f>120*0.11</f>
        <v>13.2</v>
      </c>
      <c r="R428" s="85">
        <f>153.2*0.11</f>
        <v>16.852</v>
      </c>
      <c r="S428" s="85">
        <f>165*0.11</f>
        <v>18.149999999999999</v>
      </c>
      <c r="T428" s="85">
        <f>174*0.11</f>
        <v>19.14</v>
      </c>
      <c r="U428" s="85">
        <f>80*0.11</f>
        <v>8.8000000000000007</v>
      </c>
      <c r="V428" s="85">
        <f>150*0.11</f>
        <v>16.5</v>
      </c>
      <c r="W428" s="85">
        <f>180*0.11</f>
        <v>19.8</v>
      </c>
      <c r="X428" s="85">
        <f>225*0.11</f>
        <v>24.75</v>
      </c>
      <c r="Y428" s="85">
        <f>235.7*0.11</f>
        <v>25.927</v>
      </c>
      <c r="Z428" s="85">
        <f>220.13*0.11</f>
        <v>24.214299999999998</v>
      </c>
      <c r="AA428" s="85">
        <f>226.19*0.11</f>
        <v>24.8809</v>
      </c>
      <c r="AB428" s="85">
        <f>240*0.11</f>
        <v>26.4</v>
      </c>
      <c r="AC428" s="85">
        <f>387.34*0.11</f>
        <v>42.607399999999998</v>
      </c>
      <c r="AD428" s="85"/>
    </row>
    <row r="429" spans="1:30">
      <c r="A429" s="82" t="s">
        <v>668</v>
      </c>
      <c r="B429" s="83" t="s">
        <v>596</v>
      </c>
      <c r="C429" s="85">
        <v>0</v>
      </c>
      <c r="D429" s="85">
        <v>0</v>
      </c>
      <c r="E429" s="85">
        <v>0</v>
      </c>
      <c r="F429" s="85">
        <v>0</v>
      </c>
      <c r="G429" s="85">
        <v>0</v>
      </c>
      <c r="H429" s="85">
        <v>0</v>
      </c>
      <c r="I429" s="85">
        <v>0</v>
      </c>
      <c r="J429" s="85">
        <v>0</v>
      </c>
      <c r="K429" s="85">
        <v>0</v>
      </c>
      <c r="L429" s="85">
        <v>0</v>
      </c>
      <c r="M429" s="85">
        <v>0</v>
      </c>
      <c r="N429" s="85">
        <v>0</v>
      </c>
      <c r="O429" s="85">
        <f>5*0.065</f>
        <v>0.32500000000000001</v>
      </c>
      <c r="P429" s="85">
        <f>7*0.065</f>
        <v>0.45500000000000002</v>
      </c>
      <c r="Q429" s="85">
        <f>9*0.065</f>
        <v>0.58499999999999996</v>
      </c>
      <c r="R429" s="85">
        <v>0</v>
      </c>
      <c r="S429" s="85">
        <v>0</v>
      </c>
      <c r="T429" s="85">
        <v>0</v>
      </c>
      <c r="U429" s="85">
        <v>0</v>
      </c>
      <c r="V429" s="85">
        <v>0</v>
      </c>
      <c r="W429" s="85">
        <v>0</v>
      </c>
      <c r="X429" s="85">
        <v>0</v>
      </c>
      <c r="Y429" s="85">
        <v>0</v>
      </c>
      <c r="Z429" s="85">
        <v>0</v>
      </c>
      <c r="AA429" s="85">
        <v>0</v>
      </c>
      <c r="AB429" s="85">
        <v>0</v>
      </c>
      <c r="AC429" s="85">
        <v>0</v>
      </c>
      <c r="AD429" s="85"/>
    </row>
    <row r="430" spans="1:30">
      <c r="A430" s="82" t="s">
        <v>668</v>
      </c>
      <c r="B430" s="83" t="s">
        <v>594</v>
      </c>
      <c r="C430" s="85">
        <f>75*0.055</f>
        <v>4.125</v>
      </c>
      <c r="D430" s="85">
        <f>70*0.055</f>
        <v>3.85</v>
      </c>
      <c r="E430" s="85">
        <f>60*0.055</f>
        <v>3.3</v>
      </c>
      <c r="F430" s="85">
        <f>60*0.055</f>
        <v>3.3</v>
      </c>
      <c r="G430" s="85">
        <f>120*0.055</f>
        <v>6.6</v>
      </c>
      <c r="H430" s="85">
        <f>143*0.055</f>
        <v>7.8650000000000002</v>
      </c>
      <c r="I430" s="85">
        <f>150*0.055</f>
        <v>8.25</v>
      </c>
      <c r="J430" s="85">
        <f>248*0.055</f>
        <v>13.64</v>
      </c>
      <c r="K430" s="85">
        <f>205*0.055</f>
        <v>11.275</v>
      </c>
      <c r="L430" s="85">
        <f>130*0.055</f>
        <v>7.15</v>
      </c>
      <c r="M430" s="85">
        <f>276*0.055</f>
        <v>15.18</v>
      </c>
      <c r="N430" s="85">
        <v>32.89</v>
      </c>
      <c r="O430" s="85">
        <f>657*0.055</f>
        <v>36.134999999999998</v>
      </c>
      <c r="P430" s="85">
        <f>685*0.055</f>
        <v>37.674999999999997</v>
      </c>
      <c r="Q430" s="85">
        <f>875*0.055</f>
        <v>48.125</v>
      </c>
      <c r="R430" s="85">
        <f>1095.5*0.055</f>
        <v>60.252499999999998</v>
      </c>
      <c r="S430" s="85">
        <f>1172*0.055</f>
        <v>64.459999999999994</v>
      </c>
      <c r="T430" s="85">
        <f>1222*0.055</f>
        <v>67.209999999999994</v>
      </c>
      <c r="U430" s="85">
        <f>760*0.055</f>
        <v>41.8</v>
      </c>
      <c r="V430" s="85">
        <f>747.57*0.055</f>
        <v>41.116350000000004</v>
      </c>
      <c r="W430" s="85">
        <f>1005*0.055</f>
        <v>55.274999999999999</v>
      </c>
      <c r="X430" s="85">
        <f>(776.15-13.6)*0.055</f>
        <v>41.940249999999999</v>
      </c>
      <c r="Y430" s="85">
        <f>(459.32-30.46)*0.055</f>
        <v>23.587300000000003</v>
      </c>
      <c r="Z430" s="85">
        <f>468.09*0.055</f>
        <v>25.744949999999999</v>
      </c>
      <c r="AA430" s="85">
        <f>305*0.055</f>
        <v>16.774999999999999</v>
      </c>
      <c r="AB430" s="85">
        <f>530*0.055</f>
        <v>29.15</v>
      </c>
      <c r="AC430" s="85">
        <f>166.53*0.055</f>
        <v>9.1591500000000003</v>
      </c>
      <c r="AD430" s="85"/>
    </row>
    <row r="431" spans="1:30">
      <c r="A431" s="82" t="s">
        <v>668</v>
      </c>
      <c r="B431" s="87" t="s">
        <v>643</v>
      </c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>
        <v>0</v>
      </c>
      <c r="O431" s="85">
        <v>0</v>
      </c>
      <c r="P431" s="85">
        <v>0</v>
      </c>
      <c r="Q431" s="85">
        <v>0</v>
      </c>
      <c r="R431" s="85">
        <v>0</v>
      </c>
      <c r="S431" s="85">
        <v>0</v>
      </c>
      <c r="T431" s="85">
        <v>0</v>
      </c>
      <c r="U431" s="85">
        <v>0</v>
      </c>
      <c r="V431" s="85">
        <v>0</v>
      </c>
      <c r="W431" s="85">
        <v>0</v>
      </c>
      <c r="X431" s="85">
        <v>0</v>
      </c>
      <c r="Y431" s="85">
        <v>0</v>
      </c>
      <c r="Z431" s="85">
        <v>0</v>
      </c>
      <c r="AA431" s="85">
        <v>0</v>
      </c>
      <c r="AB431" s="85">
        <v>0</v>
      </c>
      <c r="AC431" s="85">
        <v>0</v>
      </c>
      <c r="AD431" s="85"/>
    </row>
    <row r="432" spans="1:30">
      <c r="A432" s="82" t="s">
        <v>103</v>
      </c>
      <c r="B432" s="83" t="s">
        <v>597</v>
      </c>
      <c r="C432" s="85">
        <v>0</v>
      </c>
      <c r="D432" s="85">
        <f>22.3*0.02</f>
        <v>0.44600000000000001</v>
      </c>
      <c r="E432" s="85">
        <f>55*0.02</f>
        <v>1.1000000000000001</v>
      </c>
      <c r="F432" s="85">
        <f>67.5*0.02</f>
        <v>1.35</v>
      </c>
      <c r="G432" s="85">
        <f>85*0.02</f>
        <v>1.7</v>
      </c>
      <c r="H432" s="85">
        <f>97.4*0.02</f>
        <v>1.9480000000000002</v>
      </c>
      <c r="I432" s="85">
        <f>111.7*0.02</f>
        <v>2.234</v>
      </c>
      <c r="J432" s="85">
        <f>122.9*0.02</f>
        <v>2.4580000000000002</v>
      </c>
      <c r="K432" s="85">
        <f>127.5*0.02</f>
        <v>2.5500000000000003</v>
      </c>
      <c r="L432" s="85">
        <v>0</v>
      </c>
      <c r="M432" s="85">
        <v>0</v>
      </c>
      <c r="N432" s="85">
        <v>0</v>
      </c>
      <c r="O432" s="85">
        <v>0</v>
      </c>
      <c r="P432" s="85">
        <v>0</v>
      </c>
      <c r="Q432" s="85">
        <v>0</v>
      </c>
      <c r="R432" s="85">
        <v>0</v>
      </c>
      <c r="S432" s="85">
        <v>0</v>
      </c>
      <c r="T432" s="85">
        <v>0</v>
      </c>
      <c r="U432" s="85">
        <v>0</v>
      </c>
      <c r="V432" s="85">
        <v>0</v>
      </c>
      <c r="W432" s="85">
        <v>0</v>
      </c>
      <c r="X432" s="85">
        <v>0</v>
      </c>
      <c r="Y432" s="85">
        <v>0</v>
      </c>
      <c r="Z432" s="85">
        <v>0</v>
      </c>
      <c r="AA432" s="85">
        <v>0</v>
      </c>
      <c r="AB432" s="85">
        <v>0</v>
      </c>
      <c r="AC432" s="85">
        <v>0</v>
      </c>
      <c r="AD432" s="85"/>
    </row>
    <row r="433" spans="1:30">
      <c r="A433" s="82" t="s">
        <v>103</v>
      </c>
      <c r="B433" s="83" t="s">
        <v>600</v>
      </c>
      <c r="C433" s="85">
        <v>0</v>
      </c>
      <c r="D433" s="85">
        <v>0</v>
      </c>
      <c r="E433" s="85">
        <v>0</v>
      </c>
      <c r="F433" s="85">
        <v>0</v>
      </c>
      <c r="G433" s="85">
        <v>0</v>
      </c>
      <c r="H433" s="85">
        <v>0</v>
      </c>
      <c r="I433" s="85">
        <v>0</v>
      </c>
      <c r="J433" s="85">
        <v>0</v>
      </c>
      <c r="K433" s="85">
        <v>0</v>
      </c>
      <c r="L433" s="85">
        <v>0</v>
      </c>
      <c r="M433" s="85">
        <v>0</v>
      </c>
      <c r="N433" s="85">
        <v>0</v>
      </c>
      <c r="O433" s="85">
        <v>0</v>
      </c>
      <c r="P433" s="85">
        <v>0</v>
      </c>
      <c r="Q433" s="85">
        <v>0</v>
      </c>
      <c r="R433" s="85">
        <v>0</v>
      </c>
      <c r="S433" s="85">
        <v>0</v>
      </c>
      <c r="T433" s="85">
        <v>0</v>
      </c>
      <c r="U433" s="85">
        <v>0</v>
      </c>
      <c r="V433" s="85">
        <v>0</v>
      </c>
      <c r="W433" s="85">
        <v>0</v>
      </c>
      <c r="X433" s="85">
        <v>0</v>
      </c>
      <c r="Y433" s="85">
        <v>0</v>
      </c>
      <c r="Z433" s="85">
        <v>0</v>
      </c>
      <c r="AA433" s="85">
        <v>0</v>
      </c>
      <c r="AB433" s="85">
        <v>0</v>
      </c>
      <c r="AC433" s="85">
        <v>0</v>
      </c>
      <c r="AD433" s="85"/>
    </row>
    <row r="434" spans="1:30">
      <c r="A434" s="82" t="s">
        <v>103</v>
      </c>
      <c r="B434" s="83" t="s">
        <v>595</v>
      </c>
      <c r="C434" s="85">
        <v>0</v>
      </c>
      <c r="D434" s="85">
        <v>0</v>
      </c>
      <c r="E434" s="85">
        <v>0</v>
      </c>
      <c r="F434" s="85">
        <v>0</v>
      </c>
      <c r="G434" s="85">
        <v>0</v>
      </c>
      <c r="H434" s="85">
        <v>0</v>
      </c>
      <c r="I434" s="85">
        <v>0</v>
      </c>
      <c r="J434" s="85">
        <v>0</v>
      </c>
      <c r="K434" s="85">
        <f>32.7*0.11</f>
        <v>3.5970000000000004</v>
      </c>
      <c r="L434" s="85">
        <f>30.33*0.11</f>
        <v>3.3363</v>
      </c>
      <c r="M434" s="85">
        <f>30*0.11</f>
        <v>3.3</v>
      </c>
      <c r="N434" s="85">
        <f>31*0.11</f>
        <v>3.41</v>
      </c>
      <c r="O434" s="85">
        <f>30.5*0.11</f>
        <v>3.355</v>
      </c>
      <c r="P434" s="85">
        <f>30*0.11</f>
        <v>3.3</v>
      </c>
      <c r="Q434" s="85">
        <v>0</v>
      </c>
      <c r="R434" s="85">
        <v>0</v>
      </c>
      <c r="S434" s="85">
        <v>0</v>
      </c>
      <c r="T434" s="85">
        <v>0</v>
      </c>
      <c r="U434" s="85">
        <v>0</v>
      </c>
      <c r="V434" s="85">
        <v>0</v>
      </c>
      <c r="W434" s="85">
        <v>0</v>
      </c>
      <c r="X434" s="85">
        <v>0</v>
      </c>
      <c r="Y434" s="85">
        <v>0</v>
      </c>
      <c r="Z434" s="85">
        <v>0</v>
      </c>
      <c r="AA434" s="85">
        <v>0</v>
      </c>
      <c r="AB434" s="85">
        <v>0</v>
      </c>
      <c r="AC434" s="85">
        <v>0</v>
      </c>
      <c r="AD434" s="85"/>
    </row>
    <row r="435" spans="1:30">
      <c r="A435" s="82" t="s">
        <v>103</v>
      </c>
      <c r="B435" s="83" t="s">
        <v>700</v>
      </c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>
        <v>0</v>
      </c>
      <c r="R435" s="85">
        <v>0</v>
      </c>
      <c r="S435" s="85">
        <v>0</v>
      </c>
      <c r="T435" s="85">
        <v>0</v>
      </c>
      <c r="U435" s="85">
        <v>0</v>
      </c>
      <c r="V435" s="85">
        <v>0</v>
      </c>
      <c r="W435" s="85">
        <v>0</v>
      </c>
      <c r="X435" s="85">
        <v>0</v>
      </c>
      <c r="Y435" s="85">
        <v>0</v>
      </c>
      <c r="Z435" s="85">
        <v>0</v>
      </c>
      <c r="AA435" s="85">
        <v>0</v>
      </c>
      <c r="AB435" s="85">
        <v>0</v>
      </c>
      <c r="AC435" s="85">
        <v>0</v>
      </c>
      <c r="AD435" s="85"/>
    </row>
    <row r="436" spans="1:30">
      <c r="A436" s="82" t="s">
        <v>103</v>
      </c>
      <c r="B436" s="83" t="s">
        <v>596</v>
      </c>
      <c r="C436" s="85">
        <v>0</v>
      </c>
      <c r="D436" s="85">
        <v>0</v>
      </c>
      <c r="E436" s="85">
        <v>0</v>
      </c>
      <c r="F436" s="85">
        <v>0</v>
      </c>
      <c r="G436" s="85">
        <v>0</v>
      </c>
      <c r="H436" s="85">
        <v>0</v>
      </c>
      <c r="I436" s="85">
        <v>0</v>
      </c>
      <c r="J436" s="85">
        <v>0</v>
      </c>
      <c r="K436" s="85">
        <v>0</v>
      </c>
      <c r="L436" s="85">
        <v>0</v>
      </c>
      <c r="M436" s="85">
        <v>0</v>
      </c>
      <c r="N436" s="85">
        <v>0</v>
      </c>
      <c r="O436" s="85">
        <v>0</v>
      </c>
      <c r="P436" s="85">
        <v>0</v>
      </c>
      <c r="Q436" s="85">
        <v>0</v>
      </c>
      <c r="R436" s="85">
        <v>0</v>
      </c>
      <c r="S436" s="85">
        <v>0</v>
      </c>
      <c r="T436" s="85">
        <v>0</v>
      </c>
      <c r="U436" s="85">
        <v>0</v>
      </c>
      <c r="V436" s="85">
        <v>0</v>
      </c>
      <c r="W436" s="85">
        <v>0</v>
      </c>
      <c r="X436" s="85">
        <v>0</v>
      </c>
      <c r="Y436" s="85">
        <v>0</v>
      </c>
      <c r="Z436" s="85">
        <v>0</v>
      </c>
      <c r="AA436" s="85">
        <v>0</v>
      </c>
      <c r="AB436" s="85">
        <v>0</v>
      </c>
      <c r="AC436" s="85">
        <v>0</v>
      </c>
      <c r="AD436" s="85"/>
    </row>
    <row r="437" spans="1:30">
      <c r="A437" s="82" t="s">
        <v>103</v>
      </c>
      <c r="B437" s="83" t="s">
        <v>594</v>
      </c>
      <c r="C437" s="85">
        <f>105.1*0.055</f>
        <v>5.7805</v>
      </c>
      <c r="D437" s="85">
        <f>(216+7.32)*0.055</f>
        <v>12.2826</v>
      </c>
      <c r="E437" s="85">
        <f>(242.7+7.564)*0.055</f>
        <v>13.764519999999999</v>
      </c>
      <c r="F437" s="85">
        <f>(293.7+7.32)*0.055</f>
        <v>16.556100000000001</v>
      </c>
      <c r="G437" s="85">
        <f>(320+9.76)*0.055</f>
        <v>18.136800000000001</v>
      </c>
      <c r="H437" s="85">
        <f>(357.6+11.0776)*0.055</f>
        <v>20.277268000000003</v>
      </c>
      <c r="I437" s="85">
        <f>(372.3+7.5152)*0.055</f>
        <v>20.889835999999999</v>
      </c>
      <c r="J437" s="85">
        <f>(395.7+7.3688)*0.055</f>
        <v>22.168784000000002</v>
      </c>
      <c r="K437" s="85">
        <f>(401.3+11.6144)*0.055</f>
        <v>22.710291999999999</v>
      </c>
      <c r="L437" s="85">
        <f>(426.41+11.019)*0.055</f>
        <v>24.058595</v>
      </c>
      <c r="M437" s="85">
        <f>549.51*0.055</f>
        <v>30.223050000000001</v>
      </c>
      <c r="N437" s="85">
        <f>710.41*0.055</f>
        <v>39.07255</v>
      </c>
      <c r="O437" s="85">
        <f>820.13*0.055</f>
        <v>45.107149999999997</v>
      </c>
      <c r="P437" s="85">
        <f>991.21*0.055</f>
        <v>54.516550000000002</v>
      </c>
      <c r="Q437" s="85">
        <f>995*0.055</f>
        <v>54.725000000000001</v>
      </c>
      <c r="R437" s="85">
        <f>901.31*0.055</f>
        <v>49.572049999999997</v>
      </c>
      <c r="S437" s="85">
        <f>39.85*0.055</f>
        <v>2.1917500000000003</v>
      </c>
      <c r="T437" s="85">
        <f>770*0.055</f>
        <v>42.35</v>
      </c>
      <c r="U437" s="85">
        <f>529.8*0.055</f>
        <v>29.138999999999999</v>
      </c>
      <c r="V437" s="85">
        <f>450.88*0.055</f>
        <v>24.798400000000001</v>
      </c>
      <c r="W437" s="85">
        <f>374.62*0.055</f>
        <v>20.604099999999999</v>
      </c>
      <c r="X437" s="85">
        <f>274*0.055</f>
        <v>15.07</v>
      </c>
      <c r="Y437" s="85">
        <f>102.97*0.055</f>
        <v>5.6633500000000003</v>
      </c>
      <c r="Z437" s="85">
        <f>81.68*0.055</f>
        <v>4.4924000000000008</v>
      </c>
      <c r="AA437" s="85">
        <f>108.267*0.055</f>
        <v>5.9546849999999996</v>
      </c>
      <c r="AB437" s="85">
        <f>117.01*0.055</f>
        <v>6.4355500000000001</v>
      </c>
      <c r="AC437" s="85">
        <f>77.18*0.055</f>
        <v>4.2449000000000003</v>
      </c>
      <c r="AD437" s="85"/>
    </row>
    <row r="438" spans="1:30">
      <c r="A438" s="82" t="s">
        <v>103</v>
      </c>
      <c r="B438" s="87" t="s">
        <v>643</v>
      </c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>
        <v>0</v>
      </c>
      <c r="O438" s="85">
        <v>0</v>
      </c>
      <c r="P438" s="85">
        <v>0</v>
      </c>
      <c r="Q438" s="85">
        <v>0</v>
      </c>
      <c r="R438" s="85">
        <v>0</v>
      </c>
      <c r="S438" s="85">
        <v>0</v>
      </c>
      <c r="T438" s="85">
        <v>0</v>
      </c>
      <c r="U438" s="85">
        <v>0</v>
      </c>
      <c r="V438" s="85">
        <v>0</v>
      </c>
      <c r="W438" s="85">
        <v>0</v>
      </c>
      <c r="X438" s="85">
        <v>0</v>
      </c>
      <c r="Y438" s="85">
        <v>0</v>
      </c>
      <c r="Z438" s="85">
        <v>0</v>
      </c>
      <c r="AA438" s="85">
        <v>0</v>
      </c>
      <c r="AB438" s="85">
        <v>0</v>
      </c>
      <c r="AC438" s="85">
        <v>0</v>
      </c>
      <c r="AD438" s="85"/>
    </row>
    <row r="439" spans="1:30">
      <c r="A439" s="82" t="s">
        <v>104</v>
      </c>
      <c r="B439" s="83" t="s">
        <v>597</v>
      </c>
      <c r="C439" s="84" t="s">
        <v>680</v>
      </c>
      <c r="D439" s="84" t="s">
        <v>680</v>
      </c>
      <c r="E439" s="84" t="s">
        <v>680</v>
      </c>
      <c r="F439" s="84" t="s">
        <v>680</v>
      </c>
      <c r="G439" s="88">
        <v>0</v>
      </c>
      <c r="H439" s="88">
        <v>0</v>
      </c>
      <c r="I439" s="88">
        <v>0</v>
      </c>
      <c r="J439" s="88">
        <v>0</v>
      </c>
      <c r="K439" s="88">
        <v>0</v>
      </c>
      <c r="L439" s="88">
        <v>0</v>
      </c>
      <c r="M439" s="88">
        <v>0</v>
      </c>
      <c r="N439" s="88">
        <v>0</v>
      </c>
      <c r="O439" s="85">
        <f>0.136*0.02</f>
        <v>2.7200000000000002E-3</v>
      </c>
      <c r="P439" s="85">
        <v>0</v>
      </c>
      <c r="Q439" s="85">
        <v>0</v>
      </c>
      <c r="R439" s="85">
        <v>0</v>
      </c>
      <c r="S439" s="85">
        <v>0</v>
      </c>
      <c r="T439" s="85">
        <v>0</v>
      </c>
      <c r="U439" s="85">
        <v>0</v>
      </c>
      <c r="V439" s="85">
        <v>0</v>
      </c>
      <c r="W439" s="85">
        <v>0</v>
      </c>
      <c r="X439" s="85">
        <v>0</v>
      </c>
      <c r="Y439" s="88">
        <v>0</v>
      </c>
      <c r="Z439" s="88">
        <v>0</v>
      </c>
      <c r="AA439" s="88">
        <v>0</v>
      </c>
      <c r="AB439" s="88">
        <v>0</v>
      </c>
      <c r="AC439" s="88">
        <v>0</v>
      </c>
      <c r="AD439" s="88"/>
    </row>
    <row r="440" spans="1:30">
      <c r="A440" s="82" t="s">
        <v>104</v>
      </c>
      <c r="B440" s="83" t="s">
        <v>600</v>
      </c>
      <c r="C440" s="84" t="s">
        <v>680</v>
      </c>
      <c r="D440" s="84" t="s">
        <v>680</v>
      </c>
      <c r="E440" s="84" t="s">
        <v>680</v>
      </c>
      <c r="F440" s="84" t="s">
        <v>680</v>
      </c>
      <c r="G440" s="85">
        <v>0</v>
      </c>
      <c r="H440" s="85">
        <v>0</v>
      </c>
      <c r="I440" s="85">
        <v>0</v>
      </c>
      <c r="J440" s="85">
        <v>0</v>
      </c>
      <c r="K440" s="85">
        <v>0</v>
      </c>
      <c r="L440" s="85">
        <v>0</v>
      </c>
      <c r="M440" s="85">
        <v>0</v>
      </c>
      <c r="N440" s="85">
        <v>0</v>
      </c>
      <c r="O440" s="85">
        <v>0</v>
      </c>
      <c r="P440" s="85">
        <v>0</v>
      </c>
      <c r="Q440" s="85">
        <v>0</v>
      </c>
      <c r="R440" s="85">
        <v>0</v>
      </c>
      <c r="S440" s="85">
        <v>0</v>
      </c>
      <c r="T440" s="85">
        <v>0</v>
      </c>
      <c r="U440" s="85">
        <v>0</v>
      </c>
      <c r="V440" s="85">
        <v>0</v>
      </c>
      <c r="W440" s="85">
        <v>0</v>
      </c>
      <c r="X440" s="85">
        <v>0</v>
      </c>
      <c r="Y440" s="88">
        <f>0.13*0.022</f>
        <v>2.8600000000000001E-3</v>
      </c>
      <c r="Z440" s="88">
        <v>0</v>
      </c>
      <c r="AA440" s="88">
        <v>0</v>
      </c>
      <c r="AB440" s="88">
        <v>0</v>
      </c>
      <c r="AC440" s="88">
        <v>0</v>
      </c>
      <c r="AD440" s="88"/>
    </row>
    <row r="441" spans="1:30">
      <c r="A441" s="82" t="s">
        <v>104</v>
      </c>
      <c r="B441" s="83" t="s">
        <v>595</v>
      </c>
      <c r="C441" s="84" t="s">
        <v>680</v>
      </c>
      <c r="D441" s="84" t="s">
        <v>680</v>
      </c>
      <c r="E441" s="84" t="s">
        <v>680</v>
      </c>
      <c r="F441" s="84" t="s">
        <v>680</v>
      </c>
      <c r="G441" s="88">
        <v>0</v>
      </c>
      <c r="H441" s="88">
        <v>0</v>
      </c>
      <c r="I441" s="88">
        <v>0</v>
      </c>
      <c r="J441" s="88">
        <v>0</v>
      </c>
      <c r="K441" s="88">
        <v>0</v>
      </c>
      <c r="L441" s="88">
        <v>0</v>
      </c>
      <c r="M441" s="88">
        <v>0</v>
      </c>
      <c r="N441" s="88">
        <v>0</v>
      </c>
      <c r="O441" s="85">
        <v>0</v>
      </c>
      <c r="P441" s="85">
        <v>0</v>
      </c>
      <c r="Q441" s="85">
        <v>0</v>
      </c>
      <c r="R441" s="85">
        <v>0</v>
      </c>
      <c r="S441" s="85">
        <v>0</v>
      </c>
      <c r="T441" s="85">
        <v>0</v>
      </c>
      <c r="U441" s="85">
        <v>0</v>
      </c>
      <c r="V441" s="85">
        <v>0</v>
      </c>
      <c r="W441" s="85">
        <v>0</v>
      </c>
      <c r="X441" s="85">
        <v>0</v>
      </c>
      <c r="Y441" s="88">
        <v>0</v>
      </c>
      <c r="Z441" s="88">
        <v>0</v>
      </c>
      <c r="AA441" s="88">
        <v>0</v>
      </c>
      <c r="AB441" s="88">
        <v>0</v>
      </c>
      <c r="AC441" s="88">
        <v>0</v>
      </c>
      <c r="AD441" s="88"/>
    </row>
    <row r="442" spans="1:30">
      <c r="A442" s="82" t="s">
        <v>104</v>
      </c>
      <c r="B442" s="83" t="s">
        <v>596</v>
      </c>
      <c r="C442" s="84" t="s">
        <v>680</v>
      </c>
      <c r="D442" s="84" t="s">
        <v>680</v>
      </c>
      <c r="E442" s="84" t="s">
        <v>680</v>
      </c>
      <c r="F442" s="84" t="s">
        <v>680</v>
      </c>
      <c r="G442" s="88">
        <v>0</v>
      </c>
      <c r="H442" s="88">
        <v>0</v>
      </c>
      <c r="I442" s="88">
        <v>0</v>
      </c>
      <c r="J442" s="88">
        <f>0.0112*0.065</f>
        <v>7.2800000000000002E-4</v>
      </c>
      <c r="K442" s="88">
        <v>0</v>
      </c>
      <c r="L442" s="88">
        <v>0</v>
      </c>
      <c r="M442" s="88">
        <v>0</v>
      </c>
      <c r="N442" s="88">
        <v>0</v>
      </c>
      <c r="O442" s="85">
        <v>0</v>
      </c>
      <c r="P442" s="85">
        <v>0</v>
      </c>
      <c r="Q442" s="85">
        <v>0</v>
      </c>
      <c r="R442" s="85">
        <v>0</v>
      </c>
      <c r="S442" s="85">
        <v>0</v>
      </c>
      <c r="T442" s="85">
        <v>0</v>
      </c>
      <c r="U442" s="85">
        <v>0</v>
      </c>
      <c r="V442" s="85">
        <v>0</v>
      </c>
      <c r="W442" s="85">
        <v>0</v>
      </c>
      <c r="X442" s="85">
        <v>0</v>
      </c>
      <c r="Y442" s="88">
        <v>0</v>
      </c>
      <c r="Z442" s="88">
        <v>0</v>
      </c>
      <c r="AA442" s="88">
        <v>0</v>
      </c>
      <c r="AB442" s="88">
        <v>0</v>
      </c>
      <c r="AC442" s="88">
        <v>0</v>
      </c>
      <c r="AD442" s="88"/>
    </row>
    <row r="443" spans="1:30">
      <c r="A443" s="82" t="s">
        <v>104</v>
      </c>
      <c r="B443" s="83" t="s">
        <v>594</v>
      </c>
      <c r="C443" s="84" t="s">
        <v>680</v>
      </c>
      <c r="D443" s="84" t="s">
        <v>680</v>
      </c>
      <c r="E443" s="84" t="s">
        <v>680</v>
      </c>
      <c r="F443" s="84" t="s">
        <v>680</v>
      </c>
      <c r="G443" s="88">
        <f>0.4546*0.055</f>
        <v>2.5003000000000001E-2</v>
      </c>
      <c r="H443" s="88">
        <f>0.512*0.055</f>
        <v>2.8160000000000001E-2</v>
      </c>
      <c r="I443" s="88">
        <f>0.4712*0.055</f>
        <v>2.5916000000000002E-2</v>
      </c>
      <c r="J443" s="88">
        <f>0.4974*0.055</f>
        <v>2.7356999999999999E-2</v>
      </c>
      <c r="K443" s="88">
        <f>0.69*0.055</f>
        <v>3.7949999999999998E-2</v>
      </c>
      <c r="L443" s="88">
        <f>0.11*0.055</f>
        <v>6.0499999999999998E-3</v>
      </c>
      <c r="M443" s="88">
        <f>0.7*0.055</f>
        <v>3.85E-2</v>
      </c>
      <c r="N443" s="88">
        <f>0.9*0.055</f>
        <v>4.9500000000000002E-2</v>
      </c>
      <c r="O443" s="85">
        <f>1.3315*0.055</f>
        <v>7.3232499999999992E-2</v>
      </c>
      <c r="P443" s="85">
        <f>3.69*0.055</f>
        <v>0.20294999999999999</v>
      </c>
      <c r="Q443" s="85">
        <f>0.68*0.055</f>
        <v>3.7400000000000003E-2</v>
      </c>
      <c r="R443" s="85">
        <f>1.2*0.055</f>
        <v>6.6000000000000003E-2</v>
      </c>
      <c r="S443" s="88">
        <f>0.09*0.055</f>
        <v>4.9499999999999995E-3</v>
      </c>
      <c r="T443" s="85">
        <f>0.514*0.055</f>
        <v>2.827E-2</v>
      </c>
      <c r="U443" s="85">
        <f>0.6032*0.055</f>
        <v>3.3175999999999997E-2</v>
      </c>
      <c r="V443" s="85">
        <v>0</v>
      </c>
      <c r="W443" s="88">
        <f>0.08237*0.055</f>
        <v>4.5303499999999998E-3</v>
      </c>
      <c r="X443" s="88">
        <f>0.4368*0.055</f>
        <v>2.4024E-2</v>
      </c>
      <c r="Y443" s="88">
        <f>0.264*0.055</f>
        <v>1.452E-2</v>
      </c>
      <c r="Z443" s="98">
        <f>0.22*0.055</f>
        <v>1.21E-2</v>
      </c>
      <c r="AA443" s="88">
        <f>0.454*0.055</f>
        <v>2.4970000000000003E-2</v>
      </c>
      <c r="AB443" s="88">
        <f>0.068*0.055</f>
        <v>3.7400000000000003E-3</v>
      </c>
      <c r="AC443" s="88">
        <f>0.014*0.055</f>
        <v>7.7000000000000007E-4</v>
      </c>
      <c r="AD443" s="88"/>
    </row>
    <row r="444" spans="1:30">
      <c r="A444" s="82" t="s">
        <v>104</v>
      </c>
      <c r="B444" s="87" t="s">
        <v>643</v>
      </c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>
        <v>0</v>
      </c>
      <c r="O444" s="85">
        <v>0</v>
      </c>
      <c r="P444" s="85">
        <v>0</v>
      </c>
      <c r="Q444" s="85">
        <v>0</v>
      </c>
      <c r="R444" s="85">
        <v>0</v>
      </c>
      <c r="S444" s="85">
        <v>0</v>
      </c>
      <c r="T444" s="85">
        <v>0</v>
      </c>
      <c r="U444" s="85">
        <v>0</v>
      </c>
      <c r="V444" s="85">
        <v>0</v>
      </c>
      <c r="W444" s="85">
        <v>0</v>
      </c>
      <c r="X444" s="85">
        <v>0</v>
      </c>
      <c r="Y444" s="88">
        <v>0</v>
      </c>
      <c r="Z444" s="88">
        <v>0</v>
      </c>
      <c r="AA444" s="88">
        <v>0</v>
      </c>
      <c r="AB444" s="88">
        <v>0</v>
      </c>
      <c r="AC444" s="88">
        <v>0</v>
      </c>
      <c r="AD444" s="88"/>
    </row>
    <row r="445" spans="1:30">
      <c r="A445" s="82" t="s">
        <v>105</v>
      </c>
      <c r="B445" s="83" t="s">
        <v>597</v>
      </c>
      <c r="C445" s="84" t="s">
        <v>680</v>
      </c>
      <c r="D445" s="84" t="s">
        <v>680</v>
      </c>
      <c r="E445" s="84" t="s">
        <v>680</v>
      </c>
      <c r="F445" s="84" t="s">
        <v>680</v>
      </c>
      <c r="G445" s="84" t="s">
        <v>680</v>
      </c>
      <c r="H445" s="84" t="s">
        <v>680</v>
      </c>
      <c r="I445" s="84" t="s">
        <v>680</v>
      </c>
      <c r="J445" s="84" t="s">
        <v>680</v>
      </c>
      <c r="K445" s="84" t="s">
        <v>680</v>
      </c>
      <c r="L445" s="85">
        <v>0</v>
      </c>
      <c r="M445" s="85">
        <f>2.6*0.02</f>
        <v>5.2000000000000005E-2</v>
      </c>
      <c r="N445" s="85">
        <v>0</v>
      </c>
      <c r="O445" s="85"/>
      <c r="P445" s="85">
        <f>9*0.02</f>
        <v>0.18</v>
      </c>
      <c r="Q445" s="85">
        <f>3*0.02</f>
        <v>0.06</v>
      </c>
      <c r="R445" s="85">
        <f>25*0.02</f>
        <v>0.5</v>
      </c>
      <c r="S445" s="85">
        <f>3*0.02</f>
        <v>0.06</v>
      </c>
      <c r="T445" s="85">
        <f>4.8*0.02</f>
        <v>9.6000000000000002E-2</v>
      </c>
      <c r="U445" s="85">
        <f>2.27*0.02</f>
        <v>4.5400000000000003E-2</v>
      </c>
      <c r="V445" s="85">
        <f>2.72*0.02</f>
        <v>5.4400000000000004E-2</v>
      </c>
      <c r="W445" s="85">
        <v>0</v>
      </c>
      <c r="X445" s="85">
        <v>0</v>
      </c>
      <c r="Y445" s="85">
        <v>0</v>
      </c>
      <c r="Z445" s="85">
        <v>0</v>
      </c>
      <c r="AA445" s="85">
        <f>2.6*0.02</f>
        <v>5.2000000000000005E-2</v>
      </c>
      <c r="AB445" s="85">
        <v>0</v>
      </c>
      <c r="AC445" s="85">
        <v>0</v>
      </c>
      <c r="AD445" s="85"/>
    </row>
    <row r="446" spans="1:30">
      <c r="A446" s="82" t="s">
        <v>105</v>
      </c>
      <c r="B446" s="83" t="s">
        <v>600</v>
      </c>
      <c r="C446" s="84" t="s">
        <v>680</v>
      </c>
      <c r="D446" s="84" t="s">
        <v>680</v>
      </c>
      <c r="E446" s="84" t="s">
        <v>680</v>
      </c>
      <c r="F446" s="84" t="s">
        <v>680</v>
      </c>
      <c r="G446" s="84" t="s">
        <v>680</v>
      </c>
      <c r="H446" s="84" t="s">
        <v>680</v>
      </c>
      <c r="I446" s="84" t="s">
        <v>680</v>
      </c>
      <c r="J446" s="84" t="s">
        <v>680</v>
      </c>
      <c r="K446" s="84" t="s">
        <v>680</v>
      </c>
      <c r="L446" s="85">
        <v>0</v>
      </c>
      <c r="M446" s="85">
        <v>0</v>
      </c>
      <c r="N446" s="85">
        <v>0</v>
      </c>
      <c r="O446" s="85"/>
      <c r="P446" s="85">
        <v>0</v>
      </c>
      <c r="Q446" s="85">
        <v>0</v>
      </c>
      <c r="R446" s="85">
        <v>0</v>
      </c>
      <c r="S446" s="85">
        <v>0</v>
      </c>
      <c r="T446" s="85">
        <v>0</v>
      </c>
      <c r="U446" s="85">
        <v>0</v>
      </c>
      <c r="V446" s="85">
        <v>0</v>
      </c>
      <c r="W446" s="85">
        <v>0</v>
      </c>
      <c r="X446" s="85">
        <v>0</v>
      </c>
      <c r="Y446" s="85">
        <v>0</v>
      </c>
      <c r="Z446" s="85">
        <v>0</v>
      </c>
      <c r="AA446" s="85">
        <f>0.4*0.022</f>
        <v>8.8000000000000005E-3</v>
      </c>
      <c r="AB446" s="85">
        <v>0</v>
      </c>
      <c r="AC446" s="85">
        <v>0</v>
      </c>
      <c r="AD446" s="85"/>
    </row>
    <row r="447" spans="1:30">
      <c r="A447" s="82" t="s">
        <v>105</v>
      </c>
      <c r="B447" s="83" t="s">
        <v>595</v>
      </c>
      <c r="C447" s="84" t="s">
        <v>680</v>
      </c>
      <c r="D447" s="84" t="s">
        <v>680</v>
      </c>
      <c r="E447" s="84" t="s">
        <v>680</v>
      </c>
      <c r="F447" s="84" t="s">
        <v>680</v>
      </c>
      <c r="G447" s="84" t="s">
        <v>680</v>
      </c>
      <c r="H447" s="84" t="s">
        <v>680</v>
      </c>
      <c r="I447" s="84" t="s">
        <v>680</v>
      </c>
      <c r="J447" s="84" t="s">
        <v>680</v>
      </c>
      <c r="K447" s="84" t="s">
        <v>680</v>
      </c>
      <c r="L447" s="85">
        <v>0</v>
      </c>
      <c r="M447" s="85">
        <f>119.25*0.11</f>
        <v>13.1175</v>
      </c>
      <c r="N447" s="85">
        <v>44.231000000000002</v>
      </c>
      <c r="O447" s="85"/>
      <c r="P447" s="85">
        <f>522*0.11</f>
        <v>57.42</v>
      </c>
      <c r="Q447" s="85">
        <f>700*0.11</f>
        <v>77</v>
      </c>
      <c r="R447" s="85">
        <f>485*0.11</f>
        <v>53.35</v>
      </c>
      <c r="S447" s="85">
        <f>682*0.11</f>
        <v>75.02</v>
      </c>
      <c r="T447" s="85">
        <f>683.94*0.11</f>
        <v>75.233400000000003</v>
      </c>
      <c r="U447" s="85">
        <f>690.86*0.11</f>
        <v>75.994600000000005</v>
      </c>
      <c r="V447" s="85">
        <f>728.56*0.11</f>
        <v>80.141599999999997</v>
      </c>
      <c r="W447" s="85">
        <f>605*0.11</f>
        <v>66.55</v>
      </c>
      <c r="X447" s="85">
        <f>560*0.11</f>
        <v>61.6</v>
      </c>
      <c r="Y447" s="85">
        <f>538*0.11</f>
        <v>59.18</v>
      </c>
      <c r="Z447" s="85">
        <f>500*0.11</f>
        <v>55</v>
      </c>
      <c r="AA447" s="85">
        <f>420*0.11</f>
        <v>46.2</v>
      </c>
      <c r="AB447" s="85">
        <f>380*0.11</f>
        <v>41.8</v>
      </c>
      <c r="AC447" s="85">
        <f>360*0.11</f>
        <v>39.6</v>
      </c>
      <c r="AD447" s="85"/>
    </row>
    <row r="448" spans="1:30">
      <c r="A448" s="82" t="s">
        <v>105</v>
      </c>
      <c r="B448" s="87" t="s">
        <v>700</v>
      </c>
      <c r="C448" s="84"/>
      <c r="D448" s="84"/>
      <c r="E448" s="84"/>
      <c r="F448" s="84"/>
      <c r="G448" s="84"/>
      <c r="H448" s="84"/>
      <c r="I448" s="84"/>
      <c r="J448" s="84"/>
      <c r="K448" s="84"/>
      <c r="L448" s="85"/>
      <c r="M448" s="85"/>
      <c r="N448" s="85"/>
      <c r="O448" s="85"/>
      <c r="P448" s="85"/>
      <c r="Q448" s="85">
        <f>111*0.11</f>
        <v>12.21</v>
      </c>
      <c r="R448" s="85">
        <f>182*0.11</f>
        <v>20.02</v>
      </c>
      <c r="S448" s="85">
        <f>170*0.11</f>
        <v>18.7</v>
      </c>
      <c r="T448" s="85">
        <f>466.78*0.11</f>
        <v>51.345799999999997</v>
      </c>
      <c r="U448" s="85">
        <f>563.42*0.11</f>
        <v>61.976199999999999</v>
      </c>
      <c r="V448" s="85">
        <f>533.6*0.11</f>
        <v>58.696000000000005</v>
      </c>
      <c r="W448" s="85">
        <f>560*0.11</f>
        <v>61.6</v>
      </c>
      <c r="X448" s="85">
        <f>850*0.11</f>
        <v>93.5</v>
      </c>
      <c r="Y448" s="85">
        <f>790*0.11</f>
        <v>86.9</v>
      </c>
      <c r="Z448" s="85">
        <f>752*0.11</f>
        <v>82.72</v>
      </c>
      <c r="AA448" s="85">
        <f>395*0.11</f>
        <v>43.45</v>
      </c>
      <c r="AB448" s="85">
        <f>370*0.11</f>
        <v>40.700000000000003</v>
      </c>
      <c r="AC448" s="85">
        <f>235*0.11</f>
        <v>25.85</v>
      </c>
      <c r="AD448" s="85"/>
    </row>
    <row r="449" spans="1:30">
      <c r="A449" s="82" t="s">
        <v>105</v>
      </c>
      <c r="B449" s="83" t="s">
        <v>596</v>
      </c>
      <c r="C449" s="84" t="s">
        <v>680</v>
      </c>
      <c r="D449" s="84" t="s">
        <v>680</v>
      </c>
      <c r="E449" s="84" t="s">
        <v>680</v>
      </c>
      <c r="F449" s="84" t="s">
        <v>680</v>
      </c>
      <c r="G449" s="84" t="s">
        <v>680</v>
      </c>
      <c r="H449" s="84" t="s">
        <v>680</v>
      </c>
      <c r="I449" s="84" t="s">
        <v>680</v>
      </c>
      <c r="J449" s="84" t="s">
        <v>680</v>
      </c>
      <c r="K449" s="84" t="s">
        <v>680</v>
      </c>
      <c r="L449" s="85">
        <v>0</v>
      </c>
      <c r="M449" s="85">
        <f>114.48*0.065</f>
        <v>7.4412000000000003</v>
      </c>
      <c r="N449" s="85">
        <v>51.067900000000002</v>
      </c>
      <c r="O449" s="85"/>
      <c r="P449" s="85">
        <f>1160*0.065</f>
        <v>75.400000000000006</v>
      </c>
      <c r="Q449" s="85">
        <f>1354*0.065</f>
        <v>88.01</v>
      </c>
      <c r="R449" s="85">
        <f>1190*0.065</f>
        <v>77.350000000000009</v>
      </c>
      <c r="S449" s="85">
        <f>1214*0.065</f>
        <v>78.91</v>
      </c>
      <c r="T449" s="85">
        <f>1322.6*0.065</f>
        <v>85.968999999999994</v>
      </c>
      <c r="U449" s="85">
        <f>1205.81*0.065</f>
        <v>78.377650000000003</v>
      </c>
      <c r="V449" s="85">
        <f>1083.51*0.065</f>
        <v>70.428150000000002</v>
      </c>
      <c r="W449" s="85">
        <f>1100*0.065</f>
        <v>71.5</v>
      </c>
      <c r="X449" s="85">
        <f>963*0.065</f>
        <v>62.594999999999999</v>
      </c>
      <c r="Y449" s="85">
        <f>977*0.065</f>
        <v>63.505000000000003</v>
      </c>
      <c r="Z449" s="85">
        <f>758.24*0.065</f>
        <v>49.285600000000002</v>
      </c>
      <c r="AA449" s="85">
        <f>535*0.065</f>
        <v>34.774999999999999</v>
      </c>
      <c r="AB449" s="85">
        <f>429.53*0.065</f>
        <v>27.919449999999998</v>
      </c>
      <c r="AC449" s="85">
        <f>180*0.065</f>
        <v>11.700000000000001</v>
      </c>
      <c r="AD449" s="85"/>
    </row>
    <row r="450" spans="1:30">
      <c r="A450" s="82" t="s">
        <v>105</v>
      </c>
      <c r="B450" s="83" t="s">
        <v>594</v>
      </c>
      <c r="C450" s="84" t="s">
        <v>680</v>
      </c>
      <c r="D450" s="84" t="s">
        <v>680</v>
      </c>
      <c r="E450" s="84" t="s">
        <v>680</v>
      </c>
      <c r="F450" s="84" t="s">
        <v>680</v>
      </c>
      <c r="G450" s="84" t="s">
        <v>680</v>
      </c>
      <c r="H450" s="84" t="s">
        <v>680</v>
      </c>
      <c r="I450" s="84" t="s">
        <v>680</v>
      </c>
      <c r="J450" s="84" t="s">
        <v>680</v>
      </c>
      <c r="K450" s="84" t="s">
        <v>680</v>
      </c>
      <c r="L450" s="85">
        <v>0</v>
      </c>
      <c r="M450" s="85">
        <f>3647.18*0.055</f>
        <v>200.5949</v>
      </c>
      <c r="N450" s="85">
        <v>190.99080000000001</v>
      </c>
      <c r="O450" s="85"/>
      <c r="P450" s="85">
        <f>4409*0.055</f>
        <v>242.495</v>
      </c>
      <c r="Q450" s="85">
        <f>4237*0.055</f>
        <v>233.035</v>
      </c>
      <c r="R450" s="85">
        <f>5234*0.055</f>
        <v>287.87</v>
      </c>
      <c r="S450" s="85">
        <f>4432*0.055</f>
        <v>243.76</v>
      </c>
      <c r="T450" s="85">
        <f>4687.4*0.055</f>
        <v>257.80699999999996</v>
      </c>
      <c r="U450" s="85">
        <f>4731.8*0.055</f>
        <v>260.24900000000002</v>
      </c>
      <c r="V450" s="85">
        <f>3373.63*0.055</f>
        <v>185.54965000000001</v>
      </c>
      <c r="W450" s="85">
        <f>3653.25*0.055</f>
        <v>200.92875000000001</v>
      </c>
      <c r="X450" s="85">
        <f>3157.5*0.055</f>
        <v>173.66249999999999</v>
      </c>
      <c r="Y450" s="85">
        <f>3150*0.055</f>
        <v>173.25</v>
      </c>
      <c r="Z450" s="85">
        <f>2725.33*0.055</f>
        <v>149.89314999999999</v>
      </c>
      <c r="AA450" s="85">
        <f>3138*0.055</f>
        <v>172.59</v>
      </c>
      <c r="AB450" s="85">
        <f>3345.98*0.055</f>
        <v>184.02889999999999</v>
      </c>
      <c r="AC450" s="85">
        <f>3146.8*0.055</f>
        <v>173.07400000000001</v>
      </c>
      <c r="AD450" s="85"/>
    </row>
    <row r="451" spans="1:30">
      <c r="A451" s="82" t="s">
        <v>105</v>
      </c>
      <c r="B451" s="87" t="s">
        <v>643</v>
      </c>
      <c r="C451" s="85"/>
      <c r="D451" s="85"/>
      <c r="E451" s="85"/>
      <c r="F451" s="85"/>
      <c r="G451" s="85"/>
      <c r="H451" s="85"/>
      <c r="I451" s="85"/>
      <c r="J451" s="85"/>
      <c r="K451" s="85"/>
      <c r="L451" s="85">
        <v>0</v>
      </c>
      <c r="M451" s="85"/>
      <c r="N451" s="85">
        <v>0</v>
      </c>
      <c r="O451" s="85"/>
      <c r="P451" s="85">
        <v>0</v>
      </c>
      <c r="Q451" s="85">
        <v>0</v>
      </c>
      <c r="R451" s="85">
        <v>0</v>
      </c>
      <c r="S451" s="85">
        <v>0</v>
      </c>
      <c r="T451" s="85">
        <v>0</v>
      </c>
      <c r="U451" s="85">
        <v>0</v>
      </c>
      <c r="V451" s="85">
        <v>0</v>
      </c>
      <c r="W451" s="85">
        <v>0</v>
      </c>
      <c r="X451" s="85">
        <v>0</v>
      </c>
      <c r="Y451" s="85">
        <v>0</v>
      </c>
      <c r="Z451" s="85">
        <v>0</v>
      </c>
      <c r="AA451" s="85">
        <v>0</v>
      </c>
      <c r="AB451" s="85">
        <v>0</v>
      </c>
      <c r="AC451" s="85">
        <v>0</v>
      </c>
      <c r="AD451" s="85"/>
    </row>
    <row r="452" spans="1:30">
      <c r="A452" s="82" t="s">
        <v>762</v>
      </c>
      <c r="B452" s="83" t="s">
        <v>597</v>
      </c>
      <c r="C452" s="84" t="s">
        <v>680</v>
      </c>
      <c r="D452" s="84" t="s">
        <v>680</v>
      </c>
      <c r="E452" s="84" t="s">
        <v>680</v>
      </c>
      <c r="F452" s="84" t="s">
        <v>680</v>
      </c>
      <c r="G452" s="84" t="s">
        <v>680</v>
      </c>
      <c r="H452" s="84" t="s">
        <v>680</v>
      </c>
      <c r="I452" s="84" t="s">
        <v>680</v>
      </c>
      <c r="J452" s="85">
        <v>0</v>
      </c>
      <c r="K452" s="85">
        <v>0</v>
      </c>
      <c r="L452" s="85">
        <v>0</v>
      </c>
      <c r="M452" s="85">
        <v>0</v>
      </c>
      <c r="N452" s="85">
        <v>0</v>
      </c>
      <c r="O452" s="85">
        <v>0</v>
      </c>
      <c r="P452" s="85">
        <v>0</v>
      </c>
      <c r="Q452" s="85">
        <v>0</v>
      </c>
      <c r="R452" s="85">
        <v>0</v>
      </c>
      <c r="S452" s="85">
        <v>0</v>
      </c>
      <c r="T452" s="85">
        <v>0</v>
      </c>
      <c r="U452" s="85">
        <v>0</v>
      </c>
      <c r="V452" s="85">
        <v>0</v>
      </c>
      <c r="W452" s="85">
        <v>0</v>
      </c>
      <c r="X452" s="85">
        <v>0</v>
      </c>
      <c r="Y452" s="85">
        <v>0</v>
      </c>
      <c r="Z452" s="85">
        <v>0</v>
      </c>
      <c r="AA452" s="85">
        <v>0</v>
      </c>
      <c r="AB452" s="85">
        <v>0</v>
      </c>
      <c r="AC452" s="85">
        <v>0</v>
      </c>
      <c r="AD452" s="85"/>
    </row>
    <row r="453" spans="1:30">
      <c r="A453" s="82" t="s">
        <v>762</v>
      </c>
      <c r="B453" s="83" t="s">
        <v>600</v>
      </c>
      <c r="C453" s="84" t="s">
        <v>680</v>
      </c>
      <c r="D453" s="84" t="s">
        <v>680</v>
      </c>
      <c r="E453" s="84" t="s">
        <v>680</v>
      </c>
      <c r="F453" s="84" t="s">
        <v>680</v>
      </c>
      <c r="G453" s="84" t="s">
        <v>680</v>
      </c>
      <c r="H453" s="84" t="s">
        <v>680</v>
      </c>
      <c r="I453" s="84" t="s">
        <v>680</v>
      </c>
      <c r="J453" s="85">
        <v>0</v>
      </c>
      <c r="K453" s="85">
        <v>0</v>
      </c>
      <c r="L453" s="85">
        <v>0</v>
      </c>
      <c r="M453" s="85">
        <v>0</v>
      </c>
      <c r="N453" s="85">
        <v>0</v>
      </c>
      <c r="O453" s="85">
        <v>0</v>
      </c>
      <c r="P453" s="85">
        <v>0</v>
      </c>
      <c r="Q453" s="85">
        <v>0</v>
      </c>
      <c r="R453" s="85">
        <v>0</v>
      </c>
      <c r="S453" s="85">
        <v>0</v>
      </c>
      <c r="T453" s="85">
        <v>0</v>
      </c>
      <c r="U453" s="85">
        <v>0</v>
      </c>
      <c r="V453" s="85">
        <v>0</v>
      </c>
      <c r="W453" s="85">
        <v>0</v>
      </c>
      <c r="X453" s="85">
        <v>0</v>
      </c>
      <c r="Y453" s="85">
        <v>0</v>
      </c>
      <c r="Z453" s="85">
        <v>0</v>
      </c>
      <c r="AA453" s="85">
        <v>0</v>
      </c>
      <c r="AB453" s="85">
        <v>0</v>
      </c>
      <c r="AC453" s="85">
        <v>0</v>
      </c>
      <c r="AD453" s="85"/>
    </row>
    <row r="454" spans="1:30">
      <c r="A454" s="82" t="s">
        <v>762</v>
      </c>
      <c r="B454" s="83" t="s">
        <v>595</v>
      </c>
      <c r="C454" s="84" t="s">
        <v>680</v>
      </c>
      <c r="D454" s="84" t="s">
        <v>680</v>
      </c>
      <c r="E454" s="84" t="s">
        <v>680</v>
      </c>
      <c r="F454" s="84" t="s">
        <v>680</v>
      </c>
      <c r="G454" s="84" t="s">
        <v>680</v>
      </c>
      <c r="H454" s="84" t="s">
        <v>680</v>
      </c>
      <c r="I454" s="84" t="s">
        <v>680</v>
      </c>
      <c r="J454" s="85">
        <v>0</v>
      </c>
      <c r="K454" s="85">
        <v>0</v>
      </c>
      <c r="L454" s="85">
        <v>0</v>
      </c>
      <c r="M454" s="85">
        <v>0</v>
      </c>
      <c r="N454" s="85">
        <v>0</v>
      </c>
      <c r="O454" s="85">
        <v>0</v>
      </c>
      <c r="P454" s="85">
        <f>47.22*0.11</f>
        <v>5.1941999999999995</v>
      </c>
      <c r="Q454" s="85">
        <v>0</v>
      </c>
      <c r="R454" s="85">
        <v>0</v>
      </c>
      <c r="S454" s="85">
        <v>0</v>
      </c>
      <c r="T454" s="85">
        <v>0</v>
      </c>
      <c r="U454" s="85">
        <v>0</v>
      </c>
      <c r="V454" s="85">
        <v>0</v>
      </c>
      <c r="W454" s="85">
        <v>0</v>
      </c>
      <c r="X454" s="85">
        <v>0</v>
      </c>
      <c r="Y454" s="85">
        <v>0</v>
      </c>
      <c r="Z454" s="85">
        <v>0</v>
      </c>
      <c r="AA454" s="85">
        <v>0</v>
      </c>
      <c r="AB454" s="85">
        <v>0</v>
      </c>
      <c r="AC454" s="85">
        <v>0</v>
      </c>
      <c r="AD454" s="85"/>
    </row>
    <row r="455" spans="1:30">
      <c r="A455" s="82" t="s">
        <v>762</v>
      </c>
      <c r="B455" s="87" t="s">
        <v>700</v>
      </c>
      <c r="C455" s="84"/>
      <c r="D455" s="84"/>
      <c r="E455" s="84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>
        <f>7.26*0.11</f>
        <v>0.79859999999999998</v>
      </c>
      <c r="R455" s="85">
        <f>5.96*0.11</f>
        <v>0.65559999999999996</v>
      </c>
      <c r="S455" s="85">
        <v>0</v>
      </c>
      <c r="T455" s="85">
        <v>0</v>
      </c>
      <c r="U455" s="85">
        <v>0</v>
      </c>
      <c r="V455" s="85">
        <v>0</v>
      </c>
      <c r="W455" s="85">
        <v>0</v>
      </c>
      <c r="X455" s="85">
        <v>0</v>
      </c>
      <c r="Y455" s="85">
        <v>0</v>
      </c>
      <c r="Z455" s="85">
        <v>0</v>
      </c>
      <c r="AA455" s="85">
        <v>0</v>
      </c>
      <c r="AB455" s="85">
        <v>0</v>
      </c>
      <c r="AC455" s="85">
        <v>0</v>
      </c>
      <c r="AD455" s="85"/>
    </row>
    <row r="456" spans="1:30">
      <c r="A456" s="82" t="s">
        <v>762</v>
      </c>
      <c r="B456" s="83" t="s">
        <v>596</v>
      </c>
      <c r="C456" s="84" t="s">
        <v>680</v>
      </c>
      <c r="D456" s="84" t="s">
        <v>680</v>
      </c>
      <c r="E456" s="84" t="s">
        <v>680</v>
      </c>
      <c r="F456" s="84" t="s">
        <v>680</v>
      </c>
      <c r="G456" s="84" t="s">
        <v>680</v>
      </c>
      <c r="H456" s="84" t="s">
        <v>680</v>
      </c>
      <c r="I456" s="84" t="s">
        <v>680</v>
      </c>
      <c r="J456" s="85">
        <v>0</v>
      </c>
      <c r="K456" s="85">
        <v>0</v>
      </c>
      <c r="L456" s="85">
        <v>0</v>
      </c>
      <c r="M456" s="85">
        <v>0</v>
      </c>
      <c r="N456" s="85">
        <v>0</v>
      </c>
      <c r="O456" s="85">
        <v>0</v>
      </c>
      <c r="P456" s="85">
        <f>2.5*0.065</f>
        <v>0.16250000000000001</v>
      </c>
      <c r="Q456" s="85">
        <f>3*0.065</f>
        <v>0.19500000000000001</v>
      </c>
      <c r="R456" s="85">
        <f>2.19*0.065</f>
        <v>0.14235</v>
      </c>
      <c r="S456" s="85">
        <v>0</v>
      </c>
      <c r="T456" s="85">
        <v>0</v>
      </c>
      <c r="U456" s="85">
        <f>10.3*0.065</f>
        <v>0.6695000000000001</v>
      </c>
      <c r="V456" s="85">
        <v>0</v>
      </c>
      <c r="W456" s="85">
        <v>0</v>
      </c>
      <c r="X456" s="85">
        <v>0</v>
      </c>
      <c r="Y456" s="85">
        <v>0</v>
      </c>
      <c r="Z456" s="85">
        <v>0</v>
      </c>
      <c r="AA456" s="85">
        <v>0</v>
      </c>
      <c r="AB456" s="85">
        <v>0</v>
      </c>
      <c r="AC456" s="85">
        <v>0</v>
      </c>
      <c r="AD456" s="85"/>
    </row>
    <row r="457" spans="1:30">
      <c r="A457" s="82" t="s">
        <v>762</v>
      </c>
      <c r="B457" s="83" t="s">
        <v>594</v>
      </c>
      <c r="C457" s="84" t="s">
        <v>680</v>
      </c>
      <c r="D457" s="84" t="s">
        <v>680</v>
      </c>
      <c r="E457" s="84" t="s">
        <v>680</v>
      </c>
      <c r="F457" s="84" t="s">
        <v>680</v>
      </c>
      <c r="G457" s="84" t="s">
        <v>680</v>
      </c>
      <c r="H457" s="84" t="s">
        <v>680</v>
      </c>
      <c r="I457" s="84" t="s">
        <v>680</v>
      </c>
      <c r="J457" s="85">
        <f>4.2*0.055</f>
        <v>0.23100000000000001</v>
      </c>
      <c r="K457" s="85">
        <f>9.6*0.055</f>
        <v>0.52800000000000002</v>
      </c>
      <c r="L457" s="85">
        <f>12.9*0.055</f>
        <v>0.70950000000000002</v>
      </c>
      <c r="M457" s="85">
        <f>12.6*0.055</f>
        <v>0.69299999999999995</v>
      </c>
      <c r="N457" s="85">
        <f>15.1*0.055</f>
        <v>0.83050000000000002</v>
      </c>
      <c r="O457" s="85">
        <v>0</v>
      </c>
      <c r="P457" s="85">
        <f>37*0.055</f>
        <v>2.0350000000000001</v>
      </c>
      <c r="Q457" s="85">
        <f>61.7*0.055</f>
        <v>3.3935</v>
      </c>
      <c r="R457" s="85">
        <f>53.1*0.055</f>
        <v>2.9205000000000001</v>
      </c>
      <c r="S457" s="85">
        <f>53.8*0.055</f>
        <v>2.9590000000000001</v>
      </c>
      <c r="T457" s="85">
        <f>52.9*0.055</f>
        <v>2.9095</v>
      </c>
      <c r="U457" s="85">
        <f>60.4*0.055</f>
        <v>3.3220000000000001</v>
      </c>
      <c r="V457" s="85">
        <f>43.6*0.055</f>
        <v>2.3980000000000001</v>
      </c>
      <c r="W457" s="85">
        <f>28.75*0.055</f>
        <v>1.58125</v>
      </c>
      <c r="X457" s="85">
        <f>31.5*0.055</f>
        <v>1.7324999999999999</v>
      </c>
      <c r="Y457" s="85">
        <f>24.9*0.055</f>
        <v>1.3694999999999999</v>
      </c>
      <c r="Z457" s="85">
        <f>24.14*0.055</f>
        <v>1.3277000000000001</v>
      </c>
      <c r="AA457" s="85">
        <f>12.99*0.055</f>
        <v>0.71445000000000003</v>
      </c>
      <c r="AB457" s="85">
        <v>0</v>
      </c>
      <c r="AC457" s="85">
        <v>0</v>
      </c>
      <c r="AD457" s="85"/>
    </row>
    <row r="458" spans="1:30">
      <c r="A458" s="82" t="s">
        <v>762</v>
      </c>
      <c r="B458" s="87" t="s">
        <v>643</v>
      </c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>
        <v>0</v>
      </c>
      <c r="O458" s="85">
        <v>0</v>
      </c>
      <c r="P458" s="85">
        <v>0</v>
      </c>
      <c r="Q458" s="85">
        <v>0</v>
      </c>
      <c r="R458" s="85">
        <v>0</v>
      </c>
      <c r="S458" s="85">
        <v>0</v>
      </c>
      <c r="T458" s="85">
        <v>0</v>
      </c>
      <c r="U458" s="85">
        <v>0</v>
      </c>
      <c r="V458" s="85">
        <v>0</v>
      </c>
      <c r="W458" s="85">
        <v>0</v>
      </c>
      <c r="X458" s="85">
        <v>0</v>
      </c>
      <c r="Y458" s="85">
        <v>0</v>
      </c>
      <c r="Z458" s="85">
        <v>0</v>
      </c>
      <c r="AA458" s="85">
        <v>0</v>
      </c>
      <c r="AB458" s="85">
        <v>0</v>
      </c>
      <c r="AC458" s="85">
        <v>0</v>
      </c>
      <c r="AD458" s="85"/>
    </row>
    <row r="459" spans="1:30">
      <c r="A459" s="82" t="s">
        <v>414</v>
      </c>
      <c r="B459" s="83" t="s">
        <v>597</v>
      </c>
      <c r="C459" s="84" t="s">
        <v>680</v>
      </c>
      <c r="D459" s="84" t="s">
        <v>680</v>
      </c>
      <c r="E459" s="84" t="s">
        <v>680</v>
      </c>
      <c r="F459" s="84" t="s">
        <v>680</v>
      </c>
      <c r="G459" s="84" t="s">
        <v>680</v>
      </c>
      <c r="H459" s="84" t="s">
        <v>680</v>
      </c>
      <c r="I459" s="84" t="s">
        <v>680</v>
      </c>
      <c r="J459" s="85">
        <v>0</v>
      </c>
      <c r="K459" s="85">
        <v>0</v>
      </c>
      <c r="L459" s="85"/>
      <c r="M459" s="85"/>
      <c r="N459" s="85">
        <v>0</v>
      </c>
      <c r="O459" s="85">
        <v>0</v>
      </c>
      <c r="P459" s="85">
        <v>0</v>
      </c>
      <c r="Q459" s="85">
        <v>0</v>
      </c>
      <c r="R459" s="85">
        <v>0</v>
      </c>
      <c r="S459" s="85">
        <v>0</v>
      </c>
      <c r="T459" s="85">
        <v>0</v>
      </c>
      <c r="U459" s="85">
        <v>0</v>
      </c>
      <c r="V459" s="85">
        <v>0</v>
      </c>
      <c r="W459" s="85">
        <v>0</v>
      </c>
      <c r="X459" s="85">
        <v>0</v>
      </c>
      <c r="Y459" s="85">
        <v>0</v>
      </c>
      <c r="Z459" s="85">
        <v>0</v>
      </c>
      <c r="AA459" s="85">
        <v>0</v>
      </c>
      <c r="AB459" s="85">
        <v>0</v>
      </c>
      <c r="AC459" s="85">
        <v>0</v>
      </c>
      <c r="AD459" s="85"/>
    </row>
    <row r="460" spans="1:30">
      <c r="A460" s="82" t="s">
        <v>414</v>
      </c>
      <c r="B460" s="83" t="s">
        <v>600</v>
      </c>
      <c r="C460" s="84" t="s">
        <v>680</v>
      </c>
      <c r="D460" s="84" t="s">
        <v>680</v>
      </c>
      <c r="E460" s="84" t="s">
        <v>680</v>
      </c>
      <c r="F460" s="84" t="s">
        <v>680</v>
      </c>
      <c r="G460" s="84" t="s">
        <v>680</v>
      </c>
      <c r="H460" s="84" t="s">
        <v>680</v>
      </c>
      <c r="I460" s="84" t="s">
        <v>680</v>
      </c>
      <c r="J460" s="85">
        <v>0</v>
      </c>
      <c r="K460" s="85">
        <v>0</v>
      </c>
      <c r="L460" s="85"/>
      <c r="M460" s="85"/>
      <c r="N460" s="85">
        <v>0</v>
      </c>
      <c r="O460" s="85">
        <v>0</v>
      </c>
      <c r="P460" s="85">
        <v>0</v>
      </c>
      <c r="Q460" s="85">
        <v>0</v>
      </c>
      <c r="R460" s="85">
        <v>0</v>
      </c>
      <c r="S460" s="85">
        <v>0</v>
      </c>
      <c r="T460" s="85">
        <v>0</v>
      </c>
      <c r="U460" s="85">
        <v>0</v>
      </c>
      <c r="V460" s="85">
        <v>0</v>
      </c>
      <c r="W460" s="85">
        <v>0</v>
      </c>
      <c r="X460" s="85">
        <v>0</v>
      </c>
      <c r="Y460" s="85">
        <v>0</v>
      </c>
      <c r="Z460" s="85">
        <v>0</v>
      </c>
      <c r="AA460" s="85">
        <v>0</v>
      </c>
      <c r="AB460" s="85">
        <v>0</v>
      </c>
      <c r="AC460" s="85">
        <v>0</v>
      </c>
      <c r="AD460" s="85"/>
    </row>
    <row r="461" spans="1:30">
      <c r="A461" s="82" t="s">
        <v>414</v>
      </c>
      <c r="B461" s="83" t="s">
        <v>595</v>
      </c>
      <c r="C461" s="84" t="s">
        <v>680</v>
      </c>
      <c r="D461" s="84" t="s">
        <v>680</v>
      </c>
      <c r="E461" s="84" t="s">
        <v>680</v>
      </c>
      <c r="F461" s="84" t="s">
        <v>680</v>
      </c>
      <c r="G461" s="84" t="s">
        <v>680</v>
      </c>
      <c r="H461" s="84" t="s">
        <v>680</v>
      </c>
      <c r="I461" s="84" t="s">
        <v>680</v>
      </c>
      <c r="J461" s="85">
        <v>0</v>
      </c>
      <c r="K461" s="85">
        <v>0</v>
      </c>
      <c r="L461" s="85"/>
      <c r="M461" s="85"/>
      <c r="N461" s="85">
        <f>0.15*0.11</f>
        <v>1.6500000000000001E-2</v>
      </c>
      <c r="O461" s="85">
        <f>0.61*0.11</f>
        <v>6.7099999999999993E-2</v>
      </c>
      <c r="P461" s="85">
        <v>0</v>
      </c>
      <c r="Q461" s="85">
        <v>0</v>
      </c>
      <c r="R461" s="85">
        <v>0</v>
      </c>
      <c r="S461" s="85">
        <v>0</v>
      </c>
      <c r="T461" s="85">
        <v>0</v>
      </c>
      <c r="U461" s="85">
        <v>0</v>
      </c>
      <c r="V461" s="85">
        <v>0</v>
      </c>
      <c r="W461" s="85">
        <v>0</v>
      </c>
      <c r="X461" s="85">
        <v>0</v>
      </c>
      <c r="Y461" s="85">
        <v>0</v>
      </c>
      <c r="Z461" s="85">
        <v>0</v>
      </c>
      <c r="AA461" s="85">
        <v>0</v>
      </c>
      <c r="AB461" s="85">
        <v>0</v>
      </c>
      <c r="AC461" s="85">
        <v>0</v>
      </c>
      <c r="AD461" s="85"/>
    </row>
    <row r="462" spans="1:30">
      <c r="A462" s="82" t="s">
        <v>414</v>
      </c>
      <c r="B462" s="83" t="s">
        <v>700</v>
      </c>
      <c r="C462" s="84"/>
      <c r="D462" s="84"/>
      <c r="E462" s="84"/>
      <c r="F462" s="84"/>
      <c r="G462" s="84"/>
      <c r="H462" s="84"/>
      <c r="I462" s="84"/>
      <c r="J462" s="85"/>
      <c r="K462" s="85"/>
      <c r="L462" s="85"/>
      <c r="M462" s="85"/>
      <c r="N462" s="85"/>
      <c r="O462" s="85"/>
      <c r="P462" s="85"/>
      <c r="Q462" s="85"/>
      <c r="R462" s="85">
        <f>31.03*0.11</f>
        <v>3.4133</v>
      </c>
      <c r="S462" s="85">
        <f>32.45*0.11</f>
        <v>3.5695000000000001</v>
      </c>
      <c r="T462" s="85">
        <f>32.92*0.11</f>
        <v>3.6212000000000004</v>
      </c>
      <c r="U462" s="85">
        <f>31.41*0.11</f>
        <v>3.4550999999999998</v>
      </c>
      <c r="V462" s="85">
        <v>0</v>
      </c>
      <c r="W462" s="85">
        <v>0</v>
      </c>
      <c r="X462" s="85">
        <v>0</v>
      </c>
      <c r="Y462" s="85">
        <v>0</v>
      </c>
      <c r="Z462" s="85">
        <v>0</v>
      </c>
      <c r="AA462" s="85">
        <v>0</v>
      </c>
      <c r="AB462" s="85">
        <v>0</v>
      </c>
      <c r="AC462" s="85">
        <v>0</v>
      </c>
      <c r="AD462" s="85"/>
    </row>
    <row r="463" spans="1:30">
      <c r="A463" s="82" t="s">
        <v>414</v>
      </c>
      <c r="B463" s="83" t="s">
        <v>596</v>
      </c>
      <c r="C463" s="84" t="s">
        <v>680</v>
      </c>
      <c r="D463" s="84" t="s">
        <v>680</v>
      </c>
      <c r="E463" s="84" t="s">
        <v>680</v>
      </c>
      <c r="F463" s="84" t="s">
        <v>680</v>
      </c>
      <c r="G463" s="84" t="s">
        <v>680</v>
      </c>
      <c r="H463" s="84" t="s">
        <v>680</v>
      </c>
      <c r="I463" s="84" t="s">
        <v>680</v>
      </c>
      <c r="J463" s="85">
        <v>0</v>
      </c>
      <c r="K463" s="85">
        <v>0</v>
      </c>
      <c r="L463" s="85"/>
      <c r="M463" s="85"/>
      <c r="N463" s="85">
        <v>0</v>
      </c>
      <c r="O463" s="85">
        <v>0</v>
      </c>
      <c r="P463" s="85">
        <v>0</v>
      </c>
      <c r="Q463" s="85">
        <v>0</v>
      </c>
      <c r="R463" s="85">
        <v>0</v>
      </c>
      <c r="S463" s="85">
        <v>0</v>
      </c>
      <c r="T463" s="85">
        <v>0</v>
      </c>
      <c r="U463" s="85">
        <v>0</v>
      </c>
      <c r="V463" s="85">
        <v>0</v>
      </c>
      <c r="W463" s="85">
        <v>0</v>
      </c>
      <c r="X463" s="85">
        <v>0</v>
      </c>
      <c r="Y463" s="85">
        <v>0</v>
      </c>
      <c r="Z463" s="85">
        <v>0</v>
      </c>
      <c r="AA463" s="85">
        <v>0</v>
      </c>
      <c r="AB463" s="85">
        <v>0</v>
      </c>
      <c r="AC463" s="85">
        <v>0</v>
      </c>
      <c r="AD463" s="85"/>
    </row>
    <row r="464" spans="1:30">
      <c r="A464" s="82" t="s">
        <v>414</v>
      </c>
      <c r="B464" s="83" t="s">
        <v>594</v>
      </c>
      <c r="C464" s="84" t="s">
        <v>680</v>
      </c>
      <c r="D464" s="84" t="s">
        <v>680</v>
      </c>
      <c r="E464" s="84" t="s">
        <v>680</v>
      </c>
      <c r="F464" s="84" t="s">
        <v>680</v>
      </c>
      <c r="G464" s="84" t="s">
        <v>680</v>
      </c>
      <c r="H464" s="84" t="s">
        <v>680</v>
      </c>
      <c r="I464" s="84" t="s">
        <v>680</v>
      </c>
      <c r="J464" s="85">
        <v>0</v>
      </c>
      <c r="K464" s="85">
        <v>0</v>
      </c>
      <c r="L464" s="85"/>
      <c r="M464" s="85"/>
      <c r="N464" s="85">
        <f>29.06*0.055</f>
        <v>1.5982999999999998</v>
      </c>
      <c r="O464" s="85">
        <f>28.69*0.055</f>
        <v>1.5779500000000002</v>
      </c>
      <c r="P464" s="85">
        <f>29.68*0.055</f>
        <v>1.6324000000000001</v>
      </c>
      <c r="Q464" s="85">
        <f>22.03*0.055</f>
        <v>1.2116500000000001</v>
      </c>
      <c r="R464" s="85">
        <f>44.76*0.055</f>
        <v>2.4617999999999998</v>
      </c>
      <c r="S464" s="85">
        <f>48.28*0.055</f>
        <v>2.6554000000000002</v>
      </c>
      <c r="T464" s="85">
        <f>49.95*0.055</f>
        <v>2.7472500000000002</v>
      </c>
      <c r="U464" s="85">
        <f>29.06*0.055</f>
        <v>1.5982999999999998</v>
      </c>
      <c r="V464" s="85">
        <f>36.28*0.055</f>
        <v>1.9954000000000001</v>
      </c>
      <c r="W464" s="85">
        <f>37.648*0.055</f>
        <v>2.07064</v>
      </c>
      <c r="X464" s="85">
        <f>36.99*0.055</f>
        <v>2.0344500000000001</v>
      </c>
      <c r="Y464" s="85">
        <f>10.7032*0.055</f>
        <v>0.58867600000000009</v>
      </c>
      <c r="Z464" s="85">
        <f>15.558*0.055</f>
        <v>0.85568999999999995</v>
      </c>
      <c r="AA464" s="94">
        <f>23.39*0.055</f>
        <v>1.2864500000000001</v>
      </c>
      <c r="AB464" s="94">
        <f>25.84*0.055</f>
        <v>1.4212</v>
      </c>
      <c r="AC464" s="94">
        <f>14.96*0.055</f>
        <v>0.82280000000000009</v>
      </c>
      <c r="AD464" s="85"/>
    </row>
    <row r="465" spans="1:30">
      <c r="A465" s="82" t="s">
        <v>414</v>
      </c>
      <c r="B465" s="87" t="s">
        <v>643</v>
      </c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>
        <v>0</v>
      </c>
      <c r="O465" s="85">
        <v>0</v>
      </c>
      <c r="P465" s="85">
        <v>0</v>
      </c>
      <c r="Q465" s="85">
        <v>0</v>
      </c>
      <c r="R465" s="85">
        <v>0</v>
      </c>
      <c r="S465" s="85">
        <v>0</v>
      </c>
      <c r="T465" s="85">
        <v>0</v>
      </c>
      <c r="U465" s="85">
        <v>0</v>
      </c>
      <c r="V465" s="85">
        <v>0</v>
      </c>
      <c r="W465" s="85">
        <v>0</v>
      </c>
      <c r="X465" s="85">
        <v>0</v>
      </c>
      <c r="Y465" s="85">
        <v>0</v>
      </c>
      <c r="Z465" s="85">
        <v>0</v>
      </c>
      <c r="AA465" s="85">
        <v>0</v>
      </c>
      <c r="AB465" s="85">
        <v>0</v>
      </c>
      <c r="AC465" s="85">
        <v>0</v>
      </c>
      <c r="AD465" s="85"/>
    </row>
    <row r="466" spans="1:30">
      <c r="A466" s="82" t="s">
        <v>732</v>
      </c>
      <c r="B466" s="83" t="s">
        <v>597</v>
      </c>
      <c r="C466" s="85">
        <v>0</v>
      </c>
      <c r="D466" s="85">
        <v>0</v>
      </c>
      <c r="E466" s="85">
        <v>0</v>
      </c>
      <c r="F466" s="85">
        <v>0</v>
      </c>
      <c r="G466" s="85">
        <v>0</v>
      </c>
      <c r="H466" s="85">
        <v>0</v>
      </c>
      <c r="I466" s="85">
        <v>0</v>
      </c>
      <c r="J466" s="85">
        <v>0</v>
      </c>
      <c r="K466" s="85">
        <v>0</v>
      </c>
      <c r="L466" s="85">
        <v>0</v>
      </c>
      <c r="M466" s="85">
        <v>0</v>
      </c>
      <c r="N466" s="85">
        <v>0</v>
      </c>
      <c r="O466" s="85">
        <v>0</v>
      </c>
      <c r="P466" s="85">
        <v>0</v>
      </c>
      <c r="Q466" s="85">
        <v>0</v>
      </c>
      <c r="R466" s="85">
        <f>5*0.02</f>
        <v>0.1</v>
      </c>
      <c r="S466" s="85">
        <v>0</v>
      </c>
      <c r="T466" s="85">
        <v>0</v>
      </c>
      <c r="U466" s="85">
        <v>0</v>
      </c>
      <c r="V466" s="85">
        <v>0</v>
      </c>
      <c r="W466" s="85">
        <v>0</v>
      </c>
      <c r="X466" s="85">
        <v>0</v>
      </c>
      <c r="Y466" s="85">
        <v>0</v>
      </c>
      <c r="Z466" s="85">
        <v>0</v>
      </c>
      <c r="AA466" s="85">
        <v>0</v>
      </c>
      <c r="AB466" s="85">
        <v>0</v>
      </c>
      <c r="AC466" s="85">
        <v>0</v>
      </c>
      <c r="AD466" s="85"/>
    </row>
    <row r="467" spans="1:30">
      <c r="A467" s="82" t="s">
        <v>732</v>
      </c>
      <c r="B467" s="83" t="s">
        <v>600</v>
      </c>
      <c r="C467" s="85">
        <v>0</v>
      </c>
      <c r="D467" s="85">
        <v>0</v>
      </c>
      <c r="E467" s="85">
        <v>0</v>
      </c>
      <c r="F467" s="85">
        <v>0</v>
      </c>
      <c r="G467" s="85">
        <v>0</v>
      </c>
      <c r="H467" s="85">
        <v>0</v>
      </c>
      <c r="I467" s="85">
        <v>0</v>
      </c>
      <c r="J467" s="85">
        <v>0</v>
      </c>
      <c r="K467" s="85">
        <v>0</v>
      </c>
      <c r="L467" s="85">
        <v>0</v>
      </c>
      <c r="M467" s="85">
        <v>0</v>
      </c>
      <c r="N467" s="85">
        <v>0</v>
      </c>
      <c r="O467" s="85">
        <v>0</v>
      </c>
      <c r="P467" s="85">
        <v>0</v>
      </c>
      <c r="Q467" s="85">
        <v>0</v>
      </c>
      <c r="R467" s="85">
        <v>0</v>
      </c>
      <c r="S467" s="85">
        <v>0</v>
      </c>
      <c r="T467" s="85">
        <v>0</v>
      </c>
      <c r="U467" s="85">
        <v>0</v>
      </c>
      <c r="V467" s="85">
        <v>0</v>
      </c>
      <c r="W467" s="85">
        <v>0</v>
      </c>
      <c r="X467" s="85">
        <v>0</v>
      </c>
      <c r="Y467" s="85">
        <v>0</v>
      </c>
      <c r="Z467" s="85">
        <v>0</v>
      </c>
      <c r="AA467" s="85">
        <v>0</v>
      </c>
      <c r="AB467" s="85">
        <v>0</v>
      </c>
      <c r="AC467" s="85">
        <v>0</v>
      </c>
      <c r="AD467" s="85"/>
    </row>
    <row r="468" spans="1:30">
      <c r="A468" s="82" t="s">
        <v>732</v>
      </c>
      <c r="B468" s="83" t="s">
        <v>595</v>
      </c>
      <c r="C468" s="85">
        <v>0</v>
      </c>
      <c r="D468" s="85">
        <v>0</v>
      </c>
      <c r="E468" s="85">
        <v>0</v>
      </c>
      <c r="F468" s="85">
        <v>0</v>
      </c>
      <c r="G468" s="85">
        <f>10*0.11</f>
        <v>1.1000000000000001</v>
      </c>
      <c r="H468" s="85">
        <f>20.32*0.11</f>
        <v>2.2351999999999999</v>
      </c>
      <c r="I468" s="85">
        <f>20*0.11</f>
        <v>2.2000000000000002</v>
      </c>
      <c r="J468" s="85">
        <f>33.5*0.11</f>
        <v>3.6850000000000001</v>
      </c>
      <c r="K468" s="85">
        <f>35.5*0.11</f>
        <v>3.9049999999999998</v>
      </c>
      <c r="L468" s="85">
        <f>30*0.11</f>
        <v>3.3</v>
      </c>
      <c r="M468" s="85">
        <f>16*0.11</f>
        <v>1.76</v>
      </c>
      <c r="N468" s="85">
        <f>21*0.11</f>
        <v>2.31</v>
      </c>
      <c r="O468" s="85">
        <f>5.54*0.11</f>
        <v>0.60940000000000005</v>
      </c>
      <c r="P468" s="85">
        <f>11.3*0.11</f>
        <v>1.2430000000000001</v>
      </c>
      <c r="Q468" s="85">
        <f>121.84*0.11</f>
        <v>13.4024</v>
      </c>
      <c r="R468" s="85">
        <f>182*0.11</f>
        <v>20.02</v>
      </c>
      <c r="S468" s="85">
        <f>102.01*0.11</f>
        <v>11.2211</v>
      </c>
      <c r="T468" s="85">
        <f>107.8*0.11</f>
        <v>11.858000000000001</v>
      </c>
      <c r="U468" s="85">
        <f>93*0.11</f>
        <v>10.23</v>
      </c>
      <c r="V468" s="85">
        <f>105*0.11</f>
        <v>11.55</v>
      </c>
      <c r="W468" s="85">
        <f>315.75*0.11</f>
        <v>34.732500000000002</v>
      </c>
      <c r="X468" s="85">
        <f>265*0.11</f>
        <v>29.15</v>
      </c>
      <c r="Y468" s="85">
        <f>260*0.11</f>
        <v>28.6</v>
      </c>
      <c r="Z468" s="85">
        <f>188*0.11</f>
        <v>20.68</v>
      </c>
      <c r="AA468" s="85">
        <f>139.85*0.11</f>
        <v>15.3835</v>
      </c>
      <c r="AB468" s="85">
        <f>56.03*0.11</f>
        <v>6.1633000000000004</v>
      </c>
      <c r="AC468" s="85">
        <v>0</v>
      </c>
      <c r="AD468" s="85"/>
    </row>
    <row r="469" spans="1:30">
      <c r="A469" s="82" t="s">
        <v>732</v>
      </c>
      <c r="B469" s="83" t="s">
        <v>700</v>
      </c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>
        <f>113.74*0.11</f>
        <v>12.5114</v>
      </c>
      <c r="R469" s="85">
        <f>259.34*0.11</f>
        <v>28.527399999999997</v>
      </c>
      <c r="S469" s="85">
        <f>380*0.11</f>
        <v>41.8</v>
      </c>
      <c r="T469" s="85">
        <f>371*0.11</f>
        <v>40.81</v>
      </c>
      <c r="U469" s="85">
        <f>247.5*0.11</f>
        <v>27.225000000000001</v>
      </c>
      <c r="V469" s="85">
        <f>238*0.11</f>
        <v>26.18</v>
      </c>
      <c r="W469" s="85">
        <v>0</v>
      </c>
      <c r="X469" s="85">
        <v>0</v>
      </c>
      <c r="Y469" s="85">
        <v>0</v>
      </c>
      <c r="Z469" s="85">
        <v>0</v>
      </c>
      <c r="AA469" s="85">
        <v>0</v>
      </c>
      <c r="AB469" s="85">
        <v>0</v>
      </c>
      <c r="AC469" s="85">
        <v>0</v>
      </c>
      <c r="AD469" s="85"/>
    </row>
    <row r="470" spans="1:30">
      <c r="A470" s="82" t="s">
        <v>732</v>
      </c>
      <c r="B470" s="83" t="s">
        <v>596</v>
      </c>
      <c r="C470" s="85">
        <v>0</v>
      </c>
      <c r="D470" s="85">
        <v>0</v>
      </c>
      <c r="E470" s="85">
        <v>0</v>
      </c>
      <c r="F470" s="85">
        <v>0</v>
      </c>
      <c r="G470" s="85">
        <v>0</v>
      </c>
      <c r="H470" s="85">
        <v>0</v>
      </c>
      <c r="I470" s="85">
        <v>0</v>
      </c>
      <c r="J470" s="85">
        <v>0</v>
      </c>
      <c r="K470" s="85">
        <v>0</v>
      </c>
      <c r="L470" s="85">
        <v>0</v>
      </c>
      <c r="M470" s="85">
        <v>0</v>
      </c>
      <c r="N470" s="85">
        <v>0</v>
      </c>
      <c r="O470" s="85">
        <v>0</v>
      </c>
      <c r="P470" s="85">
        <v>0</v>
      </c>
      <c r="Q470" s="85">
        <v>0</v>
      </c>
      <c r="R470" s="85">
        <v>0</v>
      </c>
      <c r="S470" s="85">
        <v>0</v>
      </c>
      <c r="T470" s="85">
        <v>0</v>
      </c>
      <c r="U470" s="85">
        <v>0</v>
      </c>
      <c r="V470" s="85">
        <v>0</v>
      </c>
      <c r="W470" s="85">
        <v>0</v>
      </c>
      <c r="X470" s="85">
        <v>0</v>
      </c>
      <c r="Y470" s="85">
        <v>0</v>
      </c>
      <c r="Z470" s="85">
        <v>0</v>
      </c>
      <c r="AA470" s="85">
        <v>0</v>
      </c>
      <c r="AB470" s="85">
        <v>0</v>
      </c>
      <c r="AC470" s="85">
        <v>0</v>
      </c>
      <c r="AD470" s="85"/>
    </row>
    <row r="471" spans="1:30">
      <c r="A471" s="82" t="s">
        <v>732</v>
      </c>
      <c r="B471" s="83" t="s">
        <v>594</v>
      </c>
      <c r="C471" s="85">
        <v>0</v>
      </c>
      <c r="D471" s="85">
        <v>0</v>
      </c>
      <c r="E471" s="85">
        <f>293.18*0.055</f>
        <v>16.1249</v>
      </c>
      <c r="F471" s="85">
        <f>276.45*0.055</f>
        <v>15.204749999999999</v>
      </c>
      <c r="G471" s="85">
        <f>250.83*0.055</f>
        <v>13.79565</v>
      </c>
      <c r="H471" s="85">
        <f>229.45*0.055</f>
        <v>12.61975</v>
      </c>
      <c r="I471" s="85">
        <f>271*0.055</f>
        <v>14.904999999999999</v>
      </c>
      <c r="J471" s="85">
        <f>(341-11.2)*0.055</f>
        <v>18.138999999999999</v>
      </c>
      <c r="K471" s="85">
        <f>295*0.055</f>
        <v>16.225000000000001</v>
      </c>
      <c r="L471" s="85">
        <f>285*0.055</f>
        <v>15.675000000000001</v>
      </c>
      <c r="M471" s="85">
        <f>(288-9.25)*0.055</f>
        <v>15.331250000000001</v>
      </c>
      <c r="N471" s="85">
        <f>(356-10.2)*0.055</f>
        <v>19.019000000000002</v>
      </c>
      <c r="O471" s="85">
        <f>(350-1.7)*0.055</f>
        <v>19.156500000000001</v>
      </c>
      <c r="P471" s="85">
        <f>421*0.055</f>
        <v>23.155000000000001</v>
      </c>
      <c r="Q471" s="85">
        <f>576.43*0.055</f>
        <v>31.703649999999996</v>
      </c>
      <c r="R471" s="85">
        <f>727.11*0.055</f>
        <v>39.991050000000001</v>
      </c>
      <c r="S471" s="85">
        <f>708.13*0.055</f>
        <v>38.947150000000001</v>
      </c>
      <c r="T471" s="85">
        <f>734*0.055</f>
        <v>40.369999999999997</v>
      </c>
      <c r="U471" s="85">
        <f>600.5*0.055</f>
        <v>33.027500000000003</v>
      </c>
      <c r="V471" s="85">
        <f>581*0.055</f>
        <v>31.955000000000002</v>
      </c>
      <c r="W471" s="85">
        <f>566*0.055</f>
        <v>31.13</v>
      </c>
      <c r="X471" s="85">
        <f>(568-27.88)*0.055</f>
        <v>29.706600000000002</v>
      </c>
      <c r="Y471" s="85">
        <f>482.72*0.055</f>
        <v>26.549600000000002</v>
      </c>
      <c r="Z471" s="85">
        <f>562.5*0.055</f>
        <v>30.9375</v>
      </c>
      <c r="AA471" s="85">
        <f>(519.58-2.57)*0.055</f>
        <v>28.435549999999999</v>
      </c>
      <c r="AB471" s="85">
        <f>526.18*0.055</f>
        <v>28.939899999999998</v>
      </c>
      <c r="AC471" s="85">
        <f>474.28*0.055</f>
        <v>26.0854</v>
      </c>
      <c r="AD471" s="85"/>
    </row>
    <row r="472" spans="1:30">
      <c r="A472" s="82" t="s">
        <v>732</v>
      </c>
      <c r="B472" s="87" t="s">
        <v>643</v>
      </c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>
        <v>0</v>
      </c>
      <c r="O472" s="85">
        <v>0</v>
      </c>
      <c r="P472" s="85">
        <v>0</v>
      </c>
      <c r="Q472" s="85">
        <v>0</v>
      </c>
      <c r="R472" s="85">
        <v>0</v>
      </c>
      <c r="S472" s="85">
        <v>0</v>
      </c>
      <c r="T472" s="85">
        <v>0</v>
      </c>
      <c r="U472" s="85">
        <v>0</v>
      </c>
      <c r="V472" s="85">
        <v>0</v>
      </c>
      <c r="W472" s="85">
        <v>0</v>
      </c>
      <c r="X472" s="85">
        <v>0</v>
      </c>
      <c r="Y472" s="85">
        <v>0</v>
      </c>
      <c r="Z472" s="85">
        <v>0</v>
      </c>
      <c r="AA472" s="85">
        <v>0</v>
      </c>
      <c r="AB472" s="85">
        <v>0</v>
      </c>
      <c r="AC472" s="85">
        <v>0</v>
      </c>
      <c r="AD472" s="85"/>
    </row>
    <row r="473" spans="1:30">
      <c r="A473" s="82" t="s">
        <v>733</v>
      </c>
      <c r="B473" s="83" t="s">
        <v>597</v>
      </c>
      <c r="C473" s="84" t="s">
        <v>680</v>
      </c>
      <c r="D473" s="84" t="s">
        <v>680</v>
      </c>
      <c r="E473" s="84" t="s">
        <v>680</v>
      </c>
      <c r="F473" s="84" t="s">
        <v>680</v>
      </c>
      <c r="G473" s="84" t="s">
        <v>680</v>
      </c>
      <c r="H473" s="84" t="s">
        <v>680</v>
      </c>
      <c r="I473" s="85">
        <v>0</v>
      </c>
      <c r="J473" s="84" t="s">
        <v>680</v>
      </c>
      <c r="K473" s="85">
        <v>0</v>
      </c>
      <c r="L473" s="85">
        <v>0</v>
      </c>
      <c r="M473" s="85">
        <v>0</v>
      </c>
      <c r="N473" s="85">
        <v>0</v>
      </c>
      <c r="O473" s="85">
        <v>0</v>
      </c>
      <c r="P473" s="85">
        <v>0</v>
      </c>
      <c r="Q473" s="85">
        <v>0</v>
      </c>
      <c r="R473" s="85">
        <v>0</v>
      </c>
      <c r="S473" s="85">
        <v>0</v>
      </c>
      <c r="T473" s="85">
        <v>0</v>
      </c>
      <c r="U473" s="85">
        <v>0</v>
      </c>
      <c r="V473" s="85">
        <v>0</v>
      </c>
      <c r="W473" s="85">
        <v>0</v>
      </c>
      <c r="X473" s="85">
        <v>0</v>
      </c>
      <c r="Y473" s="85">
        <v>0</v>
      </c>
      <c r="Z473" s="85">
        <v>0</v>
      </c>
      <c r="AA473" s="85">
        <v>0</v>
      </c>
      <c r="AB473" s="85">
        <v>0</v>
      </c>
      <c r="AC473" s="85">
        <v>0</v>
      </c>
      <c r="AD473" s="85"/>
    </row>
    <row r="474" spans="1:30">
      <c r="A474" s="82" t="s">
        <v>733</v>
      </c>
      <c r="B474" s="83" t="s">
        <v>600</v>
      </c>
      <c r="C474" s="84" t="s">
        <v>680</v>
      </c>
      <c r="D474" s="84" t="s">
        <v>680</v>
      </c>
      <c r="E474" s="84" t="s">
        <v>680</v>
      </c>
      <c r="F474" s="84" t="s">
        <v>680</v>
      </c>
      <c r="G474" s="84" t="s">
        <v>680</v>
      </c>
      <c r="H474" s="84" t="s">
        <v>680</v>
      </c>
      <c r="I474" s="85">
        <v>0</v>
      </c>
      <c r="J474" s="84" t="s">
        <v>680</v>
      </c>
      <c r="K474" s="85">
        <v>0</v>
      </c>
      <c r="L474" s="85">
        <v>0</v>
      </c>
      <c r="M474" s="85">
        <v>0</v>
      </c>
      <c r="N474" s="85">
        <v>0</v>
      </c>
      <c r="O474" s="85">
        <v>0</v>
      </c>
      <c r="P474" s="85">
        <v>0</v>
      </c>
      <c r="Q474" s="85">
        <v>0</v>
      </c>
      <c r="R474" s="85">
        <v>0</v>
      </c>
      <c r="S474" s="85">
        <v>0</v>
      </c>
      <c r="T474" s="85">
        <v>0</v>
      </c>
      <c r="U474" s="85">
        <v>0</v>
      </c>
      <c r="V474" s="85">
        <v>0</v>
      </c>
      <c r="W474" s="85">
        <v>0</v>
      </c>
      <c r="X474" s="85">
        <v>0</v>
      </c>
      <c r="Y474" s="85">
        <v>0</v>
      </c>
      <c r="Z474" s="85">
        <v>0</v>
      </c>
      <c r="AA474" s="85">
        <v>0</v>
      </c>
      <c r="AB474" s="85">
        <v>0</v>
      </c>
      <c r="AC474" s="85">
        <v>0</v>
      </c>
      <c r="AD474" s="85"/>
    </row>
    <row r="475" spans="1:30">
      <c r="A475" s="82" t="s">
        <v>733</v>
      </c>
      <c r="B475" s="83" t="s">
        <v>595</v>
      </c>
      <c r="C475" s="84" t="s">
        <v>680</v>
      </c>
      <c r="D475" s="84" t="s">
        <v>680</v>
      </c>
      <c r="E475" s="84" t="s">
        <v>680</v>
      </c>
      <c r="F475" s="84" t="s">
        <v>680</v>
      </c>
      <c r="G475" s="84" t="s">
        <v>680</v>
      </c>
      <c r="H475" s="84" t="s">
        <v>680</v>
      </c>
      <c r="I475" s="85">
        <v>0</v>
      </c>
      <c r="J475" s="84" t="s">
        <v>680</v>
      </c>
      <c r="K475" s="85">
        <v>0</v>
      </c>
      <c r="L475" s="85">
        <v>0</v>
      </c>
      <c r="M475" s="85">
        <v>0</v>
      </c>
      <c r="N475" s="85">
        <v>0</v>
      </c>
      <c r="O475" s="85">
        <v>0</v>
      </c>
      <c r="P475" s="85">
        <v>0</v>
      </c>
      <c r="Q475" s="85">
        <v>0</v>
      </c>
      <c r="R475" s="85">
        <v>0</v>
      </c>
      <c r="S475" s="85">
        <v>0</v>
      </c>
      <c r="T475" s="85">
        <v>0</v>
      </c>
      <c r="U475" s="85">
        <v>0</v>
      </c>
      <c r="V475" s="85">
        <v>0</v>
      </c>
      <c r="W475" s="85">
        <v>0</v>
      </c>
      <c r="X475" s="85">
        <v>0</v>
      </c>
      <c r="Y475" s="85">
        <v>0</v>
      </c>
      <c r="Z475" s="85">
        <v>0</v>
      </c>
      <c r="AA475" s="85">
        <v>0</v>
      </c>
      <c r="AB475" s="85">
        <v>0</v>
      </c>
      <c r="AC475" s="85">
        <v>0</v>
      </c>
      <c r="AD475" s="85"/>
    </row>
    <row r="476" spans="1:30">
      <c r="A476" s="82" t="s">
        <v>733</v>
      </c>
      <c r="B476" s="83" t="s">
        <v>596</v>
      </c>
      <c r="C476" s="84" t="s">
        <v>680</v>
      </c>
      <c r="D476" s="84" t="s">
        <v>680</v>
      </c>
      <c r="E476" s="84" t="s">
        <v>680</v>
      </c>
      <c r="F476" s="84" t="s">
        <v>680</v>
      </c>
      <c r="G476" s="84" t="s">
        <v>680</v>
      </c>
      <c r="H476" s="84" t="s">
        <v>680</v>
      </c>
      <c r="I476" s="85">
        <v>0</v>
      </c>
      <c r="J476" s="84" t="s">
        <v>680</v>
      </c>
      <c r="K476" s="85">
        <v>0</v>
      </c>
      <c r="L476" s="85">
        <v>0</v>
      </c>
      <c r="M476" s="85">
        <v>0</v>
      </c>
      <c r="N476" s="85">
        <v>0</v>
      </c>
      <c r="O476" s="85">
        <v>0</v>
      </c>
      <c r="P476" s="85">
        <v>0</v>
      </c>
      <c r="Q476" s="85">
        <v>0</v>
      </c>
      <c r="R476" s="85">
        <v>0</v>
      </c>
      <c r="S476" s="85">
        <f>0.28*0.065</f>
        <v>1.8200000000000001E-2</v>
      </c>
      <c r="T476" s="85">
        <v>0</v>
      </c>
      <c r="U476" s="85">
        <v>0</v>
      </c>
      <c r="V476" s="85">
        <f>0.2*0.065</f>
        <v>1.3000000000000001E-2</v>
      </c>
      <c r="W476" s="85">
        <f>0.34*0.065</f>
        <v>2.2100000000000002E-2</v>
      </c>
      <c r="X476" s="85">
        <f>0.07*0.065</f>
        <v>4.5500000000000002E-3</v>
      </c>
      <c r="Y476" s="85">
        <f>0.07626*0.065</f>
        <v>4.9569000000000002E-3</v>
      </c>
      <c r="Z476" s="85">
        <f>0.0139*0.065</f>
        <v>9.0350000000000001E-4</v>
      </c>
      <c r="AA476" s="85">
        <v>0</v>
      </c>
      <c r="AB476" s="85">
        <v>0</v>
      </c>
      <c r="AC476" s="99">
        <f>0.00557*0.065</f>
        <v>3.6205000000000005E-4</v>
      </c>
      <c r="AD476" s="85"/>
    </row>
    <row r="477" spans="1:30">
      <c r="A477" s="82" t="s">
        <v>733</v>
      </c>
      <c r="B477" s="83" t="s">
        <v>594</v>
      </c>
      <c r="C477" s="84" t="s">
        <v>680</v>
      </c>
      <c r="D477" s="84" t="s">
        <v>680</v>
      </c>
      <c r="E477" s="84" t="s">
        <v>680</v>
      </c>
      <c r="F477" s="84" t="s">
        <v>680</v>
      </c>
      <c r="G477" s="84" t="s">
        <v>680</v>
      </c>
      <c r="H477" s="84" t="s">
        <v>680</v>
      </c>
      <c r="I477" s="85">
        <f>16.5*0.055</f>
        <v>0.90749999999999997</v>
      </c>
      <c r="J477" s="84" t="s">
        <v>680</v>
      </c>
      <c r="K477" s="85">
        <f>16*0.055</f>
        <v>0.88</v>
      </c>
      <c r="L477" s="85">
        <f>15.8*0.055</f>
        <v>0.86899999999999999</v>
      </c>
      <c r="M477" s="85">
        <f>15.4*0.055</f>
        <v>0.84699999999999998</v>
      </c>
      <c r="N477" s="85">
        <f>24.8*0.055</f>
        <v>1.3640000000000001</v>
      </c>
      <c r="O477" s="85">
        <f>140*0.055</f>
        <v>7.7</v>
      </c>
      <c r="P477" s="85">
        <f>210*0.055</f>
        <v>11.55</v>
      </c>
      <c r="Q477" s="85">
        <f>187*0.055</f>
        <v>10.285</v>
      </c>
      <c r="R477" s="85">
        <f>57.09*0.055</f>
        <v>3.1399500000000002</v>
      </c>
      <c r="S477" s="85">
        <f>45.08*0.055</f>
        <v>2.4794</v>
      </c>
      <c r="T477" s="85">
        <f>40.8*0.055</f>
        <v>2.2439999999999998</v>
      </c>
      <c r="U477" s="85">
        <f>35.6*0.055</f>
        <v>1.9580000000000002</v>
      </c>
      <c r="V477" s="85">
        <f>20.4*0.055</f>
        <v>1.1219999999999999</v>
      </c>
      <c r="W477" s="85">
        <f>13.3*0.055</f>
        <v>0.73150000000000004</v>
      </c>
      <c r="X477" s="85">
        <f>12.77*0.055</f>
        <v>0.70235000000000003</v>
      </c>
      <c r="Y477" s="85">
        <f>12.589*0.055</f>
        <v>0.69239499999999998</v>
      </c>
      <c r="Z477" s="85">
        <f>11.454*0.055</f>
        <v>0.62997000000000003</v>
      </c>
      <c r="AA477" s="85">
        <f>10.27*0.055</f>
        <v>0.56484999999999996</v>
      </c>
      <c r="AB477" s="85">
        <f>8.343*0.055</f>
        <v>0.45886500000000002</v>
      </c>
      <c r="AC477" s="85">
        <f>8.063*0.055</f>
        <v>0.44346500000000005</v>
      </c>
      <c r="AD477" s="85"/>
    </row>
    <row r="478" spans="1:30">
      <c r="A478" s="82" t="s">
        <v>733</v>
      </c>
      <c r="B478" s="87" t="s">
        <v>643</v>
      </c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>
        <v>0</v>
      </c>
      <c r="O478" s="85">
        <v>0</v>
      </c>
      <c r="P478" s="85">
        <v>0</v>
      </c>
      <c r="Q478" s="85">
        <v>0</v>
      </c>
      <c r="R478" s="85">
        <v>0</v>
      </c>
      <c r="S478" s="85">
        <v>0</v>
      </c>
      <c r="T478" s="85">
        <v>0</v>
      </c>
      <c r="U478" s="85">
        <v>0</v>
      </c>
      <c r="V478" s="85">
        <v>0</v>
      </c>
      <c r="W478" s="85">
        <v>0</v>
      </c>
      <c r="X478" s="85">
        <v>0</v>
      </c>
      <c r="Y478" s="85">
        <v>0</v>
      </c>
      <c r="Z478" s="85">
        <v>0</v>
      </c>
      <c r="AA478" s="85">
        <v>0</v>
      </c>
      <c r="AB478" s="85">
        <v>0</v>
      </c>
      <c r="AC478" s="85">
        <v>0</v>
      </c>
      <c r="AD478" s="85"/>
    </row>
    <row r="479" spans="1:30">
      <c r="A479" s="82" t="s">
        <v>734</v>
      </c>
      <c r="B479" s="83" t="s">
        <v>597</v>
      </c>
      <c r="C479" s="84" t="s">
        <v>680</v>
      </c>
      <c r="D479" s="84" t="s">
        <v>680</v>
      </c>
      <c r="E479" s="84" t="s">
        <v>680</v>
      </c>
      <c r="F479" s="84" t="s">
        <v>680</v>
      </c>
      <c r="G479" s="84" t="s">
        <v>680</v>
      </c>
      <c r="H479" s="84" t="s">
        <v>680</v>
      </c>
      <c r="I479" s="84" t="s">
        <v>680</v>
      </c>
      <c r="J479" s="84" t="s">
        <v>680</v>
      </c>
      <c r="K479" s="84" t="s">
        <v>680</v>
      </c>
      <c r="L479" s="85">
        <v>0</v>
      </c>
      <c r="M479" s="85"/>
      <c r="N479" s="85">
        <v>0</v>
      </c>
      <c r="O479" s="85">
        <v>0</v>
      </c>
      <c r="P479" s="85">
        <v>0</v>
      </c>
      <c r="Q479" s="85">
        <v>0</v>
      </c>
      <c r="R479" s="85">
        <v>0</v>
      </c>
      <c r="S479" s="85">
        <v>0</v>
      </c>
      <c r="T479" s="85">
        <v>0</v>
      </c>
      <c r="U479" s="85">
        <v>0</v>
      </c>
      <c r="V479" s="85">
        <v>0</v>
      </c>
      <c r="W479" s="85">
        <v>0</v>
      </c>
      <c r="X479" s="85">
        <v>0</v>
      </c>
      <c r="Y479" s="85">
        <v>0</v>
      </c>
      <c r="Z479" s="85">
        <v>0</v>
      </c>
      <c r="AA479" s="85">
        <v>0</v>
      </c>
      <c r="AB479" s="85">
        <v>0</v>
      </c>
      <c r="AC479" s="85">
        <v>0</v>
      </c>
      <c r="AD479" s="85"/>
    </row>
    <row r="480" spans="1:30">
      <c r="A480" s="82" t="s">
        <v>734</v>
      </c>
      <c r="B480" s="83" t="s">
        <v>600</v>
      </c>
      <c r="C480" s="84" t="s">
        <v>680</v>
      </c>
      <c r="D480" s="84" t="s">
        <v>680</v>
      </c>
      <c r="E480" s="84" t="s">
        <v>680</v>
      </c>
      <c r="F480" s="84" t="s">
        <v>680</v>
      </c>
      <c r="G480" s="84" t="s">
        <v>680</v>
      </c>
      <c r="H480" s="84" t="s">
        <v>680</v>
      </c>
      <c r="I480" s="84" t="s">
        <v>680</v>
      </c>
      <c r="J480" s="84" t="s">
        <v>680</v>
      </c>
      <c r="K480" s="84" t="s">
        <v>680</v>
      </c>
      <c r="L480" s="85">
        <v>0</v>
      </c>
      <c r="M480" s="85"/>
      <c r="N480" s="85">
        <v>0</v>
      </c>
      <c r="O480" s="85">
        <v>0</v>
      </c>
      <c r="P480" s="85">
        <v>0</v>
      </c>
      <c r="Q480" s="85">
        <v>0</v>
      </c>
      <c r="R480" s="85">
        <v>0</v>
      </c>
      <c r="S480" s="85">
        <v>0</v>
      </c>
      <c r="T480" s="85">
        <v>0</v>
      </c>
      <c r="U480" s="85">
        <v>0</v>
      </c>
      <c r="V480" s="85">
        <v>0</v>
      </c>
      <c r="W480" s="85">
        <v>0</v>
      </c>
      <c r="X480" s="85">
        <v>0</v>
      </c>
      <c r="Y480" s="85">
        <v>0</v>
      </c>
      <c r="Z480" s="85">
        <v>0</v>
      </c>
      <c r="AA480" s="85">
        <v>0</v>
      </c>
      <c r="AB480" s="85">
        <v>0</v>
      </c>
      <c r="AC480" s="85">
        <v>0</v>
      </c>
      <c r="AD480" s="85"/>
    </row>
    <row r="481" spans="1:30">
      <c r="A481" s="82" t="s">
        <v>734</v>
      </c>
      <c r="B481" s="83" t="s">
        <v>595</v>
      </c>
      <c r="C481" s="84" t="s">
        <v>680</v>
      </c>
      <c r="D481" s="84" t="s">
        <v>680</v>
      </c>
      <c r="E481" s="84" t="s">
        <v>680</v>
      </c>
      <c r="F481" s="84" t="s">
        <v>680</v>
      </c>
      <c r="G481" s="84" t="s">
        <v>680</v>
      </c>
      <c r="H481" s="84" t="s">
        <v>680</v>
      </c>
      <c r="I481" s="84" t="s">
        <v>680</v>
      </c>
      <c r="J481" s="84" t="s">
        <v>680</v>
      </c>
      <c r="K481" s="84" t="s">
        <v>680</v>
      </c>
      <c r="L481" s="85">
        <v>0</v>
      </c>
      <c r="M481" s="85"/>
      <c r="N481" s="85">
        <v>0</v>
      </c>
      <c r="O481" s="85">
        <v>0</v>
      </c>
      <c r="P481" s="85">
        <v>0</v>
      </c>
      <c r="Q481" s="85">
        <v>0</v>
      </c>
      <c r="R481" s="85">
        <v>0</v>
      </c>
      <c r="S481" s="85">
        <v>0</v>
      </c>
      <c r="T481" s="85">
        <v>0</v>
      </c>
      <c r="U481" s="85">
        <v>0</v>
      </c>
      <c r="V481" s="85">
        <v>0</v>
      </c>
      <c r="W481" s="85">
        <v>0</v>
      </c>
      <c r="X481" s="85">
        <v>0</v>
      </c>
      <c r="Y481" s="85">
        <v>0</v>
      </c>
      <c r="Z481" s="85">
        <v>0</v>
      </c>
      <c r="AA481" s="85">
        <v>0</v>
      </c>
      <c r="AB481" s="85">
        <v>0</v>
      </c>
      <c r="AC481" s="85">
        <v>0</v>
      </c>
      <c r="AD481" s="85"/>
    </row>
    <row r="482" spans="1:30">
      <c r="A482" s="82" t="s">
        <v>734</v>
      </c>
      <c r="B482" s="83" t="s">
        <v>596</v>
      </c>
      <c r="C482" s="84" t="s">
        <v>680</v>
      </c>
      <c r="D482" s="84" t="s">
        <v>680</v>
      </c>
      <c r="E482" s="84" t="s">
        <v>680</v>
      </c>
      <c r="F482" s="84" t="s">
        <v>680</v>
      </c>
      <c r="G482" s="84" t="s">
        <v>680</v>
      </c>
      <c r="H482" s="84" t="s">
        <v>680</v>
      </c>
      <c r="I482" s="84" t="s">
        <v>680</v>
      </c>
      <c r="J482" s="84" t="s">
        <v>680</v>
      </c>
      <c r="K482" s="84" t="s">
        <v>680</v>
      </c>
      <c r="L482" s="85">
        <v>0</v>
      </c>
      <c r="M482" s="85"/>
      <c r="N482" s="85">
        <v>0</v>
      </c>
      <c r="O482" s="85">
        <v>0</v>
      </c>
      <c r="P482" s="85">
        <v>0</v>
      </c>
      <c r="Q482" s="85">
        <v>0</v>
      </c>
      <c r="R482" s="85">
        <v>0</v>
      </c>
      <c r="S482" s="85">
        <v>0</v>
      </c>
      <c r="T482" s="85">
        <v>0</v>
      </c>
      <c r="U482" s="85">
        <v>0</v>
      </c>
      <c r="V482" s="85">
        <v>0</v>
      </c>
      <c r="W482" s="85">
        <v>0</v>
      </c>
      <c r="X482" s="85">
        <v>0</v>
      </c>
      <c r="Y482" s="85">
        <v>0</v>
      </c>
      <c r="Z482" s="85">
        <v>0</v>
      </c>
      <c r="AA482" s="85">
        <v>0</v>
      </c>
      <c r="AB482" s="85">
        <v>0</v>
      </c>
      <c r="AC482" s="85">
        <v>0</v>
      </c>
      <c r="AD482" s="85"/>
    </row>
    <row r="483" spans="1:30">
      <c r="A483" s="82" t="s">
        <v>734</v>
      </c>
      <c r="B483" s="83" t="s">
        <v>594</v>
      </c>
      <c r="C483" s="84" t="s">
        <v>680</v>
      </c>
      <c r="D483" s="84" t="s">
        <v>680</v>
      </c>
      <c r="E483" s="84" t="s">
        <v>680</v>
      </c>
      <c r="F483" s="84" t="s">
        <v>680</v>
      </c>
      <c r="G483" s="84" t="s">
        <v>680</v>
      </c>
      <c r="H483" s="84" t="s">
        <v>680</v>
      </c>
      <c r="I483" s="84" t="s">
        <v>680</v>
      </c>
      <c r="J483" s="84" t="s">
        <v>680</v>
      </c>
      <c r="K483" s="84" t="s">
        <v>680</v>
      </c>
      <c r="L483" s="85">
        <v>0</v>
      </c>
      <c r="M483" s="85"/>
      <c r="N483" s="85">
        <v>1.20835</v>
      </c>
      <c r="O483" s="85">
        <f>34.1*0.055</f>
        <v>1.8755000000000002</v>
      </c>
      <c r="P483" s="85">
        <f>50.2*0.055</f>
        <v>2.7610000000000001</v>
      </c>
      <c r="Q483" s="85">
        <f>90.5*0.055</f>
        <v>4.9775</v>
      </c>
      <c r="R483" s="85">
        <f>100.4*0.055</f>
        <v>5.5220000000000002</v>
      </c>
      <c r="S483" s="85">
        <f>98.4*0.055</f>
        <v>5.4119999999999999</v>
      </c>
      <c r="T483" s="85">
        <f>87.6*0.055</f>
        <v>4.8179999999999996</v>
      </c>
      <c r="U483" s="85">
        <f>82*0.055</f>
        <v>4.51</v>
      </c>
      <c r="V483" s="85">
        <f>68*0.055</f>
        <v>3.74</v>
      </c>
      <c r="W483" s="85">
        <f>56.89*0.055</f>
        <v>3.1289500000000001</v>
      </c>
      <c r="X483" s="85">
        <f>51.59*0.055</f>
        <v>2.83745</v>
      </c>
      <c r="Y483" s="85">
        <f>42.06*0.055</f>
        <v>2.3133000000000004</v>
      </c>
      <c r="Z483" s="85">
        <f>32.35*0.055</f>
        <v>1.77925</v>
      </c>
      <c r="AA483" s="85">
        <f>14.16*0.055</f>
        <v>0.77880000000000005</v>
      </c>
      <c r="AB483" s="85">
        <f>28.65*0.055</f>
        <v>1.57575</v>
      </c>
      <c r="AC483" s="85">
        <f>26.14*0.055</f>
        <v>1.4377</v>
      </c>
      <c r="AD483" s="85"/>
    </row>
    <row r="484" spans="1:30">
      <c r="A484" s="82" t="s">
        <v>734</v>
      </c>
      <c r="B484" s="87" t="s">
        <v>643</v>
      </c>
      <c r="C484" s="85"/>
      <c r="D484" s="85"/>
      <c r="E484" s="85"/>
      <c r="F484" s="85"/>
      <c r="G484" s="85"/>
      <c r="H484" s="85"/>
      <c r="I484" s="85"/>
      <c r="J484" s="85"/>
      <c r="K484" s="85"/>
      <c r="L484" s="85">
        <v>0</v>
      </c>
      <c r="M484" s="85"/>
      <c r="N484" s="85">
        <v>0</v>
      </c>
      <c r="O484" s="85">
        <v>0</v>
      </c>
      <c r="P484" s="85">
        <v>0</v>
      </c>
      <c r="Q484" s="85">
        <v>0</v>
      </c>
      <c r="R484" s="85">
        <v>0</v>
      </c>
      <c r="S484" s="85">
        <v>0</v>
      </c>
      <c r="T484" s="85">
        <v>0</v>
      </c>
      <c r="U484" s="85">
        <v>0</v>
      </c>
      <c r="V484" s="85">
        <v>0</v>
      </c>
      <c r="W484" s="85">
        <v>0</v>
      </c>
      <c r="X484" s="85">
        <v>0</v>
      </c>
      <c r="Y484" s="85">
        <v>0</v>
      </c>
      <c r="Z484" s="85">
        <v>0</v>
      </c>
      <c r="AA484" s="85">
        <v>0</v>
      </c>
      <c r="AB484" s="85">
        <v>0</v>
      </c>
      <c r="AC484" s="85">
        <v>0</v>
      </c>
      <c r="AD484" s="85"/>
    </row>
    <row r="485" spans="1:30">
      <c r="A485" s="82" t="s">
        <v>464</v>
      </c>
      <c r="B485" s="83" t="s">
        <v>597</v>
      </c>
      <c r="C485" s="84" t="s">
        <v>680</v>
      </c>
      <c r="D485" s="84" t="s">
        <v>680</v>
      </c>
      <c r="E485" s="84" t="s">
        <v>680</v>
      </c>
      <c r="F485" s="85">
        <v>0</v>
      </c>
      <c r="G485" s="85">
        <v>0</v>
      </c>
      <c r="H485" s="85">
        <v>0</v>
      </c>
      <c r="I485" s="85">
        <v>0</v>
      </c>
      <c r="J485" s="85">
        <v>0</v>
      </c>
      <c r="K485" s="85">
        <v>0</v>
      </c>
      <c r="L485" s="85">
        <v>0</v>
      </c>
      <c r="M485" s="85">
        <v>0</v>
      </c>
      <c r="N485" s="85">
        <v>0</v>
      </c>
      <c r="O485" s="85">
        <v>0</v>
      </c>
      <c r="P485" s="85">
        <v>0</v>
      </c>
      <c r="Q485" s="85">
        <v>0</v>
      </c>
      <c r="R485" s="85">
        <v>0</v>
      </c>
      <c r="S485" s="85">
        <v>0</v>
      </c>
      <c r="T485" s="85">
        <v>0</v>
      </c>
      <c r="U485" s="85">
        <v>0</v>
      </c>
      <c r="V485" s="85">
        <v>0</v>
      </c>
      <c r="W485" s="85">
        <v>0</v>
      </c>
      <c r="X485" s="85">
        <v>0</v>
      </c>
      <c r="Y485" s="85">
        <v>0</v>
      </c>
      <c r="Z485" s="85">
        <v>0</v>
      </c>
      <c r="AA485" s="85">
        <v>0</v>
      </c>
      <c r="AB485" s="85">
        <v>0</v>
      </c>
      <c r="AC485" s="85">
        <v>0</v>
      </c>
      <c r="AD485" s="85"/>
    </row>
    <row r="486" spans="1:30">
      <c r="A486" s="82" t="s">
        <v>464</v>
      </c>
      <c r="B486" s="83" t="s">
        <v>600</v>
      </c>
      <c r="C486" s="84" t="s">
        <v>680</v>
      </c>
      <c r="D486" s="84" t="s">
        <v>680</v>
      </c>
      <c r="E486" s="84" t="s">
        <v>680</v>
      </c>
      <c r="F486" s="85">
        <v>0</v>
      </c>
      <c r="G486" s="85">
        <v>0</v>
      </c>
      <c r="H486" s="85">
        <v>0</v>
      </c>
      <c r="I486" s="85">
        <v>0</v>
      </c>
      <c r="J486" s="85">
        <v>0</v>
      </c>
      <c r="K486" s="85">
        <v>0</v>
      </c>
      <c r="L486" s="85">
        <v>0</v>
      </c>
      <c r="M486" s="85">
        <v>0</v>
      </c>
      <c r="N486" s="85">
        <v>0</v>
      </c>
      <c r="O486" s="85">
        <v>0</v>
      </c>
      <c r="P486" s="85">
        <v>0</v>
      </c>
      <c r="Q486" s="85">
        <v>0</v>
      </c>
      <c r="R486" s="85">
        <v>0</v>
      </c>
      <c r="S486" s="85">
        <v>0</v>
      </c>
      <c r="T486" s="85">
        <v>0</v>
      </c>
      <c r="U486" s="85">
        <v>0</v>
      </c>
      <c r="V486" s="85">
        <v>0</v>
      </c>
      <c r="W486" s="85">
        <v>0</v>
      </c>
      <c r="X486" s="85">
        <v>0</v>
      </c>
      <c r="Y486" s="85">
        <v>0</v>
      </c>
      <c r="Z486" s="85">
        <v>0</v>
      </c>
      <c r="AA486" s="85">
        <v>0</v>
      </c>
      <c r="AB486" s="85">
        <v>0</v>
      </c>
      <c r="AC486" s="85">
        <v>0</v>
      </c>
      <c r="AD486" s="85"/>
    </row>
    <row r="487" spans="1:30">
      <c r="A487" s="82" t="s">
        <v>464</v>
      </c>
      <c r="B487" s="83" t="s">
        <v>595</v>
      </c>
      <c r="C487" s="84" t="s">
        <v>680</v>
      </c>
      <c r="D487" s="84" t="s">
        <v>680</v>
      </c>
      <c r="E487" s="84" t="s">
        <v>680</v>
      </c>
      <c r="F487" s="85">
        <v>0</v>
      </c>
      <c r="G487" s="85">
        <v>0</v>
      </c>
      <c r="H487" s="85">
        <v>0</v>
      </c>
      <c r="I487" s="85">
        <v>0</v>
      </c>
      <c r="J487" s="85">
        <v>0</v>
      </c>
      <c r="K487" s="85">
        <v>0</v>
      </c>
      <c r="L487" s="85">
        <f>80*0.11</f>
        <v>8.8000000000000007</v>
      </c>
      <c r="M487" s="85">
        <f>200*0.11</f>
        <v>22</v>
      </c>
      <c r="N487" s="85">
        <v>0</v>
      </c>
      <c r="O487" s="85">
        <v>0</v>
      </c>
      <c r="P487" s="85">
        <v>0</v>
      </c>
      <c r="Q487" s="85">
        <f>250.1*0.11</f>
        <v>27.510999999999999</v>
      </c>
      <c r="R487" s="85">
        <f>316.04*0.11</f>
        <v>34.764400000000002</v>
      </c>
      <c r="S487" s="85">
        <f>298.19*0.11</f>
        <v>32.800899999999999</v>
      </c>
      <c r="T487" s="85">
        <f>710*0.11</f>
        <v>78.099999999999994</v>
      </c>
      <c r="U487" s="85">
        <f>480*0.11</f>
        <v>52.8</v>
      </c>
      <c r="V487" s="85">
        <f>320*0.11</f>
        <v>35.200000000000003</v>
      </c>
      <c r="W487" s="85">
        <f>273.64*0.11</f>
        <v>30.100399999999997</v>
      </c>
      <c r="X487" s="85">
        <f>295.73*0.11</f>
        <v>32.530300000000004</v>
      </c>
      <c r="Y487" s="85">
        <f>291.35*0.11</f>
        <v>32.048500000000004</v>
      </c>
      <c r="Z487" s="85">
        <f>261.38*0.11</f>
        <v>28.751799999999999</v>
      </c>
      <c r="AA487" s="85">
        <f>260.9*0.11</f>
        <v>28.698999999999998</v>
      </c>
      <c r="AB487" s="85">
        <f>245.91*0.11</f>
        <v>27.0501</v>
      </c>
      <c r="AC487" s="85">
        <f>245.91*0.11</f>
        <v>27.0501</v>
      </c>
      <c r="AD487" s="85"/>
    </row>
    <row r="488" spans="1:30">
      <c r="A488" s="82" t="s">
        <v>464</v>
      </c>
      <c r="B488" s="83" t="s">
        <v>596</v>
      </c>
      <c r="C488" s="84" t="s">
        <v>680</v>
      </c>
      <c r="D488" s="84" t="s">
        <v>680</v>
      </c>
      <c r="E488" s="84" t="s">
        <v>680</v>
      </c>
      <c r="F488" s="85">
        <v>0</v>
      </c>
      <c r="G488" s="85">
        <v>0</v>
      </c>
      <c r="H488" s="85">
        <v>0</v>
      </c>
      <c r="I488" s="85">
        <v>0</v>
      </c>
      <c r="J488" s="85">
        <v>0</v>
      </c>
      <c r="K488" s="85">
        <v>0</v>
      </c>
      <c r="L488" s="85">
        <v>0</v>
      </c>
      <c r="M488" s="85">
        <v>0</v>
      </c>
      <c r="N488" s="85">
        <v>0</v>
      </c>
      <c r="O488" s="85">
        <v>0</v>
      </c>
      <c r="P488" s="85">
        <v>0</v>
      </c>
      <c r="Q488" s="85">
        <v>0</v>
      </c>
      <c r="R488" s="85">
        <v>0</v>
      </c>
      <c r="S488" s="85">
        <v>0</v>
      </c>
      <c r="T488" s="85">
        <v>0</v>
      </c>
      <c r="U488" s="85">
        <v>0</v>
      </c>
      <c r="V488" s="85">
        <v>0</v>
      </c>
      <c r="W488" s="85">
        <v>0</v>
      </c>
      <c r="X488" s="85">
        <v>0</v>
      </c>
      <c r="Y488" s="85">
        <v>0</v>
      </c>
      <c r="Z488" s="85">
        <v>0</v>
      </c>
      <c r="AA488" s="85">
        <v>0</v>
      </c>
      <c r="AB488" s="85">
        <v>0</v>
      </c>
      <c r="AC488" s="85">
        <v>0</v>
      </c>
      <c r="AD488" s="85"/>
    </row>
    <row r="489" spans="1:30">
      <c r="A489" s="82" t="s">
        <v>464</v>
      </c>
      <c r="B489" s="83" t="s">
        <v>594</v>
      </c>
      <c r="C489" s="84" t="s">
        <v>680</v>
      </c>
      <c r="D489" s="84" t="s">
        <v>680</v>
      </c>
      <c r="E489" s="84" t="s">
        <v>680</v>
      </c>
      <c r="F489" s="85">
        <v>11.53</v>
      </c>
      <c r="G489" s="85">
        <v>10.54</v>
      </c>
      <c r="H489" s="85">
        <v>11.21</v>
      </c>
      <c r="I489" s="85">
        <v>11.21</v>
      </c>
      <c r="J489" s="85">
        <f>11.21*0.055</f>
        <v>0.61655000000000004</v>
      </c>
      <c r="K489" s="85">
        <f>55*0.055</f>
        <v>3.0249999999999999</v>
      </c>
      <c r="L489" s="85">
        <f>58*0.055</f>
        <v>3.19</v>
      </c>
      <c r="M489" s="85">
        <f>63*0.055</f>
        <v>3.4649999999999999</v>
      </c>
      <c r="N489" s="85">
        <f>518.88*0.055</f>
        <v>28.538399999999999</v>
      </c>
      <c r="O489" s="85">
        <f>662.73*0.055</f>
        <v>36.450150000000001</v>
      </c>
      <c r="P489" s="85">
        <f>709.9*0.055</f>
        <v>39.044499999999999</v>
      </c>
      <c r="Q489" s="85">
        <f>1272*0.055</f>
        <v>69.959999999999994</v>
      </c>
      <c r="R489" s="85">
        <f>1900*0.055</f>
        <v>104.5</v>
      </c>
      <c r="S489" s="85">
        <f>1802*0.055</f>
        <v>99.11</v>
      </c>
      <c r="T489" s="85">
        <f>1200*0.055</f>
        <v>66</v>
      </c>
      <c r="U489" s="85">
        <f>1658.14*0.055</f>
        <v>91.197700000000012</v>
      </c>
      <c r="V489" s="85">
        <f>1585.5*0.055</f>
        <v>87.202500000000001</v>
      </c>
      <c r="W489" s="85">
        <f>1631*0.055</f>
        <v>89.704999999999998</v>
      </c>
      <c r="X489" s="85">
        <f>1560.45*0.055</f>
        <v>85.824750000000009</v>
      </c>
      <c r="Y489" s="85">
        <f>1557*0.055</f>
        <v>85.635000000000005</v>
      </c>
      <c r="Z489" s="85">
        <f>872.7*0.055</f>
        <v>47.9985</v>
      </c>
      <c r="AA489" s="85">
        <f>871.85*0.055</f>
        <v>47.951750000000004</v>
      </c>
      <c r="AB489" s="85">
        <f>871.85*0.055</f>
        <v>47.951750000000004</v>
      </c>
      <c r="AC489" s="85">
        <f>871.85*0.055</f>
        <v>47.951750000000004</v>
      </c>
      <c r="AD489" s="85"/>
    </row>
    <row r="490" spans="1:30">
      <c r="A490" s="82" t="s">
        <v>464</v>
      </c>
      <c r="B490" s="87" t="s">
        <v>643</v>
      </c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>
        <v>0</v>
      </c>
      <c r="O490" s="85">
        <v>0</v>
      </c>
      <c r="P490" s="85">
        <v>0</v>
      </c>
      <c r="Q490" s="85">
        <v>0</v>
      </c>
      <c r="R490" s="85">
        <v>0</v>
      </c>
      <c r="S490" s="85">
        <v>0</v>
      </c>
      <c r="T490" s="85">
        <v>0</v>
      </c>
      <c r="U490" s="85">
        <v>0</v>
      </c>
      <c r="V490" s="85">
        <v>0</v>
      </c>
      <c r="W490" s="85">
        <v>0</v>
      </c>
      <c r="X490" s="85">
        <v>0</v>
      </c>
      <c r="Y490" s="85">
        <v>0</v>
      </c>
      <c r="Z490" s="85">
        <v>0</v>
      </c>
      <c r="AA490" s="85">
        <v>0</v>
      </c>
      <c r="AB490" s="85">
        <v>0</v>
      </c>
      <c r="AC490" s="85">
        <v>0</v>
      </c>
      <c r="AD490" s="85"/>
    </row>
    <row r="491" spans="1:30">
      <c r="A491" s="82" t="s">
        <v>735</v>
      </c>
      <c r="B491" s="83" t="s">
        <v>597</v>
      </c>
      <c r="C491" s="84" t="s">
        <v>680</v>
      </c>
      <c r="D491" s="84" t="s">
        <v>680</v>
      </c>
      <c r="E491" s="84" t="s">
        <v>680</v>
      </c>
      <c r="F491" s="84" t="s">
        <v>680</v>
      </c>
      <c r="G491" s="85">
        <v>0</v>
      </c>
      <c r="H491" s="85">
        <v>0</v>
      </c>
      <c r="I491" s="85">
        <v>0</v>
      </c>
      <c r="J491" s="85">
        <v>0</v>
      </c>
      <c r="K491" s="85">
        <v>0</v>
      </c>
      <c r="L491" s="85"/>
      <c r="M491" s="85">
        <v>0</v>
      </c>
      <c r="N491" s="85">
        <v>0</v>
      </c>
      <c r="O491" s="85">
        <v>0</v>
      </c>
      <c r="P491" s="85">
        <v>0</v>
      </c>
      <c r="Q491" s="85">
        <v>0</v>
      </c>
      <c r="R491" s="85">
        <v>0</v>
      </c>
      <c r="S491" s="85">
        <v>0</v>
      </c>
      <c r="T491" s="85">
        <v>0</v>
      </c>
      <c r="U491" s="85">
        <v>0</v>
      </c>
      <c r="V491" s="85">
        <v>0</v>
      </c>
      <c r="W491" s="85">
        <v>0</v>
      </c>
      <c r="X491" s="85">
        <v>0</v>
      </c>
      <c r="Y491" s="85">
        <v>0</v>
      </c>
      <c r="Z491" s="85">
        <v>0</v>
      </c>
      <c r="AA491" s="85">
        <v>0</v>
      </c>
      <c r="AB491" s="85">
        <v>0</v>
      </c>
      <c r="AC491" s="85">
        <v>0</v>
      </c>
      <c r="AD491" s="85"/>
    </row>
    <row r="492" spans="1:30">
      <c r="A492" s="82" t="s">
        <v>735</v>
      </c>
      <c r="B492" s="83" t="s">
        <v>600</v>
      </c>
      <c r="C492" s="84" t="s">
        <v>680</v>
      </c>
      <c r="D492" s="84" t="s">
        <v>680</v>
      </c>
      <c r="E492" s="84" t="s">
        <v>680</v>
      </c>
      <c r="F492" s="84" t="s">
        <v>680</v>
      </c>
      <c r="G492" s="85">
        <v>0</v>
      </c>
      <c r="H492" s="85">
        <v>0</v>
      </c>
      <c r="I492" s="85">
        <v>0</v>
      </c>
      <c r="J492" s="85">
        <v>0</v>
      </c>
      <c r="K492" s="85">
        <v>0</v>
      </c>
      <c r="L492" s="85"/>
      <c r="M492" s="85">
        <v>0</v>
      </c>
      <c r="N492" s="85">
        <v>0</v>
      </c>
      <c r="O492" s="85">
        <v>0</v>
      </c>
      <c r="P492" s="85">
        <v>0</v>
      </c>
      <c r="Q492" s="85">
        <v>0</v>
      </c>
      <c r="R492" s="85">
        <v>0</v>
      </c>
      <c r="S492" s="85">
        <v>0</v>
      </c>
      <c r="T492" s="85">
        <v>0</v>
      </c>
      <c r="U492" s="85">
        <v>0</v>
      </c>
      <c r="V492" s="85">
        <v>0</v>
      </c>
      <c r="W492" s="85">
        <v>0</v>
      </c>
      <c r="X492" s="85">
        <v>0</v>
      </c>
      <c r="Y492" s="85">
        <v>0</v>
      </c>
      <c r="Z492" s="85">
        <v>0</v>
      </c>
      <c r="AA492" s="85">
        <v>0</v>
      </c>
      <c r="AB492" s="85">
        <v>0</v>
      </c>
      <c r="AC492" s="85">
        <v>0</v>
      </c>
      <c r="AD492" s="85"/>
    </row>
    <row r="493" spans="1:30">
      <c r="A493" s="82" t="s">
        <v>735</v>
      </c>
      <c r="B493" s="83" t="s">
        <v>595</v>
      </c>
      <c r="C493" s="84" t="s">
        <v>680</v>
      </c>
      <c r="D493" s="84" t="s">
        <v>680</v>
      </c>
      <c r="E493" s="84" t="s">
        <v>680</v>
      </c>
      <c r="F493" s="84" t="s">
        <v>680</v>
      </c>
      <c r="G493" s="85">
        <v>0</v>
      </c>
      <c r="H493" s="85">
        <v>0</v>
      </c>
      <c r="I493" s="85">
        <v>0</v>
      </c>
      <c r="J493" s="85">
        <v>0</v>
      </c>
      <c r="K493" s="85">
        <v>0</v>
      </c>
      <c r="L493" s="85"/>
      <c r="M493" s="85">
        <v>0</v>
      </c>
      <c r="N493" s="85">
        <v>0</v>
      </c>
      <c r="O493" s="85">
        <v>0</v>
      </c>
      <c r="P493" s="85">
        <v>0</v>
      </c>
      <c r="Q493" s="85">
        <v>0</v>
      </c>
      <c r="R493" s="85">
        <v>0</v>
      </c>
      <c r="S493" s="85">
        <v>0</v>
      </c>
      <c r="T493" s="85">
        <v>0</v>
      </c>
      <c r="U493" s="85">
        <v>0</v>
      </c>
      <c r="V493" s="85">
        <v>0</v>
      </c>
      <c r="W493" s="85">
        <v>0</v>
      </c>
      <c r="X493" s="85">
        <v>0</v>
      </c>
      <c r="Y493" s="85">
        <v>0</v>
      </c>
      <c r="Z493" s="85">
        <v>0</v>
      </c>
      <c r="AA493" s="85">
        <v>0</v>
      </c>
      <c r="AB493" s="85">
        <v>0</v>
      </c>
      <c r="AC493" s="85">
        <v>0</v>
      </c>
      <c r="AD493" s="85"/>
    </row>
    <row r="494" spans="1:30">
      <c r="A494" s="82" t="s">
        <v>735</v>
      </c>
      <c r="B494" s="83" t="s">
        <v>596</v>
      </c>
      <c r="C494" s="84" t="s">
        <v>680</v>
      </c>
      <c r="D494" s="84" t="s">
        <v>680</v>
      </c>
      <c r="E494" s="84" t="s">
        <v>680</v>
      </c>
      <c r="F494" s="84" t="s">
        <v>680</v>
      </c>
      <c r="G494" s="85">
        <v>0</v>
      </c>
      <c r="H494" s="85">
        <v>0</v>
      </c>
      <c r="I494" s="85">
        <v>0</v>
      </c>
      <c r="J494" s="85">
        <v>0</v>
      </c>
      <c r="K494" s="85">
        <v>0</v>
      </c>
      <c r="L494" s="85"/>
      <c r="M494" s="85">
        <v>0</v>
      </c>
      <c r="N494" s="85">
        <v>0</v>
      </c>
      <c r="O494" s="85">
        <v>0</v>
      </c>
      <c r="P494" s="85">
        <v>0</v>
      </c>
      <c r="Q494" s="85">
        <v>0</v>
      </c>
      <c r="R494" s="85">
        <v>0</v>
      </c>
      <c r="S494" s="85">
        <v>0</v>
      </c>
      <c r="T494" s="85">
        <v>0</v>
      </c>
      <c r="U494" s="85">
        <v>0</v>
      </c>
      <c r="V494" s="85">
        <v>0</v>
      </c>
      <c r="W494" s="85">
        <v>0</v>
      </c>
      <c r="X494" s="85">
        <v>0</v>
      </c>
      <c r="Y494" s="85">
        <v>0</v>
      </c>
      <c r="Z494" s="85">
        <v>0</v>
      </c>
      <c r="AA494" s="85">
        <v>0</v>
      </c>
      <c r="AB494" s="85">
        <v>0</v>
      </c>
      <c r="AC494" s="85">
        <v>0</v>
      </c>
      <c r="AD494" s="85"/>
    </row>
    <row r="495" spans="1:30">
      <c r="A495" s="82" t="s">
        <v>735</v>
      </c>
      <c r="B495" s="83" t="s">
        <v>594</v>
      </c>
      <c r="C495" s="84" t="s">
        <v>680</v>
      </c>
      <c r="D495" s="84" t="s">
        <v>680</v>
      </c>
      <c r="E495" s="84" t="s">
        <v>680</v>
      </c>
      <c r="F495" s="84" t="s">
        <v>680</v>
      </c>
      <c r="G495" s="99">
        <v>8.8000000000000003E-4</v>
      </c>
      <c r="H495" s="85">
        <f>11.6*0.055</f>
        <v>0.63800000000000001</v>
      </c>
      <c r="I495" s="85">
        <f>12*0.055</f>
        <v>0.66</v>
      </c>
      <c r="J495" s="85">
        <f>10.7*0.055</f>
        <v>0.58849999999999991</v>
      </c>
      <c r="K495" s="85">
        <f>10*0.055</f>
        <v>0.55000000000000004</v>
      </c>
      <c r="L495" s="85"/>
      <c r="M495" s="85">
        <f>47.3*0.055</f>
        <v>2.6014999999999997</v>
      </c>
      <c r="N495" s="85">
        <v>1.70665</v>
      </c>
      <c r="O495" s="85">
        <f>38.1*0.055</f>
        <v>2.0954999999999999</v>
      </c>
      <c r="P495" s="85">
        <f>40*0.055</f>
        <v>2.2000000000000002</v>
      </c>
      <c r="Q495" s="85">
        <v>16.489999999999998</v>
      </c>
      <c r="R495" s="85">
        <f>206*0.055</f>
        <v>11.33</v>
      </c>
      <c r="S495" s="85">
        <f>300*0.055</f>
        <v>16.5</v>
      </c>
      <c r="T495" s="85">
        <f>290*0.055</f>
        <v>15.95</v>
      </c>
      <c r="U495" s="85">
        <f>290*0.055</f>
        <v>15.95</v>
      </c>
      <c r="V495" s="85">
        <f>278*0.055</f>
        <v>15.290000000000001</v>
      </c>
      <c r="W495" s="85">
        <f>255*0.055</f>
        <v>14.025</v>
      </c>
      <c r="X495" s="85">
        <f>215*0.055</f>
        <v>11.824999999999999</v>
      </c>
      <c r="Y495" s="85">
        <f>195*0.055</f>
        <v>10.725</v>
      </c>
      <c r="Z495" s="85">
        <f>189*0.055</f>
        <v>10.395</v>
      </c>
      <c r="AA495" s="85">
        <f>175*0.055</f>
        <v>9.625</v>
      </c>
      <c r="AB495" s="85">
        <f>100*0.055</f>
        <v>5.5</v>
      </c>
      <c r="AC495" s="85">
        <f>172*0.055</f>
        <v>9.4600000000000009</v>
      </c>
      <c r="AD495" s="85"/>
    </row>
    <row r="496" spans="1:30">
      <c r="A496" s="82" t="s">
        <v>735</v>
      </c>
      <c r="B496" s="87" t="s">
        <v>643</v>
      </c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>
        <v>0</v>
      </c>
      <c r="O496" s="85">
        <v>0</v>
      </c>
      <c r="P496" s="85">
        <v>0</v>
      </c>
      <c r="Q496" s="85">
        <v>0</v>
      </c>
      <c r="R496" s="85">
        <v>0</v>
      </c>
      <c r="S496" s="85">
        <v>0</v>
      </c>
      <c r="T496" s="85">
        <v>0</v>
      </c>
      <c r="U496" s="85">
        <v>0</v>
      </c>
      <c r="V496" s="85">
        <v>0</v>
      </c>
      <c r="W496" s="85">
        <v>0</v>
      </c>
      <c r="X496" s="85">
        <v>0</v>
      </c>
      <c r="Y496" s="85">
        <v>0</v>
      </c>
      <c r="Z496" s="85">
        <v>0</v>
      </c>
      <c r="AA496" s="85">
        <v>0</v>
      </c>
      <c r="AB496" s="85">
        <v>0</v>
      </c>
      <c r="AC496" s="85">
        <v>0</v>
      </c>
      <c r="AD496" s="85"/>
    </row>
    <row r="497" spans="1:30">
      <c r="A497" s="82" t="s">
        <v>679</v>
      </c>
      <c r="B497" s="83" t="s">
        <v>597</v>
      </c>
      <c r="C497" s="85">
        <v>0</v>
      </c>
      <c r="D497" s="85">
        <v>0</v>
      </c>
      <c r="E497" s="85">
        <v>0</v>
      </c>
      <c r="F497" s="85">
        <v>0</v>
      </c>
      <c r="G497" s="85">
        <v>0</v>
      </c>
      <c r="H497" s="85">
        <v>0</v>
      </c>
      <c r="I497" s="85">
        <v>0</v>
      </c>
      <c r="J497" s="85">
        <v>0</v>
      </c>
      <c r="K497" s="85">
        <v>0</v>
      </c>
      <c r="L497" s="85">
        <v>0</v>
      </c>
      <c r="M497" s="85"/>
      <c r="N497" s="85">
        <v>0</v>
      </c>
      <c r="O497" s="85">
        <v>0</v>
      </c>
      <c r="P497" s="85">
        <v>0</v>
      </c>
      <c r="Q497" s="85">
        <v>0</v>
      </c>
      <c r="R497" s="85">
        <v>0</v>
      </c>
      <c r="S497" s="85">
        <v>0</v>
      </c>
      <c r="T497" s="85">
        <v>0</v>
      </c>
      <c r="U497" s="85">
        <v>0</v>
      </c>
      <c r="V497" s="85">
        <v>0</v>
      </c>
      <c r="W497" s="85">
        <v>0</v>
      </c>
      <c r="X497" s="85">
        <v>0</v>
      </c>
      <c r="Y497" s="85">
        <v>0</v>
      </c>
      <c r="Z497" s="85">
        <v>0</v>
      </c>
      <c r="AA497" s="85">
        <v>0</v>
      </c>
      <c r="AB497" s="85">
        <v>0</v>
      </c>
      <c r="AC497" s="85">
        <v>0</v>
      </c>
      <c r="AD497" s="85"/>
    </row>
    <row r="498" spans="1:30">
      <c r="A498" s="82" t="s">
        <v>679</v>
      </c>
      <c r="B498" s="83" t="s">
        <v>600</v>
      </c>
      <c r="C498" s="85">
        <v>0</v>
      </c>
      <c r="D498" s="85">
        <v>0</v>
      </c>
      <c r="E498" s="85">
        <v>0</v>
      </c>
      <c r="F498" s="85">
        <v>0</v>
      </c>
      <c r="G498" s="85">
        <v>0</v>
      </c>
      <c r="H498" s="85">
        <v>0</v>
      </c>
      <c r="I498" s="85">
        <v>0</v>
      </c>
      <c r="J498" s="85">
        <v>0</v>
      </c>
      <c r="K498" s="85">
        <v>0</v>
      </c>
      <c r="L498" s="85">
        <v>0</v>
      </c>
      <c r="M498" s="85"/>
      <c r="N498" s="85">
        <v>0</v>
      </c>
      <c r="O498" s="85">
        <v>0</v>
      </c>
      <c r="P498" s="85">
        <v>0</v>
      </c>
      <c r="Q498" s="85">
        <v>0</v>
      </c>
      <c r="R498" s="85">
        <v>0</v>
      </c>
      <c r="S498" s="85">
        <v>0</v>
      </c>
      <c r="T498" s="85">
        <v>0</v>
      </c>
      <c r="U498" s="85">
        <v>0</v>
      </c>
      <c r="V498" s="85">
        <v>0</v>
      </c>
      <c r="W498" s="85">
        <v>0</v>
      </c>
      <c r="X498" s="85">
        <v>0</v>
      </c>
      <c r="Y498" s="85">
        <v>0</v>
      </c>
      <c r="Z498" s="85">
        <v>0</v>
      </c>
      <c r="AA498" s="85">
        <v>0</v>
      </c>
      <c r="AB498" s="85">
        <v>0</v>
      </c>
      <c r="AC498" s="85">
        <v>0</v>
      </c>
      <c r="AD498" s="85"/>
    </row>
    <row r="499" spans="1:30">
      <c r="A499" s="82" t="s">
        <v>679</v>
      </c>
      <c r="B499" s="83" t="s">
        <v>595</v>
      </c>
      <c r="C499" s="85">
        <v>0</v>
      </c>
      <c r="D499" s="85">
        <v>0</v>
      </c>
      <c r="E499" s="85">
        <v>0</v>
      </c>
      <c r="F499" s="85">
        <v>0</v>
      </c>
      <c r="G499" s="85">
        <v>0</v>
      </c>
      <c r="H499" s="85">
        <v>0</v>
      </c>
      <c r="I499" s="85">
        <v>0</v>
      </c>
      <c r="J499" s="85">
        <v>0</v>
      </c>
      <c r="K499" s="85">
        <v>0</v>
      </c>
      <c r="L499" s="85">
        <v>0</v>
      </c>
      <c r="M499" s="85"/>
      <c r="N499" s="85">
        <v>0</v>
      </c>
      <c r="O499" s="85">
        <v>0</v>
      </c>
      <c r="P499" s="85">
        <v>0</v>
      </c>
      <c r="Q499" s="85">
        <v>0</v>
      </c>
      <c r="R499" s="85">
        <v>0</v>
      </c>
      <c r="S499" s="85">
        <v>0</v>
      </c>
      <c r="T499" s="85">
        <v>0</v>
      </c>
      <c r="U499" s="85">
        <v>0</v>
      </c>
      <c r="V499" s="85">
        <v>0</v>
      </c>
      <c r="W499" s="85">
        <v>0</v>
      </c>
      <c r="X499" s="85">
        <v>0</v>
      </c>
      <c r="Y499" s="85">
        <v>0</v>
      </c>
      <c r="Z499" s="85">
        <v>0</v>
      </c>
      <c r="AA499" s="85">
        <v>0</v>
      </c>
      <c r="AB499" s="85">
        <v>0</v>
      </c>
      <c r="AC499" s="85">
        <v>0</v>
      </c>
      <c r="AD499" s="85"/>
    </row>
    <row r="500" spans="1:30">
      <c r="A500" s="82" t="s">
        <v>679</v>
      </c>
      <c r="B500" s="83" t="s">
        <v>596</v>
      </c>
      <c r="C500" s="85">
        <v>0</v>
      </c>
      <c r="D500" s="85">
        <v>0</v>
      </c>
      <c r="E500" s="85">
        <v>0</v>
      </c>
      <c r="F500" s="85">
        <v>0</v>
      </c>
      <c r="G500" s="85">
        <v>0</v>
      </c>
      <c r="H500" s="85">
        <v>0</v>
      </c>
      <c r="I500" s="85">
        <v>0</v>
      </c>
      <c r="J500" s="85">
        <v>0</v>
      </c>
      <c r="K500" s="85">
        <v>0</v>
      </c>
      <c r="L500" s="85">
        <v>0</v>
      </c>
      <c r="M500" s="85"/>
      <c r="N500" s="85">
        <v>0</v>
      </c>
      <c r="O500" s="85">
        <v>0</v>
      </c>
      <c r="P500" s="85">
        <v>0</v>
      </c>
      <c r="Q500" s="85">
        <v>0</v>
      </c>
      <c r="R500" s="85">
        <v>0</v>
      </c>
      <c r="S500" s="85">
        <v>0</v>
      </c>
      <c r="T500" s="85">
        <v>0</v>
      </c>
      <c r="U500" s="85">
        <v>0</v>
      </c>
      <c r="V500" s="85">
        <v>0</v>
      </c>
      <c r="W500" s="85">
        <v>0</v>
      </c>
      <c r="X500" s="85">
        <v>0</v>
      </c>
      <c r="Y500" s="85">
        <v>0</v>
      </c>
      <c r="Z500" s="85">
        <v>0</v>
      </c>
      <c r="AA500" s="85">
        <v>0</v>
      </c>
      <c r="AB500" s="85">
        <v>0</v>
      </c>
      <c r="AC500" s="85">
        <v>0</v>
      </c>
      <c r="AD500" s="85"/>
    </row>
    <row r="501" spans="1:30">
      <c r="A501" s="82" t="s">
        <v>679</v>
      </c>
      <c r="B501" s="83" t="s">
        <v>594</v>
      </c>
      <c r="C501" s="85">
        <f>8.8*0.055</f>
        <v>0.48400000000000004</v>
      </c>
      <c r="D501" s="85">
        <f>10*0.055</f>
        <v>0.55000000000000004</v>
      </c>
      <c r="E501" s="85">
        <f>35.4*0.055</f>
        <v>1.9469999999999998</v>
      </c>
      <c r="F501" s="85">
        <f>26*0.055</f>
        <v>1.43</v>
      </c>
      <c r="G501" s="85">
        <f>20*0.055</f>
        <v>1.1000000000000001</v>
      </c>
      <c r="H501" s="85">
        <f>18.61*0.055</f>
        <v>1.02355</v>
      </c>
      <c r="I501" s="85">
        <f>18.61*0.055</f>
        <v>1.02355</v>
      </c>
      <c r="J501" s="85">
        <f>18.61*0.055</f>
        <v>1.02355</v>
      </c>
      <c r="K501" s="85">
        <f>20.17*0.055</f>
        <v>1.1093500000000001</v>
      </c>
      <c r="L501" s="85">
        <f>13.15*0.055</f>
        <v>0.72325000000000006</v>
      </c>
      <c r="M501" s="85"/>
      <c r="N501" s="85">
        <v>2.9645000000000001</v>
      </c>
      <c r="O501" s="85">
        <f>50.4*0.055</f>
        <v>2.7719999999999998</v>
      </c>
      <c r="P501" s="85">
        <f>122.2*0.055</f>
        <v>6.7210000000000001</v>
      </c>
      <c r="Q501" s="85">
        <f>155.6*0.055</f>
        <v>8.5579999999999998</v>
      </c>
      <c r="R501" s="85">
        <f>237*0.055</f>
        <v>13.035</v>
      </c>
      <c r="S501" s="85">
        <f>231*0.055</f>
        <v>12.705</v>
      </c>
      <c r="T501" s="85">
        <f>228*0.055</f>
        <v>12.540000000000001</v>
      </c>
      <c r="U501" s="85">
        <f>185*0.055</f>
        <v>10.175000000000001</v>
      </c>
      <c r="V501" s="85">
        <f>170*0.055</f>
        <v>9.35</v>
      </c>
      <c r="W501" s="85">
        <f>162*0.055</f>
        <v>8.91</v>
      </c>
      <c r="X501" s="85">
        <f>149.6*0.055</f>
        <v>8.2279999999999998</v>
      </c>
      <c r="Y501" s="85">
        <f>128.8*0.055</f>
        <v>7.0840000000000005</v>
      </c>
      <c r="Z501" s="85">
        <f>101.2*0.055</f>
        <v>5.5659999999999998</v>
      </c>
      <c r="AA501" s="85">
        <f>89.9*0.055</f>
        <v>4.9445000000000006</v>
      </c>
      <c r="AB501" s="85">
        <f>60.5*0.055</f>
        <v>3.3275000000000001</v>
      </c>
      <c r="AC501" s="85">
        <f>51.2*0.055</f>
        <v>2.8160000000000003</v>
      </c>
      <c r="AD501" s="85"/>
    </row>
    <row r="502" spans="1:30">
      <c r="A502" s="82" t="s">
        <v>679</v>
      </c>
      <c r="B502" s="87" t="s">
        <v>643</v>
      </c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>
        <v>0</v>
      </c>
      <c r="O502" s="85">
        <v>0</v>
      </c>
      <c r="P502" s="85">
        <v>0</v>
      </c>
      <c r="Q502" s="85">
        <v>0</v>
      </c>
      <c r="R502" s="85">
        <v>0</v>
      </c>
      <c r="S502" s="85">
        <v>0</v>
      </c>
      <c r="T502" s="85">
        <v>0</v>
      </c>
      <c r="U502" s="85">
        <v>0</v>
      </c>
      <c r="V502" s="85">
        <v>0</v>
      </c>
      <c r="W502" s="85">
        <v>0</v>
      </c>
      <c r="X502" s="85">
        <v>0</v>
      </c>
      <c r="Y502" s="85">
        <v>0</v>
      </c>
      <c r="Z502" s="85">
        <v>0</v>
      </c>
      <c r="AA502" s="85">
        <v>0</v>
      </c>
      <c r="AB502" s="85">
        <v>0</v>
      </c>
      <c r="AC502" s="85">
        <v>0</v>
      </c>
      <c r="AD502" s="85"/>
    </row>
    <row r="503" spans="1:30">
      <c r="A503" s="82" t="s">
        <v>736</v>
      </c>
      <c r="B503" s="83" t="s">
        <v>362</v>
      </c>
      <c r="C503" s="84" t="s">
        <v>680</v>
      </c>
      <c r="D503" s="84" t="s">
        <v>680</v>
      </c>
      <c r="E503" s="84" t="s">
        <v>680</v>
      </c>
      <c r="F503" s="84" t="s">
        <v>680</v>
      </c>
      <c r="G503" s="84" t="s">
        <v>680</v>
      </c>
      <c r="H503" s="84" t="s">
        <v>680</v>
      </c>
      <c r="I503" s="84" t="s">
        <v>680</v>
      </c>
      <c r="J503" s="84" t="s">
        <v>680</v>
      </c>
      <c r="K503" s="84" t="s">
        <v>680</v>
      </c>
      <c r="L503" s="84" t="s">
        <v>680</v>
      </c>
      <c r="M503" s="85">
        <f>0.9*0.04</f>
        <v>3.6000000000000004E-2</v>
      </c>
      <c r="N503" s="85">
        <f>6.8*0.04</f>
        <v>0.27200000000000002</v>
      </c>
      <c r="O503" s="85">
        <v>0</v>
      </c>
      <c r="P503" s="85">
        <v>0</v>
      </c>
      <c r="Q503" s="85">
        <v>0</v>
      </c>
      <c r="R503" s="85">
        <v>0</v>
      </c>
      <c r="S503" s="85">
        <v>0</v>
      </c>
      <c r="T503" s="85">
        <v>0</v>
      </c>
      <c r="U503" s="85">
        <v>0</v>
      </c>
      <c r="V503" s="85">
        <v>0</v>
      </c>
      <c r="W503" s="85">
        <v>0</v>
      </c>
      <c r="X503" s="85">
        <v>0</v>
      </c>
      <c r="Y503" s="85">
        <v>0</v>
      </c>
      <c r="Z503" s="85">
        <v>0</v>
      </c>
      <c r="AA503" s="85">
        <v>0</v>
      </c>
      <c r="AB503" s="85">
        <v>0</v>
      </c>
      <c r="AC503" s="85">
        <v>0</v>
      </c>
      <c r="AD503" s="85"/>
    </row>
    <row r="504" spans="1:30">
      <c r="A504" s="82" t="s">
        <v>736</v>
      </c>
      <c r="B504" s="83" t="s">
        <v>597</v>
      </c>
      <c r="C504" s="85">
        <v>0</v>
      </c>
      <c r="D504" s="85">
        <v>0</v>
      </c>
      <c r="E504" s="85">
        <f>24.45*0.02</f>
        <v>0.48899999999999999</v>
      </c>
      <c r="F504" s="85">
        <f>36.7*0.02</f>
        <v>0.7340000000000001</v>
      </c>
      <c r="G504" s="85">
        <f>21.7*0.02</f>
        <v>0.434</v>
      </c>
      <c r="H504" s="85">
        <f>42.47*0.02</f>
        <v>0.84940000000000004</v>
      </c>
      <c r="I504" s="85">
        <f>42.47*0.02</f>
        <v>0.84940000000000004</v>
      </c>
      <c r="J504" s="85">
        <f>37.28*0.02</f>
        <v>0.74560000000000004</v>
      </c>
      <c r="K504" s="85">
        <f>17.78*0.02</f>
        <v>0.35560000000000003</v>
      </c>
      <c r="L504" s="85">
        <f>34.9*0.02</f>
        <v>0.69799999999999995</v>
      </c>
      <c r="M504" s="85">
        <f>60.2*0.02</f>
        <v>1.2040000000000002</v>
      </c>
      <c r="N504" s="85">
        <f>24.46*0.02</f>
        <v>0.48920000000000002</v>
      </c>
      <c r="O504" s="85">
        <f>54.44*0.02</f>
        <v>1.0888</v>
      </c>
      <c r="P504" s="85">
        <f>106.32*0.02</f>
        <v>2.1263999999999998</v>
      </c>
      <c r="Q504" s="85">
        <f>68.14*0.02</f>
        <v>1.3628</v>
      </c>
      <c r="R504" s="85">
        <f>45.306*0.02</f>
        <v>0.90611999999999993</v>
      </c>
      <c r="S504" s="85">
        <f>(33.7-18.63)*0.02</f>
        <v>0.30140000000000006</v>
      </c>
      <c r="T504" s="85">
        <f>(64.29-34.8)*0.02</f>
        <v>0.58980000000000021</v>
      </c>
      <c r="U504" s="85">
        <f>(14.951-13.62)*0.02</f>
        <v>2.6620000000000026E-2</v>
      </c>
      <c r="V504" s="85">
        <f>(91.63-18.7)*0.02</f>
        <v>1.4585999999999999</v>
      </c>
      <c r="W504" s="85">
        <f>65.48*0.02</f>
        <v>1.3096000000000001</v>
      </c>
      <c r="X504" s="85">
        <f>(68.848-8.7168)*0.02</f>
        <v>1.2026239999999999</v>
      </c>
      <c r="Y504" s="85">
        <f>36.6835*0.02</f>
        <v>0.73367000000000004</v>
      </c>
      <c r="Z504" s="85">
        <f>64.58*0.02</f>
        <v>1.2916000000000001</v>
      </c>
      <c r="AA504" s="85">
        <f>21.792*0.02</f>
        <v>0.43584000000000006</v>
      </c>
      <c r="AB504" s="85">
        <f>(15.27-5.45)*0.02</f>
        <v>0.19640000000000002</v>
      </c>
      <c r="AC504" s="85">
        <f>27.058*0.02</f>
        <v>0.54115999999999997</v>
      </c>
      <c r="AD504" s="85"/>
    </row>
    <row r="505" spans="1:30">
      <c r="A505" s="82" t="s">
        <v>736</v>
      </c>
      <c r="B505" s="83" t="s">
        <v>600</v>
      </c>
      <c r="C505" s="85">
        <v>0</v>
      </c>
      <c r="D505" s="85">
        <v>0</v>
      </c>
      <c r="E505" s="85">
        <v>0</v>
      </c>
      <c r="F505" s="85">
        <v>0</v>
      </c>
      <c r="G505" s="85">
        <v>0</v>
      </c>
      <c r="H505" s="85">
        <v>0</v>
      </c>
      <c r="I505" s="85">
        <v>0</v>
      </c>
      <c r="J505" s="85">
        <v>0</v>
      </c>
      <c r="K505" s="85">
        <v>0</v>
      </c>
      <c r="L505" s="85">
        <v>0</v>
      </c>
      <c r="M505" s="85">
        <v>0</v>
      </c>
      <c r="N505" s="85">
        <f>0.048*0.022</f>
        <v>1.0559999999999999E-3</v>
      </c>
      <c r="O505" s="85">
        <f>20.126*0.022</f>
        <v>0.442772</v>
      </c>
      <c r="P505" s="85">
        <v>0</v>
      </c>
      <c r="Q505" s="85">
        <f>0.07*0.022</f>
        <v>1.5400000000000001E-3</v>
      </c>
      <c r="R505" s="85">
        <v>0</v>
      </c>
      <c r="S505" s="85">
        <v>0</v>
      </c>
      <c r="T505" s="85">
        <v>0</v>
      </c>
      <c r="U505" s="85">
        <v>0</v>
      </c>
      <c r="V505" s="85">
        <v>0</v>
      </c>
      <c r="W505" s="85">
        <v>0</v>
      </c>
      <c r="X505" s="85">
        <v>0</v>
      </c>
      <c r="Y505" s="85">
        <v>0</v>
      </c>
      <c r="Z505" s="85">
        <v>0</v>
      </c>
      <c r="AA505" s="85">
        <v>0</v>
      </c>
      <c r="AB505" s="85">
        <v>0</v>
      </c>
      <c r="AC505" s="85">
        <v>0</v>
      </c>
      <c r="AD505" s="85"/>
    </row>
    <row r="506" spans="1:30">
      <c r="A506" s="82" t="s">
        <v>736</v>
      </c>
      <c r="B506" s="83" t="s">
        <v>361</v>
      </c>
      <c r="C506" s="84" t="s">
        <v>680</v>
      </c>
      <c r="D506" s="84" t="s">
        <v>680</v>
      </c>
      <c r="E506" s="84" t="s">
        <v>680</v>
      </c>
      <c r="F506" s="84" t="s">
        <v>680</v>
      </c>
      <c r="G506" s="84" t="s">
        <v>680</v>
      </c>
      <c r="H506" s="84" t="s">
        <v>680</v>
      </c>
      <c r="I506" s="84" t="s">
        <v>680</v>
      </c>
      <c r="J506" s="84" t="s">
        <v>680</v>
      </c>
      <c r="K506" s="84" t="s">
        <v>680</v>
      </c>
      <c r="L506" s="84" t="s">
        <v>680</v>
      </c>
      <c r="M506" s="85">
        <f>4.7*0.07</f>
        <v>0.32900000000000007</v>
      </c>
      <c r="N506" s="85">
        <v>0</v>
      </c>
      <c r="O506" s="85">
        <v>0</v>
      </c>
      <c r="P506" s="85">
        <v>0</v>
      </c>
      <c r="Q506" s="85">
        <v>0</v>
      </c>
      <c r="R506" s="85">
        <v>0</v>
      </c>
      <c r="S506" s="85">
        <v>0</v>
      </c>
      <c r="T506" s="85">
        <v>0</v>
      </c>
      <c r="U506" s="85">
        <v>0</v>
      </c>
      <c r="V506" s="85">
        <v>0</v>
      </c>
      <c r="W506" s="85">
        <v>0</v>
      </c>
      <c r="X506" s="85">
        <v>0</v>
      </c>
      <c r="Y506" s="85">
        <v>0</v>
      </c>
      <c r="Z506" s="85">
        <v>0</v>
      </c>
      <c r="AA506" s="85">
        <v>0</v>
      </c>
      <c r="AB506" s="85">
        <v>0</v>
      </c>
      <c r="AC506" s="85">
        <v>0</v>
      </c>
      <c r="AD506" s="85"/>
    </row>
    <row r="507" spans="1:30">
      <c r="A507" s="82" t="s">
        <v>736</v>
      </c>
      <c r="B507" s="83" t="s">
        <v>595</v>
      </c>
      <c r="C507" s="85">
        <v>0</v>
      </c>
      <c r="D507" s="85">
        <v>0</v>
      </c>
      <c r="E507" s="85">
        <f>217*0.11</f>
        <v>23.87</v>
      </c>
      <c r="F507" s="85">
        <f>640.49*0.11</f>
        <v>70.453900000000004</v>
      </c>
      <c r="G507" s="85">
        <f>41.2*0.11</f>
        <v>4.532</v>
      </c>
      <c r="H507" s="85">
        <f>566.26*0.11</f>
        <v>62.288600000000002</v>
      </c>
      <c r="I507" s="85">
        <f>568.67*0.11</f>
        <v>62.553699999999999</v>
      </c>
      <c r="J507" s="85">
        <f>572.41*0.11</f>
        <v>62.9651</v>
      </c>
      <c r="K507" s="85">
        <f>735.88*0.11</f>
        <v>80.946799999999996</v>
      </c>
      <c r="L507" s="85">
        <f>924.59*0.11</f>
        <v>101.70490000000001</v>
      </c>
      <c r="M507" s="85">
        <f>899.27*0.11</f>
        <v>98.919699999999992</v>
      </c>
      <c r="N507" s="85">
        <f>1153.377*0.11</f>
        <v>126.87147</v>
      </c>
      <c r="O507" s="85">
        <f>1280.08*0.11</f>
        <v>140.80879999999999</v>
      </c>
      <c r="P507" s="85">
        <f>1206.424*0.11</f>
        <v>132.70663999999999</v>
      </c>
      <c r="Q507" s="85">
        <f>1335.01*0.11</f>
        <v>146.8511</v>
      </c>
      <c r="R507" s="85">
        <f>1620.21*0.11</f>
        <v>178.22310000000002</v>
      </c>
      <c r="S507" s="85">
        <f>1242.06*0.11</f>
        <v>136.6266</v>
      </c>
      <c r="T507" s="85">
        <f>(2869.16-6.76)*0.11</f>
        <v>314.86399999999998</v>
      </c>
      <c r="U507" s="85">
        <f>(1321.045-2)*0.11</f>
        <v>145.09495000000001</v>
      </c>
      <c r="V507" s="85">
        <f>1239.97*0.11</f>
        <v>136.39670000000001</v>
      </c>
      <c r="W507" s="85">
        <f>1079.04*0.11</f>
        <v>118.6944</v>
      </c>
      <c r="X507" s="85">
        <f>605.675*0.11</f>
        <v>66.624249999999989</v>
      </c>
      <c r="Y507" s="85">
        <f>(529.3294-0.544)*0.11</f>
        <v>58.166393999999997</v>
      </c>
      <c r="Z507" s="85">
        <f>(441.74-0.136)*0.11</f>
        <v>48.576439999999998</v>
      </c>
      <c r="AA507" s="85">
        <f>(323.623-0.136)*0.11</f>
        <v>35.583569999999995</v>
      </c>
      <c r="AB507" s="85">
        <f>(235.21-0.08)*0.11</f>
        <v>25.8643</v>
      </c>
      <c r="AC507" s="85">
        <f>(135.306-0.082)*0.11</f>
        <v>14.874640000000001</v>
      </c>
      <c r="AD507" s="85"/>
    </row>
    <row r="508" spans="1:30">
      <c r="A508" s="82" t="s">
        <v>736</v>
      </c>
      <c r="B508" s="83" t="s">
        <v>596</v>
      </c>
      <c r="C508" s="85">
        <v>0</v>
      </c>
      <c r="D508" s="85">
        <v>0</v>
      </c>
      <c r="E508" s="85">
        <f>9.98*0.065</f>
        <v>0.64870000000000005</v>
      </c>
      <c r="F508" s="85">
        <v>0</v>
      </c>
      <c r="G508" s="85">
        <f>41.2*0.065</f>
        <v>2.6780000000000004</v>
      </c>
      <c r="H508" s="85">
        <v>0</v>
      </c>
      <c r="I508" s="85">
        <f>4*0.065</f>
        <v>0.26</v>
      </c>
      <c r="J508" s="85">
        <v>0</v>
      </c>
      <c r="K508" s="85">
        <f>2.5*0.065</f>
        <v>0.16250000000000001</v>
      </c>
      <c r="L508" s="85">
        <v>0</v>
      </c>
      <c r="M508" s="85">
        <f>107.933*0.065</f>
        <v>7.015645000000001</v>
      </c>
      <c r="N508" s="85">
        <f>72.5*0.065</f>
        <v>4.7125000000000004</v>
      </c>
      <c r="O508" s="85">
        <f>14.78*0.065</f>
        <v>0.9607</v>
      </c>
      <c r="P508" s="85">
        <f>35.555*0.065</f>
        <v>2.3110750000000002</v>
      </c>
      <c r="Q508" s="85">
        <f>4.2*0.065</f>
        <v>0.27300000000000002</v>
      </c>
      <c r="R508" s="85">
        <f>20*0.065</f>
        <v>1.3</v>
      </c>
      <c r="S508" s="85">
        <f>1.8*0.065</f>
        <v>0.11700000000000001</v>
      </c>
      <c r="T508" s="85">
        <v>0</v>
      </c>
      <c r="U508" s="85">
        <v>0</v>
      </c>
      <c r="V508" s="85">
        <f>4.47*0.065</f>
        <v>0.29054999999999997</v>
      </c>
      <c r="W508" s="85">
        <v>0</v>
      </c>
      <c r="X508" s="85">
        <v>0</v>
      </c>
      <c r="Y508" s="85">
        <v>0</v>
      </c>
      <c r="Z508" s="85">
        <v>0</v>
      </c>
      <c r="AA508" s="85">
        <v>0</v>
      </c>
      <c r="AB508" s="85">
        <v>0</v>
      </c>
      <c r="AC508" s="85">
        <v>0</v>
      </c>
      <c r="AD508" s="85"/>
    </row>
    <row r="509" spans="1:30">
      <c r="A509" s="82" t="s">
        <v>736</v>
      </c>
      <c r="B509" s="83" t="s">
        <v>246</v>
      </c>
      <c r="C509" s="84" t="s">
        <v>680</v>
      </c>
      <c r="D509" s="84" t="s">
        <v>680</v>
      </c>
      <c r="E509" s="84" t="s">
        <v>680</v>
      </c>
      <c r="F509" s="84" t="s">
        <v>680</v>
      </c>
      <c r="G509" s="84" t="s">
        <v>680</v>
      </c>
      <c r="H509" s="84" t="s">
        <v>680</v>
      </c>
      <c r="I509" s="84" t="s">
        <v>680</v>
      </c>
      <c r="J509" s="84" t="s">
        <v>680</v>
      </c>
      <c r="K509" s="84" t="s">
        <v>680</v>
      </c>
      <c r="L509" s="84" t="s">
        <v>680</v>
      </c>
      <c r="M509" s="85">
        <f>28.86*0.04</f>
        <v>1.1544000000000001</v>
      </c>
      <c r="N509" s="85">
        <f>1.35*0.04</f>
        <v>5.4000000000000006E-2</v>
      </c>
      <c r="O509" s="85">
        <v>0</v>
      </c>
      <c r="P509" s="85">
        <f>5.8*0.04</f>
        <v>0.23199999999999998</v>
      </c>
      <c r="Q509" s="85">
        <f>37.2*0.04</f>
        <v>1.4880000000000002</v>
      </c>
      <c r="R509" s="85">
        <v>0</v>
      </c>
      <c r="S509" s="85">
        <v>0</v>
      </c>
      <c r="T509" s="85">
        <v>0</v>
      </c>
      <c r="U509" s="85">
        <f>86.74*0.065</f>
        <v>5.6380999999999997</v>
      </c>
      <c r="V509" s="85">
        <v>0</v>
      </c>
      <c r="W509" s="85">
        <v>0</v>
      </c>
      <c r="X509" s="85">
        <v>0</v>
      </c>
      <c r="Y509" s="85">
        <v>0</v>
      </c>
      <c r="Z509" s="85">
        <v>0</v>
      </c>
      <c r="AA509" s="85">
        <v>0</v>
      </c>
      <c r="AB509" s="85">
        <v>0</v>
      </c>
      <c r="AC509" s="85">
        <v>0</v>
      </c>
      <c r="AD509" s="85"/>
    </row>
    <row r="510" spans="1:30">
      <c r="A510" s="82" t="s">
        <v>736</v>
      </c>
      <c r="B510" s="83" t="s">
        <v>594</v>
      </c>
      <c r="C510" s="85">
        <v>0</v>
      </c>
      <c r="D510" s="85">
        <v>0</v>
      </c>
      <c r="E510" s="85">
        <f>3745.68*0.055</f>
        <v>206.01239999999999</v>
      </c>
      <c r="F510" s="85">
        <f>3579.94*0.055</f>
        <v>196.89670000000001</v>
      </c>
      <c r="G510" s="85">
        <f>4527.9*0.055</f>
        <v>249.03449999999998</v>
      </c>
      <c r="H510" s="85">
        <f>4867.97*0.055</f>
        <v>267.73835000000003</v>
      </c>
      <c r="I510" s="85">
        <f>4663.34*0.055</f>
        <v>256.4837</v>
      </c>
      <c r="J510" s="85">
        <f>4964.95*0.055</f>
        <v>273.07225</v>
      </c>
      <c r="K510" s="85">
        <f>44414.7*0.055</f>
        <v>2442.8084999999996</v>
      </c>
      <c r="L510" s="85">
        <f>4172.74*0.055</f>
        <v>229.50069999999999</v>
      </c>
      <c r="M510" s="85">
        <f>4552.98*0.055</f>
        <v>250.41389999999998</v>
      </c>
      <c r="N510" s="85">
        <f>4562.13*0.055</f>
        <v>250.91715000000002</v>
      </c>
      <c r="O510" s="85">
        <f>4910.63*0.055</f>
        <v>270.08465000000001</v>
      </c>
      <c r="P510" s="85">
        <f>4471.33*0.055</f>
        <v>245.92314999999999</v>
      </c>
      <c r="Q510" s="85">
        <f>6254.79*0.055</f>
        <v>344.01344999999998</v>
      </c>
      <c r="R510" s="85">
        <f>6455.587*0.055</f>
        <v>355.05728500000004</v>
      </c>
      <c r="S510" s="85">
        <f>(6167.26-162)*0.055</f>
        <v>330.28930000000003</v>
      </c>
      <c r="T510" s="85">
        <f>(7635.03-107.51)*0.055</f>
        <v>414.0136</v>
      </c>
      <c r="U510" s="85">
        <f>(5355.2-68.554)*0.055</f>
        <v>290.76553000000001</v>
      </c>
      <c r="V510" s="85">
        <f>(5963.03-49.28)*0.055</f>
        <v>325.25625000000002</v>
      </c>
      <c r="W510" s="85">
        <f>(5454.56-29.28)*0.055</f>
        <v>298.39040000000006</v>
      </c>
      <c r="X510" s="85">
        <f>(4583.643-20.7648)*0.055</f>
        <v>250.95830100000001</v>
      </c>
      <c r="Y510" s="85">
        <f>(3243.3987-29.812)*0.055</f>
        <v>176.74726850000002</v>
      </c>
      <c r="Z510" s="85">
        <f>(3639.85-32.13)*0.055</f>
        <v>198.4246</v>
      </c>
      <c r="AA510" s="85">
        <f>(3272.897-33.367)*0.055</f>
        <v>178.17415</v>
      </c>
      <c r="AB510" s="85">
        <f>(3687.4-8.16)*0.055</f>
        <v>202.35820000000001</v>
      </c>
      <c r="AC510" s="85">
        <f>(3020.951-0.068)*0.055</f>
        <v>166.14856499999999</v>
      </c>
      <c r="AD510" s="85"/>
    </row>
    <row r="511" spans="1:30">
      <c r="A511" s="82" t="s">
        <v>736</v>
      </c>
      <c r="B511" s="83" t="s">
        <v>643</v>
      </c>
      <c r="C511" s="84" t="s">
        <v>680</v>
      </c>
      <c r="D511" s="84" t="s">
        <v>680</v>
      </c>
      <c r="E511" s="84" t="s">
        <v>680</v>
      </c>
      <c r="F511" s="84" t="s">
        <v>680</v>
      </c>
      <c r="G511" s="84" t="s">
        <v>680</v>
      </c>
      <c r="H511" s="84" t="s">
        <v>680</v>
      </c>
      <c r="I511" s="84" t="s">
        <v>680</v>
      </c>
      <c r="J511" s="84" t="s">
        <v>680</v>
      </c>
      <c r="K511" s="84" t="s">
        <v>680</v>
      </c>
      <c r="L511" s="84" t="s">
        <v>680</v>
      </c>
      <c r="M511" s="85">
        <f>12.625*0.07</f>
        <v>0.88375000000000004</v>
      </c>
      <c r="N511" s="85">
        <f>5.375*0.07</f>
        <v>0.37625000000000003</v>
      </c>
      <c r="O511" s="85">
        <f>4.695*0.07</f>
        <v>0.32865000000000005</v>
      </c>
      <c r="P511" s="85">
        <f>3.397*0.07</f>
        <v>0.23779</v>
      </c>
      <c r="Q511" s="85">
        <f>0.67*0.07</f>
        <v>4.6900000000000004E-2</v>
      </c>
      <c r="R511" s="85">
        <f>1.55*0.07</f>
        <v>0.10850000000000001</v>
      </c>
      <c r="S511" s="85">
        <f>1.08*0.07</f>
        <v>7.5600000000000014E-2</v>
      </c>
      <c r="T511" s="85">
        <f>1.18*0.07</f>
        <v>8.2600000000000007E-2</v>
      </c>
      <c r="U511" s="85">
        <f>0.58*0.07</f>
        <v>4.0600000000000004E-2</v>
      </c>
      <c r="V511" s="85">
        <v>0</v>
      </c>
      <c r="W511" s="85">
        <f>1.52*0.07</f>
        <v>0.10640000000000001</v>
      </c>
      <c r="X511" s="85">
        <f>1.49*0.07</f>
        <v>0.1043</v>
      </c>
      <c r="Y511" s="85">
        <f>1.95*0.07</f>
        <v>0.13650000000000001</v>
      </c>
      <c r="Z511" s="85">
        <f>(1.93)*0.07</f>
        <v>0.1351</v>
      </c>
      <c r="AA511" s="85">
        <v>0</v>
      </c>
      <c r="AB511" s="88">
        <f>0.05*0.07</f>
        <v>3.5000000000000005E-3</v>
      </c>
      <c r="AC511" s="88">
        <v>0</v>
      </c>
      <c r="AD511" s="85"/>
    </row>
    <row r="512" spans="1:30">
      <c r="A512" s="82" t="s">
        <v>736</v>
      </c>
      <c r="B512" s="83" t="s">
        <v>405</v>
      </c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>
        <f>0.295*0.025</f>
        <v>7.3749999999999996E-3</v>
      </c>
      <c r="AB512" s="85">
        <v>0</v>
      </c>
      <c r="AC512" s="85">
        <v>0</v>
      </c>
      <c r="AD512" s="85"/>
    </row>
    <row r="513" spans="1:30">
      <c r="A513" s="82" t="s">
        <v>736</v>
      </c>
      <c r="B513" s="83" t="s">
        <v>406</v>
      </c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>
        <f>0.295*0.033</f>
        <v>9.7350000000000006E-3</v>
      </c>
      <c r="AB513" s="85">
        <v>0</v>
      </c>
      <c r="AC513" s="85">
        <v>0</v>
      </c>
      <c r="AD513" s="85"/>
    </row>
    <row r="514" spans="1:30">
      <c r="A514" s="82" t="s">
        <v>676</v>
      </c>
      <c r="B514" s="83" t="s">
        <v>597</v>
      </c>
      <c r="C514" s="84" t="s">
        <v>680</v>
      </c>
      <c r="D514" s="84" t="s">
        <v>680</v>
      </c>
      <c r="E514" s="84" t="s">
        <v>680</v>
      </c>
      <c r="F514" s="84" t="s">
        <v>680</v>
      </c>
      <c r="G514" s="84" t="s">
        <v>680</v>
      </c>
      <c r="H514" s="84" t="s">
        <v>680</v>
      </c>
      <c r="I514" s="84" t="s">
        <v>680</v>
      </c>
      <c r="J514" s="84" t="s">
        <v>680</v>
      </c>
      <c r="K514" s="85">
        <v>0</v>
      </c>
      <c r="L514" s="85"/>
      <c r="M514" s="85"/>
      <c r="N514" s="85">
        <v>0</v>
      </c>
      <c r="O514" s="85">
        <f>0.09*0.02</f>
        <v>1.8E-3</v>
      </c>
      <c r="P514" s="85">
        <f>0.1*0.02</f>
        <v>2E-3</v>
      </c>
      <c r="Q514" s="85">
        <v>0</v>
      </c>
      <c r="R514" s="85">
        <f>0.05*0.02</f>
        <v>1E-3</v>
      </c>
      <c r="S514" s="85">
        <v>0</v>
      </c>
      <c r="T514" s="85">
        <v>0</v>
      </c>
      <c r="U514" s="85">
        <v>0</v>
      </c>
      <c r="V514" s="85">
        <v>0</v>
      </c>
      <c r="W514" s="85">
        <v>0</v>
      </c>
      <c r="X514" s="85">
        <v>0</v>
      </c>
      <c r="Y514" s="85">
        <v>0</v>
      </c>
      <c r="Z514" s="85">
        <v>0</v>
      </c>
      <c r="AA514" s="85">
        <v>0</v>
      </c>
      <c r="AB514" s="85">
        <v>0</v>
      </c>
      <c r="AC514" s="85">
        <v>0</v>
      </c>
      <c r="AD514" s="85"/>
    </row>
    <row r="515" spans="1:30">
      <c r="A515" s="82" t="s">
        <v>676</v>
      </c>
      <c r="B515" s="83" t="s">
        <v>600</v>
      </c>
      <c r="C515" s="84" t="s">
        <v>680</v>
      </c>
      <c r="D515" s="84" t="s">
        <v>680</v>
      </c>
      <c r="E515" s="84" t="s">
        <v>680</v>
      </c>
      <c r="F515" s="84" t="s">
        <v>680</v>
      </c>
      <c r="G515" s="84" t="s">
        <v>680</v>
      </c>
      <c r="H515" s="84" t="s">
        <v>680</v>
      </c>
      <c r="I515" s="84" t="s">
        <v>680</v>
      </c>
      <c r="J515" s="84" t="s">
        <v>680</v>
      </c>
      <c r="K515" s="85">
        <v>0</v>
      </c>
      <c r="L515" s="85"/>
      <c r="M515" s="85"/>
      <c r="N515" s="85">
        <v>0</v>
      </c>
      <c r="O515" s="85">
        <v>0</v>
      </c>
      <c r="P515" s="85">
        <v>0</v>
      </c>
      <c r="Q515" s="85">
        <v>0</v>
      </c>
      <c r="R515" s="85">
        <v>0</v>
      </c>
      <c r="S515" s="85">
        <v>0</v>
      </c>
      <c r="T515" s="85">
        <v>0</v>
      </c>
      <c r="U515" s="85">
        <v>0</v>
      </c>
      <c r="V515" s="85">
        <v>0</v>
      </c>
      <c r="W515" s="85">
        <v>0</v>
      </c>
      <c r="X515" s="85">
        <v>0</v>
      </c>
      <c r="Y515" s="85">
        <v>0</v>
      </c>
      <c r="Z515" s="85">
        <v>0</v>
      </c>
      <c r="AA515" s="85">
        <v>0</v>
      </c>
      <c r="AB515" s="85">
        <v>0</v>
      </c>
      <c r="AC515" s="85">
        <v>0</v>
      </c>
      <c r="AD515" s="85"/>
    </row>
    <row r="516" spans="1:30">
      <c r="A516" s="82" t="s">
        <v>676</v>
      </c>
      <c r="B516" s="83" t="s">
        <v>595</v>
      </c>
      <c r="C516" s="84" t="s">
        <v>680</v>
      </c>
      <c r="D516" s="84" t="s">
        <v>680</v>
      </c>
      <c r="E516" s="84" t="s">
        <v>680</v>
      </c>
      <c r="F516" s="84" t="s">
        <v>680</v>
      </c>
      <c r="G516" s="84" t="s">
        <v>680</v>
      </c>
      <c r="H516" s="84" t="s">
        <v>680</v>
      </c>
      <c r="I516" s="84" t="s">
        <v>680</v>
      </c>
      <c r="J516" s="84" t="s">
        <v>680</v>
      </c>
      <c r="K516" s="85">
        <v>0</v>
      </c>
      <c r="L516" s="85"/>
      <c r="M516" s="85"/>
      <c r="N516" s="85">
        <v>0</v>
      </c>
      <c r="O516" s="85">
        <v>0</v>
      </c>
      <c r="P516" s="85">
        <f>0.23*0.11</f>
        <v>2.53E-2</v>
      </c>
      <c r="Q516" s="85">
        <f>0.34*0.11</f>
        <v>3.7400000000000003E-2</v>
      </c>
      <c r="R516" s="85">
        <f>12.09*0.11</f>
        <v>1.3299000000000001</v>
      </c>
      <c r="S516" s="85">
        <v>0</v>
      </c>
      <c r="T516" s="85">
        <v>0</v>
      </c>
      <c r="U516" s="85">
        <v>0</v>
      </c>
      <c r="V516" s="85">
        <v>0</v>
      </c>
      <c r="W516" s="85">
        <v>0</v>
      </c>
      <c r="X516" s="85">
        <v>0</v>
      </c>
      <c r="Y516" s="85">
        <v>0</v>
      </c>
      <c r="Z516" s="85">
        <v>0</v>
      </c>
      <c r="AA516" s="85">
        <v>0</v>
      </c>
      <c r="AB516" s="85">
        <v>0</v>
      </c>
      <c r="AC516" s="85">
        <v>0</v>
      </c>
      <c r="AD516" s="85"/>
    </row>
    <row r="517" spans="1:30">
      <c r="A517" s="82" t="s">
        <v>676</v>
      </c>
      <c r="B517" s="83" t="s">
        <v>596</v>
      </c>
      <c r="C517" s="84" t="s">
        <v>680</v>
      </c>
      <c r="D517" s="84" t="s">
        <v>680</v>
      </c>
      <c r="E517" s="84" t="s">
        <v>680</v>
      </c>
      <c r="F517" s="84" t="s">
        <v>680</v>
      </c>
      <c r="G517" s="84" t="s">
        <v>680</v>
      </c>
      <c r="H517" s="84" t="s">
        <v>680</v>
      </c>
      <c r="I517" s="84" t="s">
        <v>680</v>
      </c>
      <c r="J517" s="84" t="s">
        <v>680</v>
      </c>
      <c r="K517" s="85">
        <v>0</v>
      </c>
      <c r="L517" s="85"/>
      <c r="M517" s="85"/>
      <c r="N517" s="85">
        <v>0</v>
      </c>
      <c r="O517" s="85">
        <v>0</v>
      </c>
      <c r="P517" s="85">
        <v>0</v>
      </c>
      <c r="Q517" s="85">
        <v>0</v>
      </c>
      <c r="R517" s="85">
        <v>0</v>
      </c>
      <c r="S517" s="85">
        <v>0</v>
      </c>
      <c r="T517" s="85">
        <v>0</v>
      </c>
      <c r="U517" s="85">
        <v>0</v>
      </c>
      <c r="V517" s="85">
        <v>0</v>
      </c>
      <c r="W517" s="85">
        <v>0</v>
      </c>
      <c r="X517" s="85">
        <v>0</v>
      </c>
      <c r="Y517" s="85">
        <v>0</v>
      </c>
      <c r="Z517" s="85">
        <v>0</v>
      </c>
      <c r="AA517" s="85">
        <v>0</v>
      </c>
      <c r="AB517" s="85">
        <v>0</v>
      </c>
      <c r="AC517" s="85">
        <v>0</v>
      </c>
      <c r="AD517" s="85"/>
    </row>
    <row r="518" spans="1:30">
      <c r="A518" s="82" t="s">
        <v>676</v>
      </c>
      <c r="B518" s="83" t="s">
        <v>594</v>
      </c>
      <c r="C518" s="84" t="s">
        <v>680</v>
      </c>
      <c r="D518" s="84" t="s">
        <v>680</v>
      </c>
      <c r="E518" s="84" t="s">
        <v>680</v>
      </c>
      <c r="F518" s="84" t="s">
        <v>680</v>
      </c>
      <c r="G518" s="84" t="s">
        <v>680</v>
      </c>
      <c r="H518" s="84" t="s">
        <v>680</v>
      </c>
      <c r="I518" s="84" t="s">
        <v>680</v>
      </c>
      <c r="J518" s="84" t="s">
        <v>680</v>
      </c>
      <c r="K518" s="85">
        <f>36.63*0.055</f>
        <v>2.0146500000000001</v>
      </c>
      <c r="L518" s="85"/>
      <c r="M518" s="85"/>
      <c r="N518" s="85">
        <f>59.75*0.055</f>
        <v>3.2862499999999999</v>
      </c>
      <c r="O518" s="85">
        <f>79.91*0.055</f>
        <v>4.3950499999999995</v>
      </c>
      <c r="P518" s="85">
        <f>67.42*0.055</f>
        <v>3.7081</v>
      </c>
      <c r="Q518" s="85">
        <f>91.36*0.055</f>
        <v>5.0247999999999999</v>
      </c>
      <c r="R518" s="85">
        <f>49.09*0.055</f>
        <v>2.6999500000000003</v>
      </c>
      <c r="S518" s="85">
        <f>66.65*0.055</f>
        <v>3.6657500000000005</v>
      </c>
      <c r="T518" s="85">
        <f>67*0.055</f>
        <v>3.6850000000000001</v>
      </c>
      <c r="U518" s="85">
        <f>57.936*0.055</f>
        <v>3.18648</v>
      </c>
      <c r="V518" s="85">
        <f>60.2888*0.055</f>
        <v>3.3158840000000001</v>
      </c>
      <c r="W518" s="85">
        <f>44.472*0.055</f>
        <v>2.4459599999999999</v>
      </c>
      <c r="X518" s="85">
        <f>43.6*0.055</f>
        <v>2.3980000000000001</v>
      </c>
      <c r="Y518" s="85">
        <f>43.588*0.055</f>
        <v>2.3973400000000002</v>
      </c>
      <c r="Z518" s="85">
        <f>21.991*0.055</f>
        <v>1.2095050000000001</v>
      </c>
      <c r="AA518" s="85">
        <f>21.99*0.055</f>
        <v>1.2094499999999999</v>
      </c>
      <c r="AB518" s="85">
        <f>1.673*0.055</f>
        <v>9.2015E-2</v>
      </c>
      <c r="AC518" s="85">
        <f>1.6788*0.055</f>
        <v>9.2333999999999999E-2</v>
      </c>
      <c r="AD518" s="85"/>
    </row>
    <row r="519" spans="1:30">
      <c r="A519" s="82" t="s">
        <v>676</v>
      </c>
      <c r="B519" s="87" t="s">
        <v>643</v>
      </c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>
        <v>0</v>
      </c>
      <c r="O519" s="85">
        <v>0</v>
      </c>
      <c r="P519" s="85">
        <v>0</v>
      </c>
      <c r="Q519" s="85">
        <v>0</v>
      </c>
      <c r="R519" s="85">
        <v>0</v>
      </c>
      <c r="S519" s="85">
        <v>0</v>
      </c>
      <c r="T519" s="85">
        <v>0</v>
      </c>
      <c r="U519" s="85">
        <v>0</v>
      </c>
      <c r="V519" s="85">
        <v>0</v>
      </c>
      <c r="W519" s="85">
        <v>0</v>
      </c>
      <c r="X519" s="85">
        <v>0</v>
      </c>
      <c r="Y519" s="85">
        <v>0</v>
      </c>
      <c r="Z519" s="85">
        <v>0</v>
      </c>
      <c r="AA519" s="85">
        <v>0</v>
      </c>
      <c r="AB519" s="85">
        <v>0</v>
      </c>
      <c r="AC519" s="85">
        <v>0</v>
      </c>
      <c r="AD519" s="85"/>
    </row>
    <row r="520" spans="1:30">
      <c r="A520" s="82" t="s">
        <v>678</v>
      </c>
      <c r="B520" s="83" t="s">
        <v>597</v>
      </c>
      <c r="C520" s="85">
        <v>0</v>
      </c>
      <c r="D520" s="85">
        <v>0</v>
      </c>
      <c r="E520" s="85">
        <v>0</v>
      </c>
      <c r="F520" s="85">
        <v>0</v>
      </c>
      <c r="G520" s="85">
        <v>0</v>
      </c>
      <c r="H520" s="85">
        <v>0</v>
      </c>
      <c r="I520" s="85">
        <v>0</v>
      </c>
      <c r="J520" s="85">
        <v>0</v>
      </c>
      <c r="K520" s="85">
        <v>0</v>
      </c>
      <c r="L520" s="85"/>
      <c r="M520" s="85">
        <v>0</v>
      </c>
      <c r="N520" s="85">
        <v>0</v>
      </c>
      <c r="O520" s="85">
        <v>0</v>
      </c>
      <c r="P520" s="85">
        <v>0</v>
      </c>
      <c r="Q520" s="85">
        <v>0</v>
      </c>
      <c r="R520" s="85">
        <v>0</v>
      </c>
      <c r="S520" s="85">
        <v>0</v>
      </c>
      <c r="T520" s="85">
        <v>0</v>
      </c>
      <c r="U520" s="85">
        <v>0</v>
      </c>
      <c r="V520" s="85">
        <v>0</v>
      </c>
      <c r="W520" s="85">
        <v>0</v>
      </c>
      <c r="X520" s="85">
        <v>0</v>
      </c>
      <c r="Y520" s="85">
        <v>0</v>
      </c>
      <c r="Z520" s="85">
        <v>0</v>
      </c>
      <c r="AA520" s="85">
        <v>0</v>
      </c>
      <c r="AB520" s="85">
        <v>0</v>
      </c>
      <c r="AC520" s="85"/>
      <c r="AD520" s="85"/>
    </row>
    <row r="521" spans="1:30">
      <c r="A521" s="82" t="s">
        <v>678</v>
      </c>
      <c r="B521" s="83" t="s">
        <v>600</v>
      </c>
      <c r="C521" s="85">
        <v>0</v>
      </c>
      <c r="D521" s="85">
        <v>0</v>
      </c>
      <c r="E521" s="85">
        <v>0</v>
      </c>
      <c r="F521" s="85">
        <v>0</v>
      </c>
      <c r="G521" s="85">
        <v>0</v>
      </c>
      <c r="H521" s="85">
        <v>0</v>
      </c>
      <c r="I521" s="85">
        <v>0</v>
      </c>
      <c r="J521" s="85">
        <v>0</v>
      </c>
      <c r="K521" s="85">
        <v>0</v>
      </c>
      <c r="L521" s="85"/>
      <c r="M521" s="85">
        <v>0</v>
      </c>
      <c r="N521" s="85">
        <v>0</v>
      </c>
      <c r="O521" s="85">
        <v>0</v>
      </c>
      <c r="P521" s="85">
        <v>0</v>
      </c>
      <c r="Q521" s="85">
        <v>0</v>
      </c>
      <c r="R521" s="85">
        <v>0</v>
      </c>
      <c r="S521" s="85">
        <v>0</v>
      </c>
      <c r="T521" s="85">
        <v>0</v>
      </c>
      <c r="U521" s="85">
        <v>0</v>
      </c>
      <c r="V521" s="85">
        <v>0</v>
      </c>
      <c r="W521" s="85">
        <v>0</v>
      </c>
      <c r="X521" s="85">
        <v>0</v>
      </c>
      <c r="Y521" s="85">
        <v>0</v>
      </c>
      <c r="Z521" s="85">
        <v>0</v>
      </c>
      <c r="AA521" s="85">
        <v>0</v>
      </c>
      <c r="AB521" s="85">
        <v>0</v>
      </c>
      <c r="AC521" s="85"/>
      <c r="AD521" s="85"/>
    </row>
    <row r="522" spans="1:30">
      <c r="A522" s="82" t="s">
        <v>678</v>
      </c>
      <c r="B522" s="83" t="s">
        <v>595</v>
      </c>
      <c r="C522" s="85">
        <v>0</v>
      </c>
      <c r="D522" s="85">
        <v>0</v>
      </c>
      <c r="E522" s="85">
        <v>0</v>
      </c>
      <c r="F522" s="85">
        <v>0</v>
      </c>
      <c r="G522" s="85">
        <v>0</v>
      </c>
      <c r="H522" s="85">
        <v>0</v>
      </c>
      <c r="I522" s="85">
        <v>0</v>
      </c>
      <c r="J522" s="85">
        <v>0</v>
      </c>
      <c r="K522" s="85">
        <v>0</v>
      </c>
      <c r="L522" s="85"/>
      <c r="M522" s="85">
        <v>0</v>
      </c>
      <c r="N522" s="85">
        <v>0</v>
      </c>
      <c r="O522" s="85">
        <v>0</v>
      </c>
      <c r="P522" s="85">
        <v>0</v>
      </c>
      <c r="Q522" s="85">
        <v>0</v>
      </c>
      <c r="R522" s="85">
        <v>0</v>
      </c>
      <c r="S522" s="85">
        <v>0</v>
      </c>
      <c r="T522" s="85">
        <v>0</v>
      </c>
      <c r="U522" s="85">
        <v>0</v>
      </c>
      <c r="V522" s="85">
        <v>0</v>
      </c>
      <c r="W522" s="85">
        <v>0</v>
      </c>
      <c r="X522" s="85">
        <v>0</v>
      </c>
      <c r="Y522" s="85">
        <v>0</v>
      </c>
      <c r="Z522" s="85">
        <v>0</v>
      </c>
      <c r="AA522" s="85">
        <v>0</v>
      </c>
      <c r="AB522" s="85">
        <v>0</v>
      </c>
      <c r="AC522" s="85"/>
      <c r="AD522" s="85"/>
    </row>
    <row r="523" spans="1:30">
      <c r="A523" s="82" t="s">
        <v>678</v>
      </c>
      <c r="B523" s="83" t="s">
        <v>596</v>
      </c>
      <c r="C523" s="85">
        <v>0</v>
      </c>
      <c r="D523" s="85">
        <v>0</v>
      </c>
      <c r="E523" s="85">
        <v>0</v>
      </c>
      <c r="F523" s="85">
        <v>0</v>
      </c>
      <c r="G523" s="85">
        <v>0</v>
      </c>
      <c r="H523" s="85">
        <v>0</v>
      </c>
      <c r="I523" s="85">
        <v>0</v>
      </c>
      <c r="J523" s="85">
        <v>0</v>
      </c>
      <c r="K523" s="85">
        <v>0</v>
      </c>
      <c r="L523" s="85"/>
      <c r="M523" s="85">
        <v>0</v>
      </c>
      <c r="N523" s="85">
        <v>0</v>
      </c>
      <c r="O523" s="85">
        <v>0</v>
      </c>
      <c r="P523" s="85">
        <v>0</v>
      </c>
      <c r="Q523" s="85">
        <v>0</v>
      </c>
      <c r="R523" s="85">
        <v>0</v>
      </c>
      <c r="S523" s="85">
        <v>0</v>
      </c>
      <c r="T523" s="85">
        <v>0</v>
      </c>
      <c r="U523" s="85">
        <v>0</v>
      </c>
      <c r="V523" s="85">
        <v>0</v>
      </c>
      <c r="W523" s="85">
        <v>0</v>
      </c>
      <c r="X523" s="85">
        <v>0</v>
      </c>
      <c r="Y523" s="85">
        <v>0</v>
      </c>
      <c r="Z523" s="85">
        <v>0</v>
      </c>
      <c r="AA523" s="85">
        <v>0</v>
      </c>
      <c r="AB523" s="85">
        <v>0</v>
      </c>
      <c r="AC523" s="85"/>
      <c r="AD523" s="85"/>
    </row>
    <row r="524" spans="1:30">
      <c r="A524" s="82" t="s">
        <v>678</v>
      </c>
      <c r="B524" s="83" t="s">
        <v>594</v>
      </c>
      <c r="C524" s="85">
        <f>40*0.055</f>
        <v>2.2000000000000002</v>
      </c>
      <c r="D524" s="85">
        <f>42*0.055</f>
        <v>2.31</v>
      </c>
      <c r="E524" s="85">
        <f>74.49*0.055</f>
        <v>4.0969499999999996</v>
      </c>
      <c r="F524" s="85">
        <f>71.73*0.055</f>
        <v>3.9451500000000004</v>
      </c>
      <c r="G524" s="85">
        <f>33.98*0.055</f>
        <v>1.8688999999999998</v>
      </c>
      <c r="H524" s="85">
        <f>18.35*0.055</f>
        <v>1.00925</v>
      </c>
      <c r="I524" s="85">
        <f>23.498*0.055</f>
        <v>1.2923900000000001</v>
      </c>
      <c r="J524" s="85">
        <f>42*0.055</f>
        <v>2.31</v>
      </c>
      <c r="K524" s="85">
        <f>43*0.055</f>
        <v>2.3650000000000002</v>
      </c>
      <c r="L524" s="85"/>
      <c r="M524" s="85">
        <f>46*0.055</f>
        <v>2.5299999999999998</v>
      </c>
      <c r="N524" s="85">
        <v>0</v>
      </c>
      <c r="O524" s="85">
        <f>-25*0.055</f>
        <v>-1.375</v>
      </c>
      <c r="P524" s="85">
        <f>38*0.055</f>
        <v>2.09</v>
      </c>
      <c r="Q524" s="85">
        <f>65*0.055</f>
        <v>3.5750000000000002</v>
      </c>
      <c r="R524" s="85">
        <f>282.1*0.055</f>
        <v>15.515500000000001</v>
      </c>
      <c r="S524" s="85">
        <f>290*0.055</f>
        <v>15.95</v>
      </c>
      <c r="T524" s="85">
        <f>302*0.055</f>
        <v>16.61</v>
      </c>
      <c r="U524" s="85">
        <f>187*0.055</f>
        <v>10.285</v>
      </c>
      <c r="V524" s="85">
        <f>185*0.055</f>
        <v>10.175000000000001</v>
      </c>
      <c r="W524" s="85">
        <f>184*0.055</f>
        <v>10.119999999999999</v>
      </c>
      <c r="X524" s="85">
        <f>175*0.055</f>
        <v>9.625</v>
      </c>
      <c r="Y524" s="85">
        <f>165*0.055</f>
        <v>9.0749999999999993</v>
      </c>
      <c r="Z524" s="85">
        <f>165*0.055</f>
        <v>9.0749999999999993</v>
      </c>
      <c r="AA524" s="85">
        <f>137*0.055</f>
        <v>7.5350000000000001</v>
      </c>
      <c r="AB524" s="85">
        <f>95*0.055</f>
        <v>5.2249999999999996</v>
      </c>
      <c r="AC524" s="85"/>
      <c r="AD524" s="85"/>
    </row>
    <row r="525" spans="1:30">
      <c r="A525" s="82" t="s">
        <v>678</v>
      </c>
      <c r="B525" s="87" t="s">
        <v>643</v>
      </c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>
        <v>0</v>
      </c>
      <c r="O525" s="85">
        <v>0</v>
      </c>
      <c r="P525" s="85">
        <v>0</v>
      </c>
      <c r="Q525" s="85">
        <v>0</v>
      </c>
      <c r="R525" s="85">
        <v>0</v>
      </c>
      <c r="S525" s="85">
        <v>0</v>
      </c>
      <c r="T525" s="85">
        <v>0</v>
      </c>
      <c r="U525" s="85">
        <v>0</v>
      </c>
      <c r="V525" s="85">
        <v>0</v>
      </c>
      <c r="W525" s="85">
        <v>0</v>
      </c>
      <c r="X525" s="85">
        <v>0</v>
      </c>
      <c r="Y525" s="85">
        <v>0</v>
      </c>
      <c r="Z525" s="85">
        <v>0</v>
      </c>
      <c r="AA525" s="85">
        <v>0</v>
      </c>
      <c r="AB525" s="85">
        <v>0</v>
      </c>
      <c r="AC525" s="85"/>
      <c r="AD525" s="85"/>
    </row>
    <row r="526" spans="1:30">
      <c r="A526" s="82" t="s">
        <v>674</v>
      </c>
      <c r="B526" s="83" t="s">
        <v>597</v>
      </c>
      <c r="C526" s="84" t="s">
        <v>680</v>
      </c>
      <c r="D526" s="84" t="s">
        <v>680</v>
      </c>
      <c r="E526" s="84" t="s">
        <v>680</v>
      </c>
      <c r="F526" s="84" t="s">
        <v>680</v>
      </c>
      <c r="G526" s="84" t="s">
        <v>680</v>
      </c>
      <c r="H526" s="84" t="s">
        <v>680</v>
      </c>
      <c r="I526" s="85">
        <v>0</v>
      </c>
      <c r="J526" s="85">
        <v>0</v>
      </c>
      <c r="K526" s="85">
        <v>0</v>
      </c>
      <c r="L526" s="85">
        <v>0</v>
      </c>
      <c r="M526" s="85">
        <v>0</v>
      </c>
      <c r="N526" s="85">
        <v>0</v>
      </c>
      <c r="O526" s="85">
        <v>0</v>
      </c>
      <c r="P526" s="85">
        <v>0</v>
      </c>
      <c r="Q526" s="85">
        <v>0</v>
      </c>
      <c r="R526" s="85">
        <v>0</v>
      </c>
      <c r="S526" s="85">
        <v>0</v>
      </c>
      <c r="T526" s="85">
        <v>0</v>
      </c>
      <c r="U526" s="85">
        <v>0</v>
      </c>
      <c r="V526" s="85">
        <v>0</v>
      </c>
      <c r="W526" s="85">
        <v>0</v>
      </c>
      <c r="X526" s="85">
        <v>0</v>
      </c>
      <c r="Y526" s="85">
        <v>0</v>
      </c>
      <c r="Z526" s="85">
        <v>0</v>
      </c>
      <c r="AA526" s="85">
        <v>0</v>
      </c>
      <c r="AB526" s="85">
        <v>0</v>
      </c>
      <c r="AC526" s="85">
        <v>0</v>
      </c>
      <c r="AD526" s="85"/>
    </row>
    <row r="527" spans="1:30">
      <c r="A527" s="82" t="s">
        <v>674</v>
      </c>
      <c r="B527" s="83" t="s">
        <v>600</v>
      </c>
      <c r="C527" s="84" t="s">
        <v>680</v>
      </c>
      <c r="D527" s="84" t="s">
        <v>680</v>
      </c>
      <c r="E527" s="84" t="s">
        <v>680</v>
      </c>
      <c r="F527" s="84" t="s">
        <v>680</v>
      </c>
      <c r="G527" s="84" t="s">
        <v>680</v>
      </c>
      <c r="H527" s="84" t="s">
        <v>680</v>
      </c>
      <c r="I527" s="85">
        <v>0</v>
      </c>
      <c r="J527" s="85">
        <v>0</v>
      </c>
      <c r="K527" s="85">
        <v>0</v>
      </c>
      <c r="L527" s="85">
        <v>0</v>
      </c>
      <c r="M527" s="85">
        <v>0</v>
      </c>
      <c r="N527" s="85">
        <v>0</v>
      </c>
      <c r="O527" s="85">
        <v>0</v>
      </c>
      <c r="P527" s="85">
        <v>0</v>
      </c>
      <c r="Q527" s="85">
        <v>0</v>
      </c>
      <c r="R527" s="85">
        <v>0</v>
      </c>
      <c r="S527" s="85">
        <v>0</v>
      </c>
      <c r="T527" s="85">
        <v>0</v>
      </c>
      <c r="U527" s="85">
        <v>0</v>
      </c>
      <c r="V527" s="85">
        <v>0</v>
      </c>
      <c r="W527" s="85">
        <v>0</v>
      </c>
      <c r="X527" s="85">
        <v>0</v>
      </c>
      <c r="Y527" s="85">
        <v>0</v>
      </c>
      <c r="Z527" s="85">
        <v>0</v>
      </c>
      <c r="AA527" s="85">
        <v>0</v>
      </c>
      <c r="AB527" s="85">
        <v>0</v>
      </c>
      <c r="AC527" s="85">
        <v>0</v>
      </c>
      <c r="AD527" s="85"/>
    </row>
    <row r="528" spans="1:30">
      <c r="A528" s="82" t="s">
        <v>674</v>
      </c>
      <c r="B528" s="83" t="s">
        <v>595</v>
      </c>
      <c r="C528" s="84" t="s">
        <v>680</v>
      </c>
      <c r="D528" s="84" t="s">
        <v>680</v>
      </c>
      <c r="E528" s="84" t="s">
        <v>680</v>
      </c>
      <c r="F528" s="84" t="s">
        <v>680</v>
      </c>
      <c r="G528" s="84" t="s">
        <v>680</v>
      </c>
      <c r="H528" s="84" t="s">
        <v>680</v>
      </c>
      <c r="I528" s="85">
        <v>0</v>
      </c>
      <c r="J528" s="85">
        <v>0</v>
      </c>
      <c r="K528" s="85">
        <v>0</v>
      </c>
      <c r="L528" s="85">
        <v>0</v>
      </c>
      <c r="M528" s="85">
        <v>0</v>
      </c>
      <c r="N528" s="85">
        <v>0</v>
      </c>
      <c r="O528" s="85">
        <v>0</v>
      </c>
      <c r="P528" s="85">
        <v>0</v>
      </c>
      <c r="Q528" s="85">
        <v>0</v>
      </c>
      <c r="R528" s="85">
        <v>0</v>
      </c>
      <c r="S528" s="85">
        <v>0</v>
      </c>
      <c r="T528" s="85">
        <v>0</v>
      </c>
      <c r="U528" s="85">
        <v>0</v>
      </c>
      <c r="V528" s="85">
        <v>0</v>
      </c>
      <c r="W528" s="85">
        <v>0</v>
      </c>
      <c r="X528" s="85">
        <v>0</v>
      </c>
      <c r="Y528" s="85">
        <v>0</v>
      </c>
      <c r="Z528" s="85">
        <v>0</v>
      </c>
      <c r="AA528" s="85">
        <v>0</v>
      </c>
      <c r="AB528" s="85">
        <v>0</v>
      </c>
      <c r="AC528" s="85">
        <v>0</v>
      </c>
      <c r="AD528" s="85"/>
    </row>
    <row r="529" spans="1:30">
      <c r="A529" s="82" t="s">
        <v>674</v>
      </c>
      <c r="B529" s="83" t="s">
        <v>596</v>
      </c>
      <c r="C529" s="84" t="s">
        <v>680</v>
      </c>
      <c r="D529" s="84" t="s">
        <v>680</v>
      </c>
      <c r="E529" s="84" t="s">
        <v>680</v>
      </c>
      <c r="F529" s="84" t="s">
        <v>680</v>
      </c>
      <c r="G529" s="84" t="s">
        <v>680</v>
      </c>
      <c r="H529" s="84" t="s">
        <v>680</v>
      </c>
      <c r="I529" s="85">
        <v>0</v>
      </c>
      <c r="J529" s="85">
        <v>0</v>
      </c>
      <c r="K529" s="85">
        <v>0</v>
      </c>
      <c r="L529" s="85">
        <v>0</v>
      </c>
      <c r="M529" s="85">
        <v>0</v>
      </c>
      <c r="N529" s="85">
        <v>0</v>
      </c>
      <c r="O529" s="85">
        <v>0</v>
      </c>
      <c r="P529" s="85">
        <v>0</v>
      </c>
      <c r="Q529" s="85">
        <v>0</v>
      </c>
      <c r="R529" s="85">
        <v>0</v>
      </c>
      <c r="S529" s="85">
        <v>0</v>
      </c>
      <c r="T529" s="85">
        <v>0</v>
      </c>
      <c r="U529" s="85">
        <v>0</v>
      </c>
      <c r="V529" s="85">
        <v>0</v>
      </c>
      <c r="W529" s="85">
        <v>0</v>
      </c>
      <c r="X529" s="85">
        <v>0</v>
      </c>
      <c r="Y529" s="85">
        <v>0</v>
      </c>
      <c r="Z529" s="85">
        <v>0</v>
      </c>
      <c r="AA529" s="85">
        <v>0</v>
      </c>
      <c r="AB529" s="85">
        <v>0</v>
      </c>
      <c r="AC529" s="85">
        <v>0</v>
      </c>
      <c r="AD529" s="85"/>
    </row>
    <row r="530" spans="1:30">
      <c r="A530" s="82" t="s">
        <v>674</v>
      </c>
      <c r="B530" s="83" t="s">
        <v>594</v>
      </c>
      <c r="C530" s="84" t="s">
        <v>680</v>
      </c>
      <c r="D530" s="84" t="s">
        <v>680</v>
      </c>
      <c r="E530" s="84" t="s">
        <v>680</v>
      </c>
      <c r="F530" s="84" t="s">
        <v>680</v>
      </c>
      <c r="G530" s="84" t="s">
        <v>680</v>
      </c>
      <c r="H530" s="84" t="s">
        <v>680</v>
      </c>
      <c r="I530" s="85">
        <f>2.16*0.055</f>
        <v>0.1188</v>
      </c>
      <c r="J530" s="85">
        <f>2.16*0.055</f>
        <v>0.1188</v>
      </c>
      <c r="K530" s="85">
        <f>2.16*0.055</f>
        <v>0.1188</v>
      </c>
      <c r="L530" s="85">
        <f>0.75*0.055</f>
        <v>4.1250000000000002E-2</v>
      </c>
      <c r="M530" s="85">
        <f>0.15*0.055</f>
        <v>8.2500000000000004E-3</v>
      </c>
      <c r="N530" s="85">
        <v>6.3799999999999996E-2</v>
      </c>
      <c r="O530" s="85">
        <f>3.93*0.055</f>
        <v>0.21615000000000001</v>
      </c>
      <c r="P530" s="85">
        <f>4.17*0.055</f>
        <v>0.22935</v>
      </c>
      <c r="Q530" s="85">
        <f>3.48*0.055</f>
        <v>0.19139999999999999</v>
      </c>
      <c r="R530" s="85">
        <f>4.5*0.055</f>
        <v>0.2475</v>
      </c>
      <c r="S530" s="85">
        <f>4.33*0.055</f>
        <v>0.23815</v>
      </c>
      <c r="T530" s="85">
        <f>3.73*0.055</f>
        <v>0.20515</v>
      </c>
      <c r="U530" s="85">
        <f>2.21*0.055</f>
        <v>0.12155000000000001</v>
      </c>
      <c r="V530" s="85">
        <f>1.46*0.055</f>
        <v>8.0299999999999996E-2</v>
      </c>
      <c r="W530" s="85">
        <f>1.49*0.055</f>
        <v>8.1949999999999995E-2</v>
      </c>
      <c r="X530" s="85">
        <f>(1.54-1.54)*0.055</f>
        <v>0</v>
      </c>
      <c r="Y530" s="85">
        <v>0</v>
      </c>
      <c r="Z530" s="85">
        <v>0</v>
      </c>
      <c r="AA530" s="85">
        <v>0</v>
      </c>
      <c r="AB530" s="85">
        <v>0</v>
      </c>
      <c r="AC530" s="85">
        <v>0</v>
      </c>
      <c r="AD530" s="85"/>
    </row>
    <row r="531" spans="1:30">
      <c r="A531" s="82" t="s">
        <v>674</v>
      </c>
      <c r="B531" s="87" t="s">
        <v>643</v>
      </c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>
        <v>0</v>
      </c>
      <c r="O531" s="85">
        <v>0</v>
      </c>
      <c r="P531" s="85">
        <v>0</v>
      </c>
      <c r="Q531" s="85">
        <v>0</v>
      </c>
      <c r="R531" s="85">
        <v>0</v>
      </c>
      <c r="S531" s="85">
        <v>0</v>
      </c>
      <c r="T531" s="85">
        <v>0</v>
      </c>
      <c r="U531" s="85">
        <v>0</v>
      </c>
      <c r="V531" s="85">
        <v>0</v>
      </c>
      <c r="W531" s="85">
        <v>0</v>
      </c>
      <c r="X531" s="85">
        <v>0</v>
      </c>
      <c r="Y531" s="85">
        <v>0</v>
      </c>
      <c r="Z531" s="85">
        <v>0</v>
      </c>
      <c r="AA531" s="85">
        <v>0</v>
      </c>
      <c r="AB531" s="85">
        <v>0</v>
      </c>
      <c r="AC531" s="85">
        <v>0</v>
      </c>
      <c r="AD531" s="85"/>
    </row>
    <row r="532" spans="1:30" ht="11.4" customHeight="1">
      <c r="A532" s="82" t="s">
        <v>675</v>
      </c>
      <c r="B532" s="83" t="s">
        <v>597</v>
      </c>
      <c r="C532" s="84" t="s">
        <v>680</v>
      </c>
      <c r="D532" s="84" t="s">
        <v>680</v>
      </c>
      <c r="E532" s="84" t="s">
        <v>680</v>
      </c>
      <c r="F532" s="84" t="s">
        <v>680</v>
      </c>
      <c r="G532" s="85">
        <v>0</v>
      </c>
      <c r="H532" s="85">
        <v>0</v>
      </c>
      <c r="I532" s="85">
        <v>0</v>
      </c>
      <c r="J532" s="85">
        <v>0</v>
      </c>
      <c r="K532" s="85">
        <v>0</v>
      </c>
      <c r="L532" s="85">
        <v>0</v>
      </c>
      <c r="M532" s="85">
        <v>0</v>
      </c>
      <c r="N532" s="85">
        <v>0</v>
      </c>
      <c r="O532" s="85">
        <v>0</v>
      </c>
      <c r="P532" s="85"/>
      <c r="Q532" s="85">
        <v>0</v>
      </c>
      <c r="R532" s="85"/>
      <c r="S532" s="85">
        <v>0</v>
      </c>
      <c r="T532" s="85">
        <v>0</v>
      </c>
      <c r="U532" s="85">
        <v>0</v>
      </c>
      <c r="V532" s="85">
        <v>0</v>
      </c>
      <c r="W532" s="85">
        <v>0</v>
      </c>
      <c r="X532" s="85">
        <v>0</v>
      </c>
      <c r="Y532" s="85">
        <v>0</v>
      </c>
      <c r="Z532" s="85">
        <v>0</v>
      </c>
      <c r="AA532" s="85">
        <v>0</v>
      </c>
      <c r="AB532" s="85">
        <v>0</v>
      </c>
      <c r="AC532" s="85">
        <v>0</v>
      </c>
      <c r="AD532" s="85"/>
    </row>
    <row r="533" spans="1:30">
      <c r="A533" s="82" t="s">
        <v>675</v>
      </c>
      <c r="B533" s="83" t="s">
        <v>600</v>
      </c>
      <c r="C533" s="84" t="s">
        <v>680</v>
      </c>
      <c r="D533" s="84" t="s">
        <v>680</v>
      </c>
      <c r="E533" s="84" t="s">
        <v>680</v>
      </c>
      <c r="F533" s="84" t="s">
        <v>680</v>
      </c>
      <c r="G533" s="85">
        <v>0</v>
      </c>
      <c r="H533" s="85">
        <v>0</v>
      </c>
      <c r="I533" s="85">
        <v>0</v>
      </c>
      <c r="J533" s="85">
        <v>0</v>
      </c>
      <c r="K533" s="85">
        <v>0</v>
      </c>
      <c r="L533" s="85">
        <v>0</v>
      </c>
      <c r="M533" s="85">
        <v>0</v>
      </c>
      <c r="N533" s="85">
        <v>0</v>
      </c>
      <c r="O533" s="85">
        <v>0</v>
      </c>
      <c r="P533" s="85"/>
      <c r="Q533" s="85">
        <v>0</v>
      </c>
      <c r="R533" s="85"/>
      <c r="S533" s="85">
        <v>0</v>
      </c>
      <c r="T533" s="85">
        <v>0</v>
      </c>
      <c r="U533" s="85">
        <v>0</v>
      </c>
      <c r="V533" s="85">
        <v>0</v>
      </c>
      <c r="W533" s="85">
        <v>0</v>
      </c>
      <c r="X533" s="85">
        <v>0</v>
      </c>
      <c r="Y533" s="85">
        <v>0</v>
      </c>
      <c r="Z533" s="85">
        <v>0</v>
      </c>
      <c r="AA533" s="85">
        <v>0</v>
      </c>
      <c r="AB533" s="85">
        <v>0</v>
      </c>
      <c r="AC533" s="85">
        <v>0</v>
      </c>
      <c r="AD533" s="85"/>
    </row>
    <row r="534" spans="1:30">
      <c r="A534" s="82" t="s">
        <v>675</v>
      </c>
      <c r="B534" s="83" t="s">
        <v>595</v>
      </c>
      <c r="C534" s="84" t="s">
        <v>680</v>
      </c>
      <c r="D534" s="84" t="s">
        <v>680</v>
      </c>
      <c r="E534" s="84" t="s">
        <v>680</v>
      </c>
      <c r="F534" s="84" t="s">
        <v>680</v>
      </c>
      <c r="G534" s="85">
        <v>0</v>
      </c>
      <c r="H534" s="85">
        <v>0</v>
      </c>
      <c r="I534" s="85">
        <v>0</v>
      </c>
      <c r="J534" s="85">
        <v>0</v>
      </c>
      <c r="K534" s="85">
        <v>0</v>
      </c>
      <c r="L534" s="85">
        <v>0</v>
      </c>
      <c r="M534" s="85">
        <v>0</v>
      </c>
      <c r="N534" s="85">
        <v>0</v>
      </c>
      <c r="O534" s="85">
        <v>0</v>
      </c>
      <c r="P534" s="85"/>
      <c r="Q534" s="85">
        <v>0</v>
      </c>
      <c r="R534" s="85"/>
      <c r="S534" s="85">
        <v>0</v>
      </c>
      <c r="T534" s="85">
        <v>0</v>
      </c>
      <c r="U534" s="85">
        <v>0</v>
      </c>
      <c r="V534" s="85">
        <v>0</v>
      </c>
      <c r="W534" s="85">
        <v>0</v>
      </c>
      <c r="X534" s="85">
        <v>0</v>
      </c>
      <c r="Y534" s="85">
        <v>0</v>
      </c>
      <c r="Z534" s="85">
        <v>0</v>
      </c>
      <c r="AA534" s="85">
        <v>0</v>
      </c>
      <c r="AB534" s="85">
        <v>0</v>
      </c>
      <c r="AC534" s="85">
        <v>0</v>
      </c>
      <c r="AD534" s="85"/>
    </row>
    <row r="535" spans="1:30">
      <c r="A535" s="82" t="s">
        <v>675</v>
      </c>
      <c r="B535" s="83" t="s">
        <v>596</v>
      </c>
      <c r="C535" s="84" t="s">
        <v>680</v>
      </c>
      <c r="D535" s="84" t="s">
        <v>680</v>
      </c>
      <c r="E535" s="84" t="s">
        <v>680</v>
      </c>
      <c r="F535" s="84" t="s">
        <v>680</v>
      </c>
      <c r="G535" s="85">
        <v>0</v>
      </c>
      <c r="H535" s="85">
        <v>0</v>
      </c>
      <c r="I535" s="85">
        <v>0</v>
      </c>
      <c r="J535" s="85">
        <v>0</v>
      </c>
      <c r="K535" s="85">
        <v>0</v>
      </c>
      <c r="L535" s="85">
        <v>0</v>
      </c>
      <c r="M535" s="85">
        <v>0</v>
      </c>
      <c r="N535" s="85">
        <v>0</v>
      </c>
      <c r="O535" s="85">
        <v>0</v>
      </c>
      <c r="P535" s="85"/>
      <c r="Q535" s="85">
        <v>0</v>
      </c>
      <c r="R535" s="85"/>
      <c r="S535" s="85">
        <v>0</v>
      </c>
      <c r="T535" s="85">
        <v>0</v>
      </c>
      <c r="U535" s="85">
        <v>0</v>
      </c>
      <c r="V535" s="85">
        <v>0</v>
      </c>
      <c r="W535" s="85">
        <v>0</v>
      </c>
      <c r="X535" s="85">
        <v>0</v>
      </c>
      <c r="Y535" s="85">
        <v>0</v>
      </c>
      <c r="Z535" s="85">
        <v>0</v>
      </c>
      <c r="AA535" s="85">
        <v>0</v>
      </c>
      <c r="AB535" s="85">
        <v>0</v>
      </c>
      <c r="AC535" s="85">
        <v>0</v>
      </c>
      <c r="AD535" s="85"/>
    </row>
    <row r="536" spans="1:30">
      <c r="A536" s="82" t="s">
        <v>675</v>
      </c>
      <c r="B536" s="83" t="s">
        <v>594</v>
      </c>
      <c r="C536" s="84" t="s">
        <v>680</v>
      </c>
      <c r="D536" s="84" t="s">
        <v>680</v>
      </c>
      <c r="E536" s="84" t="s">
        <v>680</v>
      </c>
      <c r="F536" s="84" t="s">
        <v>680</v>
      </c>
      <c r="G536" s="85">
        <v>0</v>
      </c>
      <c r="H536" s="85">
        <f>24.6*0.055</f>
        <v>1.353</v>
      </c>
      <c r="I536" s="85">
        <f>28.3*0.055</f>
        <v>1.5565</v>
      </c>
      <c r="J536" s="85">
        <f>33.4*0.055</f>
        <v>1.837</v>
      </c>
      <c r="K536" s="85">
        <f>24.6*0.055</f>
        <v>1.353</v>
      </c>
      <c r="L536" s="85">
        <f>23*0.055</f>
        <v>1.2649999999999999</v>
      </c>
      <c r="M536" s="85">
        <f>21*0.055</f>
        <v>1.155</v>
      </c>
      <c r="N536" s="85">
        <f>5.05*0.055</f>
        <v>0.27775</v>
      </c>
      <c r="O536" s="85">
        <f>25*0.055</f>
        <v>1.375</v>
      </c>
      <c r="P536" s="85"/>
      <c r="Q536" s="85">
        <f>200*0.055</f>
        <v>11</v>
      </c>
      <c r="R536" s="85"/>
      <c r="S536" s="85">
        <f>320*0.055</f>
        <v>17.600000000000001</v>
      </c>
      <c r="T536" s="85">
        <f>370*0.055</f>
        <v>20.350000000000001</v>
      </c>
      <c r="U536" s="85">
        <f>390*0.055</f>
        <v>21.45</v>
      </c>
      <c r="V536" s="85">
        <f>365*0.055</f>
        <v>20.074999999999999</v>
      </c>
      <c r="W536" s="85">
        <f>335*0.055</f>
        <v>18.425000000000001</v>
      </c>
      <c r="X536" s="85">
        <f>330*0.055</f>
        <v>18.149999999999999</v>
      </c>
      <c r="Y536" s="85">
        <f>287.26*0.055</f>
        <v>15.799299999999999</v>
      </c>
      <c r="Z536" s="85">
        <f>273.55*0.055</f>
        <v>15.045250000000001</v>
      </c>
      <c r="AA536" s="85">
        <f>252.98*0.055</f>
        <v>13.9139</v>
      </c>
      <c r="AB536" s="85">
        <f>239.9*0.055</f>
        <v>13.1945</v>
      </c>
      <c r="AC536" s="85">
        <f>238.6*0.055</f>
        <v>13.122999999999999</v>
      </c>
      <c r="AD536" s="85"/>
    </row>
    <row r="537" spans="1:30">
      <c r="A537" s="82" t="s">
        <v>675</v>
      </c>
      <c r="B537" s="87" t="s">
        <v>643</v>
      </c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>
        <v>0</v>
      </c>
      <c r="O537" s="85">
        <v>0</v>
      </c>
      <c r="P537" s="85"/>
      <c r="Q537" s="85">
        <v>0</v>
      </c>
      <c r="R537" s="85"/>
      <c r="S537" s="85">
        <v>0</v>
      </c>
      <c r="T537" s="85">
        <v>0</v>
      </c>
      <c r="U537" s="85">
        <v>0</v>
      </c>
      <c r="V537" s="85">
        <v>0</v>
      </c>
      <c r="W537" s="85">
        <v>0</v>
      </c>
      <c r="X537" s="85">
        <v>0</v>
      </c>
      <c r="Y537" s="85">
        <v>0</v>
      </c>
      <c r="Z537" s="85">
        <v>0</v>
      </c>
      <c r="AA537" s="85">
        <v>0</v>
      </c>
      <c r="AB537" s="85">
        <v>0</v>
      </c>
      <c r="AC537" s="85">
        <v>0</v>
      </c>
      <c r="AD537" s="85"/>
    </row>
    <row r="538" spans="1:30">
      <c r="A538" s="82" t="s">
        <v>673</v>
      </c>
      <c r="B538" s="83" t="s">
        <v>597</v>
      </c>
      <c r="C538" s="85">
        <v>0</v>
      </c>
      <c r="D538" s="85">
        <v>0</v>
      </c>
      <c r="E538" s="85">
        <v>0</v>
      </c>
      <c r="F538" s="85">
        <v>0</v>
      </c>
      <c r="G538" s="85">
        <v>0</v>
      </c>
      <c r="H538" s="85">
        <v>0</v>
      </c>
      <c r="I538" s="85">
        <v>0</v>
      </c>
      <c r="J538" s="85">
        <v>0</v>
      </c>
      <c r="K538" s="85">
        <v>0</v>
      </c>
      <c r="L538" s="85">
        <v>0</v>
      </c>
      <c r="M538" s="88">
        <f>0.2*0.02</f>
        <v>4.0000000000000001E-3</v>
      </c>
      <c r="N538" s="88">
        <f>0.8*0.02</f>
        <v>1.6E-2</v>
      </c>
      <c r="O538" s="88">
        <f>0.3*0.02</f>
        <v>6.0000000000000001E-3</v>
      </c>
      <c r="P538" s="88">
        <v>0</v>
      </c>
      <c r="Q538" s="88">
        <f>0.35*0.02</f>
        <v>6.9999999999999993E-3</v>
      </c>
      <c r="R538" s="85">
        <f>0.5*0.02</f>
        <v>0.01</v>
      </c>
      <c r="S538" s="85">
        <f>0.18*0.02</f>
        <v>3.5999999999999999E-3</v>
      </c>
      <c r="T538" s="88">
        <v>0</v>
      </c>
      <c r="U538" s="88">
        <f>0.2*0.02</f>
        <v>4.0000000000000001E-3</v>
      </c>
      <c r="V538" s="88">
        <f>0.04*0.02</f>
        <v>8.0000000000000004E-4</v>
      </c>
      <c r="W538" s="85">
        <f>0.4*0.02</f>
        <v>8.0000000000000002E-3</v>
      </c>
      <c r="X538" s="85">
        <f>0.2*0.02</f>
        <v>4.0000000000000001E-3</v>
      </c>
      <c r="Y538" s="85">
        <v>0</v>
      </c>
      <c r="Z538" s="85">
        <v>0</v>
      </c>
      <c r="AA538" s="85">
        <v>0</v>
      </c>
      <c r="AB538" s="85">
        <v>0</v>
      </c>
      <c r="AC538" s="85">
        <v>0</v>
      </c>
      <c r="AD538" s="85"/>
    </row>
    <row r="539" spans="1:30">
      <c r="A539" s="82" t="s">
        <v>673</v>
      </c>
      <c r="B539" s="83" t="s">
        <v>600</v>
      </c>
      <c r="C539" s="85">
        <v>0</v>
      </c>
      <c r="D539" s="85">
        <v>0</v>
      </c>
      <c r="E539" s="85">
        <v>0</v>
      </c>
      <c r="F539" s="85">
        <v>0</v>
      </c>
      <c r="G539" s="85">
        <v>0</v>
      </c>
      <c r="H539" s="85">
        <v>0</v>
      </c>
      <c r="I539" s="85">
        <v>0</v>
      </c>
      <c r="J539" s="85">
        <v>0</v>
      </c>
      <c r="K539" s="85">
        <v>0</v>
      </c>
      <c r="L539" s="85">
        <v>0</v>
      </c>
      <c r="M539" s="85">
        <v>0</v>
      </c>
      <c r="N539" s="85">
        <v>0</v>
      </c>
      <c r="O539" s="85"/>
      <c r="P539" s="85">
        <v>0</v>
      </c>
      <c r="Q539" s="85">
        <v>0</v>
      </c>
      <c r="R539" s="85">
        <v>0</v>
      </c>
      <c r="S539" s="85">
        <v>0</v>
      </c>
      <c r="T539" s="85">
        <v>0</v>
      </c>
      <c r="U539" s="85">
        <f>0.03*0.022</f>
        <v>6.5999999999999989E-4</v>
      </c>
      <c r="V539" s="85">
        <f>0.07*0.022</f>
        <v>1.5400000000000001E-3</v>
      </c>
      <c r="W539" s="85">
        <f>-0.05*0.022</f>
        <v>-1.1000000000000001E-3</v>
      </c>
      <c r="X539" s="85">
        <v>0</v>
      </c>
      <c r="Y539" s="85">
        <v>0</v>
      </c>
      <c r="Z539" s="85">
        <v>0</v>
      </c>
      <c r="AA539" s="85">
        <v>0</v>
      </c>
      <c r="AB539" s="85">
        <v>0</v>
      </c>
      <c r="AC539" s="85">
        <v>0</v>
      </c>
      <c r="AD539" s="85"/>
    </row>
    <row r="540" spans="1:30">
      <c r="A540" s="82" t="s">
        <v>673</v>
      </c>
      <c r="B540" s="83" t="s">
        <v>595</v>
      </c>
      <c r="C540" s="85">
        <v>0</v>
      </c>
      <c r="D540" s="88">
        <f>0.04*0.11</f>
        <v>4.4000000000000003E-3</v>
      </c>
      <c r="E540" s="85">
        <f>0.16*0.11</f>
        <v>1.7600000000000001E-2</v>
      </c>
      <c r="F540" s="85">
        <v>0</v>
      </c>
      <c r="G540" s="85">
        <f>0.06*0.11</f>
        <v>6.6E-3</v>
      </c>
      <c r="H540" s="85">
        <f>2.1*0.11</f>
        <v>0.23100000000000001</v>
      </c>
      <c r="I540" s="85">
        <f>0.06*0.11</f>
        <v>6.6E-3</v>
      </c>
      <c r="J540" s="85">
        <f>0.48*0.11</f>
        <v>5.28E-2</v>
      </c>
      <c r="K540" s="85">
        <f>1*0.11</f>
        <v>0.11</v>
      </c>
      <c r="L540" s="85">
        <f>1*0.11</f>
        <v>0.11</v>
      </c>
      <c r="M540" s="85">
        <f>2.04*0.11</f>
        <v>0.22440000000000002</v>
      </c>
      <c r="N540" s="85">
        <f>0.41*0.11</f>
        <v>4.5099999999999994E-2</v>
      </c>
      <c r="O540" s="85">
        <f>(0.75-0.03)*0.11</f>
        <v>7.9199999999999993E-2</v>
      </c>
      <c r="P540" s="85">
        <v>0</v>
      </c>
      <c r="Q540" s="85">
        <f>1.36*0.11</f>
        <v>0.14960000000000001</v>
      </c>
      <c r="R540" s="85">
        <f>1.22*0.11</f>
        <v>0.13419999999999999</v>
      </c>
      <c r="S540" s="85">
        <f>3.13*0.11</f>
        <v>0.34429999999999999</v>
      </c>
      <c r="T540" s="85">
        <f>1.9*0.11</f>
        <v>0.20899999999999999</v>
      </c>
      <c r="U540" s="85">
        <f>0.95*0.11</f>
        <v>0.1045</v>
      </c>
      <c r="V540" s="85">
        <f>1.65*0.11</f>
        <v>0.18149999999999999</v>
      </c>
      <c r="W540" s="85">
        <f>1.36*0.11</f>
        <v>0.14960000000000001</v>
      </c>
      <c r="X540" s="85">
        <v>0</v>
      </c>
      <c r="Y540" s="85">
        <v>0</v>
      </c>
      <c r="Z540" s="85">
        <v>0</v>
      </c>
      <c r="AA540" s="85">
        <v>0</v>
      </c>
      <c r="AB540" s="85">
        <v>0</v>
      </c>
      <c r="AC540" s="85">
        <v>0</v>
      </c>
      <c r="AD540" s="85"/>
    </row>
    <row r="541" spans="1:30">
      <c r="A541" s="82" t="s">
        <v>673</v>
      </c>
      <c r="B541" s="83" t="s">
        <v>596</v>
      </c>
      <c r="C541" s="85">
        <v>0</v>
      </c>
      <c r="D541" s="85">
        <v>0</v>
      </c>
      <c r="E541" s="85">
        <v>0</v>
      </c>
      <c r="F541" s="85">
        <v>0</v>
      </c>
      <c r="G541" s="85">
        <v>0</v>
      </c>
      <c r="H541" s="85">
        <v>0</v>
      </c>
      <c r="I541" s="85">
        <v>0</v>
      </c>
      <c r="J541" s="85">
        <v>0</v>
      </c>
      <c r="K541" s="85">
        <v>0</v>
      </c>
      <c r="L541" s="85">
        <v>0</v>
      </c>
      <c r="M541" s="85">
        <v>0</v>
      </c>
      <c r="N541" s="85">
        <v>0</v>
      </c>
      <c r="O541" s="85"/>
      <c r="P541" s="85">
        <v>0</v>
      </c>
      <c r="Q541" s="85">
        <v>0</v>
      </c>
      <c r="R541" s="85">
        <v>0</v>
      </c>
      <c r="S541" s="85">
        <v>0</v>
      </c>
      <c r="T541" s="85">
        <v>0</v>
      </c>
      <c r="U541" s="85">
        <f>0.02*0.065</f>
        <v>1.3000000000000002E-3</v>
      </c>
      <c r="V541" s="85">
        <f>0.02*0.065</f>
        <v>1.3000000000000002E-3</v>
      </c>
      <c r="W541" s="85">
        <f>-0.03*0.065</f>
        <v>-1.9499999999999999E-3</v>
      </c>
      <c r="X541" s="85">
        <v>0</v>
      </c>
      <c r="Y541" s="85">
        <v>0</v>
      </c>
      <c r="Z541" s="85">
        <v>0</v>
      </c>
      <c r="AA541" s="85">
        <v>0</v>
      </c>
      <c r="AB541" s="85">
        <v>0</v>
      </c>
      <c r="AC541" s="85">
        <v>0</v>
      </c>
      <c r="AD541" s="85"/>
    </row>
    <row r="542" spans="1:30">
      <c r="A542" s="82" t="s">
        <v>673</v>
      </c>
      <c r="B542" s="83" t="s">
        <v>594</v>
      </c>
      <c r="C542" s="85">
        <f>(116.46-51.28)*0.055</f>
        <v>3.5848999999999998</v>
      </c>
      <c r="D542" s="85">
        <f>(90.44-70.99)*0.055</f>
        <v>1.0697500000000002</v>
      </c>
      <c r="E542" s="85">
        <f>(116.23-65.73)*0.055</f>
        <v>2.7774999999999999</v>
      </c>
      <c r="F542" s="85">
        <f>(120.23-60.52)*0.055</f>
        <v>3.2840500000000001</v>
      </c>
      <c r="G542" s="85">
        <f>(182.14-92.66)*0.055</f>
        <v>4.9213999999999993</v>
      </c>
      <c r="H542" s="85">
        <f>(159.5-11.06)*0.055</f>
        <v>8.1641999999999992</v>
      </c>
      <c r="I542" s="85">
        <f>100.43*0.055</f>
        <v>5.5236500000000008</v>
      </c>
      <c r="J542" s="85">
        <f>128.9*0.055</f>
        <v>7.0895000000000001</v>
      </c>
      <c r="K542" s="85">
        <f>221.73*0.055</f>
        <v>12.19515</v>
      </c>
      <c r="L542" s="85">
        <f>221.73*0.055</f>
        <v>12.19515</v>
      </c>
      <c r="M542" s="85">
        <v>0</v>
      </c>
      <c r="N542" s="85">
        <f>(187.82-51.17)*0.055</f>
        <v>7.5157499999999988</v>
      </c>
      <c r="O542" s="85">
        <f>(199.75-44.15)*0.055</f>
        <v>8.5579999999999998</v>
      </c>
      <c r="P542" s="85">
        <f>(158.56-38.48)*0.055</f>
        <v>6.6044000000000009</v>
      </c>
      <c r="Q542" s="85">
        <f>(257.04-64.92)*0.055</f>
        <v>10.566600000000001</v>
      </c>
      <c r="R542" s="85">
        <f>((166.48-72.07)*0.055)</f>
        <v>5.1925499999999998</v>
      </c>
      <c r="S542" s="85">
        <f>(219.06-64.99)*0.055</f>
        <v>8.4738500000000005</v>
      </c>
      <c r="T542" s="85">
        <f>(225.4-99.46)*0.055</f>
        <v>6.9267000000000003</v>
      </c>
      <c r="U542" s="85">
        <f>(111.76-14.89)*0.055</f>
        <v>5.3278500000000006</v>
      </c>
      <c r="V542" s="85">
        <f>(141.44-0.7)*0.055</f>
        <v>7.7407000000000004</v>
      </c>
      <c r="W542" s="85">
        <f>(121.31-0.73)*0.055</f>
        <v>6.6318999999999999</v>
      </c>
      <c r="X542" s="85">
        <f>(110.77-1.11)*0.055</f>
        <v>6.0312999999999999</v>
      </c>
      <c r="Y542" s="85">
        <f>(112-5.9)*0.055</f>
        <v>5.8354999999999997</v>
      </c>
      <c r="Z542" s="85">
        <f>(124.9-0.6)*0.055</f>
        <v>6.8365000000000009</v>
      </c>
      <c r="AA542" s="85">
        <f>86.33*0.055</f>
        <v>4.7481499999999999</v>
      </c>
      <c r="AB542" s="85">
        <f>36.82*0.055</f>
        <v>2.0251000000000001</v>
      </c>
      <c r="AC542" s="85">
        <f>25.17*0.055</f>
        <v>1.3843500000000002</v>
      </c>
      <c r="AD542" s="85"/>
    </row>
    <row r="543" spans="1:30">
      <c r="A543" s="82" t="s">
        <v>673</v>
      </c>
      <c r="B543" s="87" t="s">
        <v>643</v>
      </c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>
        <v>0</v>
      </c>
      <c r="O543" s="85"/>
      <c r="P543" s="85">
        <v>0</v>
      </c>
      <c r="Q543" s="85">
        <v>0</v>
      </c>
      <c r="R543" s="85">
        <v>0</v>
      </c>
      <c r="S543" s="85">
        <v>0</v>
      </c>
      <c r="T543" s="85">
        <v>0</v>
      </c>
      <c r="U543" s="85">
        <v>0</v>
      </c>
      <c r="V543" s="85">
        <v>0</v>
      </c>
      <c r="W543" s="85">
        <v>0</v>
      </c>
      <c r="X543" s="85">
        <v>0</v>
      </c>
      <c r="Y543" s="85">
        <v>0</v>
      </c>
      <c r="Z543" s="85">
        <v>0</v>
      </c>
      <c r="AA543" s="85">
        <v>0</v>
      </c>
      <c r="AB543" s="85">
        <v>0</v>
      </c>
      <c r="AC543" s="85">
        <v>0</v>
      </c>
      <c r="AD543" s="85"/>
    </row>
    <row r="544" spans="1:30">
      <c r="A544" s="82" t="s">
        <v>677</v>
      </c>
      <c r="B544" s="83" t="s">
        <v>597</v>
      </c>
      <c r="C544" s="85">
        <f>11.4*0.02</f>
        <v>0.22800000000000001</v>
      </c>
      <c r="D544" s="85">
        <f>12.7*0.02</f>
        <v>0.254</v>
      </c>
      <c r="E544" s="85">
        <f>18.5*0.02</f>
        <v>0.37</v>
      </c>
      <c r="F544" s="85">
        <f>28*0.02</f>
        <v>0.56000000000000005</v>
      </c>
      <c r="G544" s="85">
        <f>28.1*0.02</f>
        <v>0.56200000000000006</v>
      </c>
      <c r="H544" s="85">
        <f>101.5*0.02</f>
        <v>2.0300000000000002</v>
      </c>
      <c r="I544" s="85">
        <f>70*0.02</f>
        <v>1.4000000000000001</v>
      </c>
      <c r="J544" s="88">
        <f>16*0.02</f>
        <v>0.32</v>
      </c>
      <c r="K544" s="85">
        <f>4*0.02</f>
        <v>0.08</v>
      </c>
      <c r="L544" s="85">
        <f>42.92*0.02</f>
        <v>0.85840000000000005</v>
      </c>
      <c r="M544" s="85">
        <f>46.33*0.02</f>
        <v>0.92659999999999998</v>
      </c>
      <c r="N544" s="85">
        <v>0.96879999999999999</v>
      </c>
      <c r="O544" s="85">
        <f>(50.1-0.34)*0.02</f>
        <v>0.99519999999999997</v>
      </c>
      <c r="P544" s="85">
        <f>13.88*0.02</f>
        <v>0.27760000000000001</v>
      </c>
      <c r="Q544" s="85">
        <f>(54-10.75)*0.02</f>
        <v>0.86499999999999999</v>
      </c>
      <c r="R544" s="85">
        <f>(92.1-3)*0.02</f>
        <v>1.782</v>
      </c>
      <c r="S544" s="85">
        <f>(72-8.7)*0.02</f>
        <v>1.266</v>
      </c>
      <c r="T544" s="85">
        <f>36.95*0.02</f>
        <v>0.7390000000000001</v>
      </c>
      <c r="U544" s="85">
        <f>20.9*0.02</f>
        <v>0.41799999999999998</v>
      </c>
      <c r="V544" s="85">
        <f>(31.5-3.04)*0.02</f>
        <v>0.56920000000000004</v>
      </c>
      <c r="W544" s="85">
        <f>(51.53-2.96)*0.02</f>
        <v>0.97140000000000004</v>
      </c>
      <c r="X544" s="85">
        <f>(14.029-2.249)*0.02</f>
        <v>0.2356</v>
      </c>
      <c r="Y544" s="85">
        <f>(25.81-0.95)*0.02</f>
        <v>0.49719999999999998</v>
      </c>
      <c r="Z544" s="85">
        <f>45.76*0.02</f>
        <v>0.91520000000000001</v>
      </c>
      <c r="AA544" s="95">
        <f>((41.27-1.27)*0.02)</f>
        <v>0.8</v>
      </c>
      <c r="AB544" s="85">
        <f>-3.9*0.02</f>
        <v>-7.8E-2</v>
      </c>
      <c r="AC544" s="85">
        <f>(17.24241312-3.0417932)*0.02</f>
        <v>0.28401239839999998</v>
      </c>
      <c r="AD544" s="85"/>
    </row>
    <row r="545" spans="1:30">
      <c r="A545" s="82" t="s">
        <v>677</v>
      </c>
      <c r="B545" s="83" t="s">
        <v>600</v>
      </c>
      <c r="C545" s="85">
        <v>0</v>
      </c>
      <c r="D545" s="85">
        <v>0</v>
      </c>
      <c r="E545" s="85">
        <v>0</v>
      </c>
      <c r="F545" s="85">
        <v>0</v>
      </c>
      <c r="G545" s="85">
        <v>0</v>
      </c>
      <c r="H545" s="85">
        <f>124*0.022</f>
        <v>2.7279999999999998</v>
      </c>
      <c r="I545" s="85">
        <f>134*0.022</f>
        <v>2.948</v>
      </c>
      <c r="J545" s="88">
        <f>(9.62-1.5)*0.022</f>
        <v>0.17863999999999997</v>
      </c>
      <c r="K545" s="85">
        <v>0</v>
      </c>
      <c r="L545" s="85">
        <v>0</v>
      </c>
      <c r="M545" s="85">
        <v>0</v>
      </c>
      <c r="N545" s="85">
        <f>17.69*0.022</f>
        <v>0.38918000000000003</v>
      </c>
      <c r="O545" s="85">
        <v>0</v>
      </c>
      <c r="P545" s="85">
        <f>2.72*0.022</f>
        <v>5.9839999999999997E-2</v>
      </c>
      <c r="Q545" s="85">
        <f>(5-1.7)*0.022</f>
        <v>7.2599999999999998E-2</v>
      </c>
      <c r="R545" s="85">
        <f>(10.9-74.6)*0.022</f>
        <v>-1.4013999999999998</v>
      </c>
      <c r="S545" s="85">
        <f>(161.3-4)*0.022</f>
        <v>3.4605999999999999</v>
      </c>
      <c r="T545" s="85">
        <f>(98.53-69.2)*0.022</f>
        <v>0.64525999999999994</v>
      </c>
      <c r="U545" s="85">
        <f>(4.2-66.4)*0.022</f>
        <v>-1.3684000000000001</v>
      </c>
      <c r="V545" s="85">
        <f>(83.87-62.91)*0.022</f>
        <v>0.46112000000000014</v>
      </c>
      <c r="W545" s="85">
        <f>(71.36-45.65)*0.022</f>
        <v>0.56562000000000001</v>
      </c>
      <c r="X545" s="85">
        <f>(14.425-22.563)*0.022</f>
        <v>-0.17903599999999995</v>
      </c>
      <c r="Y545" s="85">
        <f>(10.03*0.022)</f>
        <v>0.22065999999999997</v>
      </c>
      <c r="Z545" s="85">
        <v>0</v>
      </c>
      <c r="AA545" s="95">
        <v>0</v>
      </c>
      <c r="AB545" s="85">
        <v>0</v>
      </c>
      <c r="AC545" s="85">
        <v>0</v>
      </c>
      <c r="AD545" s="85"/>
    </row>
    <row r="546" spans="1:30">
      <c r="A546" s="82" t="s">
        <v>677</v>
      </c>
      <c r="B546" s="83" t="s">
        <v>595</v>
      </c>
      <c r="C546" s="85">
        <f>856.7*0.11</f>
        <v>94.237000000000009</v>
      </c>
      <c r="D546" s="85">
        <f>(1511.6-17.9)*0.11</f>
        <v>164.30699999999999</v>
      </c>
      <c r="E546" s="85">
        <f>2123*0.11</f>
        <v>233.53</v>
      </c>
      <c r="F546" s="85">
        <f>2350*0.11</f>
        <v>258.5</v>
      </c>
      <c r="G546" s="85">
        <f>7696.3*0.11</f>
        <v>846.59300000000007</v>
      </c>
      <c r="H546" s="85">
        <f>13759.3*0.11</f>
        <v>1513.5229999999999</v>
      </c>
      <c r="I546" s="85">
        <f>7068.4*0.11</f>
        <v>777.524</v>
      </c>
      <c r="J546" s="88">
        <f>(4678-7)*0.11</f>
        <v>513.81000000000006</v>
      </c>
      <c r="K546" s="85">
        <f>(3847-6)*0.11</f>
        <v>422.51</v>
      </c>
      <c r="L546" s="85">
        <f>(7759.38-10)*0.11</f>
        <v>852.43180000000007</v>
      </c>
      <c r="M546" s="85">
        <f>(7317.4-314.51)*0.11</f>
        <v>770.3178999999999</v>
      </c>
      <c r="N546" s="85">
        <v>789.30499999999995</v>
      </c>
      <c r="O546" s="85">
        <f>(7161.51-208.37)*0.11</f>
        <v>764.84540000000004</v>
      </c>
      <c r="P546" s="85">
        <f>(7566.9-107.16)*0.11</f>
        <v>820.57139999999993</v>
      </c>
      <c r="Q546" s="85">
        <f>(5733-230)*0.11</f>
        <v>605.33000000000004</v>
      </c>
      <c r="R546" s="85">
        <f>(7071.4-97.3)*0.11</f>
        <v>767.15099999999995</v>
      </c>
      <c r="S546" s="85">
        <f>(7362.3-1056.1)*0.11</f>
        <v>693.68200000000013</v>
      </c>
      <c r="T546" s="85">
        <f>(6017-253.4)*0.11</f>
        <v>633.99600000000009</v>
      </c>
      <c r="U546" s="85">
        <f>(5043.7-352.3)*0.11</f>
        <v>516.05399999999997</v>
      </c>
      <c r="V546" s="85">
        <f>(4298.6-295.6)*0.11</f>
        <v>440.33000000000004</v>
      </c>
      <c r="W546" s="85">
        <f>(3872.68-211.22)*0.11</f>
        <v>402.76060000000001</v>
      </c>
      <c r="X546" s="85">
        <f>(2685.065+-0.191-360.465)*0.11</f>
        <v>255.68499</v>
      </c>
      <c r="Y546" s="85">
        <f>(1350.63-19.47)*0.11</f>
        <v>146.42760000000001</v>
      </c>
      <c r="Z546" s="85">
        <f>(1350.09-1.9)*0.11</f>
        <v>148.30089999999998</v>
      </c>
      <c r="AA546" s="95">
        <f>((536.46-0.57)*0.11)</f>
        <v>58.947899999999997</v>
      </c>
      <c r="AB546" s="85">
        <f>316.1*0.11</f>
        <v>34.771000000000001</v>
      </c>
      <c r="AC546" s="85">
        <f>(41.2948023-0.2399976)*0.11</f>
        <v>4.5160285169999996</v>
      </c>
      <c r="AD546" s="85"/>
    </row>
    <row r="547" spans="1:30">
      <c r="A547" s="82" t="s">
        <v>677</v>
      </c>
      <c r="B547" s="83" t="s">
        <v>700</v>
      </c>
      <c r="C547" s="85"/>
      <c r="D547" s="85"/>
      <c r="E547" s="85"/>
      <c r="F547" s="85"/>
      <c r="G547" s="85"/>
      <c r="H547" s="85"/>
      <c r="I547" s="85"/>
      <c r="J547" s="88"/>
      <c r="K547" s="85"/>
      <c r="L547" s="85"/>
      <c r="M547" s="85"/>
      <c r="N547" s="85"/>
      <c r="O547" s="85"/>
      <c r="P547" s="85"/>
      <c r="Q547" s="85"/>
      <c r="R547" s="85">
        <f>-229.9*0.11</f>
        <v>-25.289000000000001</v>
      </c>
      <c r="S547" s="85">
        <f>-110*0.11</f>
        <v>-12.1</v>
      </c>
      <c r="T547" s="85">
        <v>0</v>
      </c>
      <c r="U547" s="85">
        <v>0</v>
      </c>
      <c r="V547" s="85">
        <v>0</v>
      </c>
      <c r="W547" s="85">
        <f>-70.78*0.11</f>
        <v>-7.7858000000000001</v>
      </c>
      <c r="X547" s="85">
        <v>0</v>
      </c>
      <c r="Y547" s="85">
        <v>0</v>
      </c>
      <c r="Z547" s="85">
        <v>0</v>
      </c>
      <c r="AA547" s="95">
        <v>0</v>
      </c>
      <c r="AB547" s="85">
        <v>0</v>
      </c>
      <c r="AC547" s="85">
        <v>0</v>
      </c>
      <c r="AD547" s="85"/>
    </row>
    <row r="548" spans="1:30">
      <c r="A548" s="82" t="s">
        <v>677</v>
      </c>
      <c r="B548" s="83" t="s">
        <v>596</v>
      </c>
      <c r="C548" s="85">
        <v>0</v>
      </c>
      <c r="D548" s="85">
        <v>0</v>
      </c>
      <c r="E548" s="85">
        <v>0</v>
      </c>
      <c r="F548" s="85">
        <v>0</v>
      </c>
      <c r="G548" s="85">
        <v>0</v>
      </c>
      <c r="H548" s="85">
        <f>8.4*0.07</f>
        <v>0.58800000000000008</v>
      </c>
      <c r="I548" s="85">
        <v>0</v>
      </c>
      <c r="J548" s="88">
        <v>0</v>
      </c>
      <c r="K548" s="85">
        <v>0</v>
      </c>
      <c r="L548" s="85">
        <v>0</v>
      </c>
      <c r="M548" s="85">
        <f>262.67*0.065</f>
        <v>17.073550000000001</v>
      </c>
      <c r="N548" s="85">
        <v>0.82810000000000006</v>
      </c>
      <c r="O548" s="85">
        <f>4.37*0.065</f>
        <v>0.28405000000000002</v>
      </c>
      <c r="P548" s="85">
        <f>15.97*0.065</f>
        <v>1.0380500000000001</v>
      </c>
      <c r="Q548" s="85">
        <f>20*0.065</f>
        <v>1.3</v>
      </c>
      <c r="R548" s="85">
        <f>(158.3-0.04)*0.065</f>
        <v>10.286900000000001</v>
      </c>
      <c r="S548" s="85">
        <f>(456.2-18.5)*0.065</f>
        <v>28.450500000000002</v>
      </c>
      <c r="T548" s="85">
        <f>725.52*0.065</f>
        <v>47.158799999999999</v>
      </c>
      <c r="U548" s="85">
        <f>89*0.065</f>
        <v>5.7850000000000001</v>
      </c>
      <c r="V548" s="85">
        <f>166.23*0.065</f>
        <v>10.80495</v>
      </c>
      <c r="W548" s="85">
        <f>158.78*0.065</f>
        <v>10.3207</v>
      </c>
      <c r="X548" s="85">
        <f>(138.594-0.92)*0.065</f>
        <v>8.9488099999999999</v>
      </c>
      <c r="Y548" s="85">
        <f>(153.38-16.56)*0.065</f>
        <v>8.8933</v>
      </c>
      <c r="Z548" s="85">
        <f>(139.74-2.48)*0.065</f>
        <v>8.9219000000000008</v>
      </c>
      <c r="AA548" s="95">
        <f>((113.73-0.91)*0.065)</f>
        <v>7.3333000000000004</v>
      </c>
      <c r="AB548" s="85">
        <v>0</v>
      </c>
      <c r="AC548" s="85">
        <f>-0.44*0.065</f>
        <v>-2.86E-2</v>
      </c>
      <c r="AD548" s="85"/>
    </row>
    <row r="549" spans="1:30">
      <c r="A549" s="82" t="s">
        <v>677</v>
      </c>
      <c r="B549" s="83" t="s">
        <v>594</v>
      </c>
      <c r="C549" s="85">
        <f>(3635.2-1827.8+2141)*0.055</f>
        <v>217.16199999999998</v>
      </c>
      <c r="D549" s="85">
        <f>(2019.6-4096+5394)*0.055</f>
        <v>182.46799999999999</v>
      </c>
      <c r="E549" s="85">
        <f>(1538-3448.5+5514.9)*0.055</f>
        <v>198.24199999999999</v>
      </c>
      <c r="F549" s="85">
        <f>(2409-2852+4337)*0.055</f>
        <v>214.17</v>
      </c>
      <c r="G549" s="85">
        <f>(2833-3601+5981)*0.055</f>
        <v>286.71499999999997</v>
      </c>
      <c r="H549" s="85">
        <f>(4153.7-2468.4+4311)*0.055</f>
        <v>329.79649999999998</v>
      </c>
      <c r="I549" s="85">
        <f>(5712.2-1816.3+3204)*0.055</f>
        <v>390.49449999999996</v>
      </c>
      <c r="J549" s="88">
        <f>(3082.82-2974.31+4947)*0.055</f>
        <v>278.05305000000004</v>
      </c>
      <c r="K549" s="85">
        <f>(3520-3079+5117)*0.055</f>
        <v>305.69</v>
      </c>
      <c r="L549" s="85">
        <f>(7642.26-4362+7548)*0.055</f>
        <v>595.55430000000001</v>
      </c>
      <c r="M549" s="85">
        <f>(3546.26+8776-5107.82)*0.055</f>
        <v>396.79420000000005</v>
      </c>
      <c r="N549" s="85">
        <v>494.48519999999996</v>
      </c>
      <c r="O549" s="85">
        <f>(4483.3+14151-6378.36)*0.055</f>
        <v>674.07669999999996</v>
      </c>
      <c r="P549" s="85">
        <f>(2646-9526+14022)*0.055</f>
        <v>392.81</v>
      </c>
      <c r="Q549" s="85">
        <f>(5130+12725-8436)*0.055</f>
        <v>518.04499999999996</v>
      </c>
      <c r="R549" s="85">
        <f>(5065.9-10093.3+12618.8)*0.055</f>
        <v>417.52699999999999</v>
      </c>
      <c r="S549" s="85">
        <f>(3512.8-8620.9+11812.7)*0.055</f>
        <v>368.7530000000001</v>
      </c>
      <c r="T549" s="85">
        <f>(3614.34-4058.3+7872)*0.055</f>
        <v>408.54219999999998</v>
      </c>
      <c r="U549" s="85">
        <f>(3043.2-5726.6+7378)*0.055</f>
        <v>258.20299999999997</v>
      </c>
      <c r="V549" s="85">
        <f>(2349.2-6626.96+9214)*0.055</f>
        <v>271.4932</v>
      </c>
      <c r="W549" s="85">
        <f>(2523.13+4728.95-2783.92)*0.055</f>
        <v>245.74879999999999</v>
      </c>
      <c r="X549" s="85">
        <f>(2442.203+4773.057-2579.539)*0.055</f>
        <v>254.96465499999996</v>
      </c>
      <c r="Y549" s="85">
        <f>(2425.09+5965.23-3696.195)*0.055</f>
        <v>258.176875</v>
      </c>
      <c r="Z549" s="85">
        <f>(1529.39+7717.55-6284.57)*0.055</f>
        <v>162.93035000000003</v>
      </c>
      <c r="AA549" s="90">
        <f>((1465.63+5680.11-4101.25)*0.055)</f>
        <v>167.44694999999999</v>
      </c>
      <c r="AB549" s="90">
        <f>((1623.086708+1030.94-1103.72510919)*0.055)</f>
        <v>85.266587934550017</v>
      </c>
      <c r="AC549" s="91">
        <f>((1965.31182529+2515.594393-2197.85433379185)*0.055)</f>
        <v>125.56785364739824</v>
      </c>
      <c r="AD549" s="85"/>
    </row>
    <row r="550" spans="1:30">
      <c r="A550" s="82" t="s">
        <v>677</v>
      </c>
      <c r="B550" s="87" t="s">
        <v>643</v>
      </c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>
        <v>0</v>
      </c>
      <c r="O550" s="85">
        <v>0</v>
      </c>
      <c r="P550" s="85">
        <v>0</v>
      </c>
      <c r="Q550" s="85">
        <v>0</v>
      </c>
      <c r="R550" s="85">
        <v>0</v>
      </c>
      <c r="S550" s="85">
        <v>0</v>
      </c>
      <c r="T550" s="85">
        <v>0</v>
      </c>
      <c r="U550" s="85">
        <v>0</v>
      </c>
      <c r="V550" s="85">
        <v>0</v>
      </c>
      <c r="W550" s="85">
        <v>0</v>
      </c>
      <c r="X550" s="85">
        <v>0</v>
      </c>
      <c r="Y550" s="85">
        <v>0</v>
      </c>
      <c r="Z550" s="85">
        <v>0</v>
      </c>
      <c r="AA550" s="95">
        <v>0</v>
      </c>
      <c r="AB550" s="85">
        <v>0</v>
      </c>
      <c r="AC550" s="85">
        <v>0</v>
      </c>
      <c r="AD550" s="85"/>
    </row>
    <row r="551" spans="1:30">
      <c r="A551" s="82" t="s">
        <v>415</v>
      </c>
      <c r="B551" s="83" t="s">
        <v>597</v>
      </c>
      <c r="C551" s="84" t="s">
        <v>680</v>
      </c>
      <c r="D551" s="84" t="s">
        <v>680</v>
      </c>
      <c r="E551" s="84" t="s">
        <v>680</v>
      </c>
      <c r="F551" s="84" t="s">
        <v>680</v>
      </c>
      <c r="G551" s="84" t="s">
        <v>680</v>
      </c>
      <c r="H551" s="84" t="s">
        <v>680</v>
      </c>
      <c r="I551" s="84" t="s">
        <v>680</v>
      </c>
      <c r="J551" s="84" t="s">
        <v>680</v>
      </c>
      <c r="K551" s="85">
        <v>0</v>
      </c>
      <c r="L551" s="85">
        <v>0</v>
      </c>
      <c r="M551" s="85">
        <v>0</v>
      </c>
      <c r="N551" s="85"/>
      <c r="O551" s="85">
        <v>0</v>
      </c>
      <c r="P551" s="85">
        <v>0</v>
      </c>
      <c r="Q551" s="85">
        <v>0</v>
      </c>
      <c r="R551" s="85">
        <v>0</v>
      </c>
      <c r="S551" s="85">
        <v>0</v>
      </c>
      <c r="T551" s="85">
        <v>0</v>
      </c>
      <c r="U551" s="85">
        <v>0</v>
      </c>
      <c r="V551" s="85">
        <v>0</v>
      </c>
      <c r="W551" s="85">
        <v>0</v>
      </c>
      <c r="X551" s="85">
        <v>0</v>
      </c>
      <c r="Y551" s="85">
        <v>0</v>
      </c>
      <c r="Z551" s="85">
        <v>0</v>
      </c>
      <c r="AA551" s="85">
        <v>0</v>
      </c>
      <c r="AB551" s="85">
        <v>0</v>
      </c>
      <c r="AC551" s="85">
        <v>0</v>
      </c>
      <c r="AD551" s="85"/>
    </row>
    <row r="552" spans="1:30">
      <c r="A552" s="82" t="s">
        <v>415</v>
      </c>
      <c r="B552" s="83" t="s">
        <v>600</v>
      </c>
      <c r="C552" s="84" t="s">
        <v>680</v>
      </c>
      <c r="D552" s="84" t="s">
        <v>680</v>
      </c>
      <c r="E552" s="84" t="s">
        <v>680</v>
      </c>
      <c r="F552" s="84" t="s">
        <v>680</v>
      </c>
      <c r="G552" s="84" t="s">
        <v>680</v>
      </c>
      <c r="H552" s="84" t="s">
        <v>680</v>
      </c>
      <c r="I552" s="84" t="s">
        <v>680</v>
      </c>
      <c r="J552" s="84" t="s">
        <v>680</v>
      </c>
      <c r="K552" s="85">
        <v>0</v>
      </c>
      <c r="L552" s="85">
        <v>0</v>
      </c>
      <c r="M552" s="85">
        <v>0</v>
      </c>
      <c r="N552" s="85"/>
      <c r="O552" s="85">
        <v>0</v>
      </c>
      <c r="P552" s="85">
        <v>0</v>
      </c>
      <c r="Q552" s="85">
        <f>0.14*0.022</f>
        <v>3.0800000000000003E-3</v>
      </c>
      <c r="R552" s="85">
        <v>0</v>
      </c>
      <c r="S552" s="85">
        <v>0</v>
      </c>
      <c r="T552" s="85">
        <v>0</v>
      </c>
      <c r="U552" s="85">
        <f>0.02*0.022</f>
        <v>4.3999999999999996E-4</v>
      </c>
      <c r="V552" s="85">
        <v>0</v>
      </c>
      <c r="W552" s="85">
        <v>0</v>
      </c>
      <c r="X552" s="85">
        <v>0</v>
      </c>
      <c r="Y552" s="85">
        <v>0</v>
      </c>
      <c r="Z552" s="85">
        <v>0</v>
      </c>
      <c r="AA552" s="85">
        <v>0</v>
      </c>
      <c r="AB552" s="85">
        <v>0</v>
      </c>
      <c r="AC552" s="99">
        <f>0.02*0.022</f>
        <v>4.3999999999999996E-4</v>
      </c>
      <c r="AD552" s="85"/>
    </row>
    <row r="553" spans="1:30">
      <c r="A553" s="82" t="s">
        <v>415</v>
      </c>
      <c r="B553" s="83" t="s">
        <v>595</v>
      </c>
      <c r="C553" s="84" t="s">
        <v>680</v>
      </c>
      <c r="D553" s="84" t="s">
        <v>680</v>
      </c>
      <c r="E553" s="84" t="s">
        <v>680</v>
      </c>
      <c r="F553" s="84" t="s">
        <v>680</v>
      </c>
      <c r="G553" s="84" t="s">
        <v>680</v>
      </c>
      <c r="H553" s="84" t="s">
        <v>680</v>
      </c>
      <c r="I553" s="84" t="s">
        <v>680</v>
      </c>
      <c r="J553" s="84" t="s">
        <v>680</v>
      </c>
      <c r="K553" s="85">
        <v>0</v>
      </c>
      <c r="L553" s="85">
        <v>0</v>
      </c>
      <c r="M553" s="85">
        <v>0</v>
      </c>
      <c r="N553" s="85"/>
      <c r="O553" s="85">
        <v>0</v>
      </c>
      <c r="P553" s="85">
        <v>0</v>
      </c>
      <c r="Q553" s="85">
        <v>0</v>
      </c>
      <c r="R553" s="85">
        <v>0</v>
      </c>
      <c r="S553" s="85">
        <v>0</v>
      </c>
      <c r="T553" s="85">
        <v>0</v>
      </c>
      <c r="U553" s="85">
        <v>0</v>
      </c>
      <c r="V553" s="85">
        <f>0.06*0.11</f>
        <v>6.6E-3</v>
      </c>
      <c r="W553" s="85">
        <v>0</v>
      </c>
      <c r="X553" s="85">
        <v>0</v>
      </c>
      <c r="Y553" s="85">
        <v>0</v>
      </c>
      <c r="Z553" s="85">
        <v>0</v>
      </c>
      <c r="AA553" s="85">
        <v>0</v>
      </c>
      <c r="AB553" s="85">
        <v>0</v>
      </c>
      <c r="AC553" s="85">
        <v>0</v>
      </c>
      <c r="AD553" s="85"/>
    </row>
    <row r="554" spans="1:30">
      <c r="A554" s="82" t="s">
        <v>415</v>
      </c>
      <c r="B554" s="83" t="s">
        <v>244</v>
      </c>
      <c r="C554" s="84" t="s">
        <v>680</v>
      </c>
      <c r="D554" s="84" t="s">
        <v>680</v>
      </c>
      <c r="E554" s="84" t="s">
        <v>680</v>
      </c>
      <c r="F554" s="84" t="s">
        <v>680</v>
      </c>
      <c r="G554" s="84" t="s">
        <v>680</v>
      </c>
      <c r="H554" s="84" t="s">
        <v>680</v>
      </c>
      <c r="I554" s="84" t="s">
        <v>680</v>
      </c>
      <c r="J554" s="84" t="s">
        <v>680</v>
      </c>
      <c r="K554" s="85">
        <v>0</v>
      </c>
      <c r="L554" s="85">
        <v>0</v>
      </c>
      <c r="M554" s="85">
        <v>0</v>
      </c>
      <c r="N554" s="85"/>
      <c r="O554" s="85">
        <v>0</v>
      </c>
      <c r="P554" s="85">
        <v>0</v>
      </c>
      <c r="Q554" s="85">
        <v>0</v>
      </c>
      <c r="R554" s="85">
        <v>0</v>
      </c>
      <c r="S554" s="85">
        <v>0</v>
      </c>
      <c r="T554" s="85">
        <v>0</v>
      </c>
      <c r="U554" s="85">
        <v>0</v>
      </c>
      <c r="V554" s="85">
        <v>0</v>
      </c>
      <c r="W554" s="85">
        <v>0</v>
      </c>
      <c r="X554" s="85">
        <v>0</v>
      </c>
      <c r="Y554" s="85">
        <v>0</v>
      </c>
      <c r="Z554" s="85">
        <v>0</v>
      </c>
      <c r="AA554" s="85">
        <v>0</v>
      </c>
      <c r="AB554" s="85">
        <v>0</v>
      </c>
      <c r="AC554" s="85">
        <v>0</v>
      </c>
      <c r="AD554" s="85"/>
    </row>
    <row r="555" spans="1:30">
      <c r="A555" s="82" t="s">
        <v>415</v>
      </c>
      <c r="B555" s="83" t="s">
        <v>594</v>
      </c>
      <c r="C555" s="84" t="s">
        <v>680</v>
      </c>
      <c r="D555" s="84" t="s">
        <v>680</v>
      </c>
      <c r="E555" s="84" t="s">
        <v>680</v>
      </c>
      <c r="F555" s="84" t="s">
        <v>680</v>
      </c>
      <c r="G555" s="84" t="s">
        <v>680</v>
      </c>
      <c r="H555" s="84" t="s">
        <v>680</v>
      </c>
      <c r="I555" s="84" t="s">
        <v>680</v>
      </c>
      <c r="J555" s="84" t="s">
        <v>680</v>
      </c>
      <c r="K555" s="85">
        <f>4.79*0.055</f>
        <v>0.26345000000000002</v>
      </c>
      <c r="L555" s="85">
        <f>6.64*0.055</f>
        <v>0.36519999999999997</v>
      </c>
      <c r="M555" s="85">
        <f>2.68*0.055</f>
        <v>0.1474</v>
      </c>
      <c r="N555" s="85"/>
      <c r="O555" s="85">
        <f>0.78*0.055</f>
        <v>4.2900000000000001E-2</v>
      </c>
      <c r="P555" s="85">
        <f>3.92*0.055</f>
        <v>0.21559999999999999</v>
      </c>
      <c r="Q555" s="85">
        <f>1.64*0.055</f>
        <v>9.0199999999999989E-2</v>
      </c>
      <c r="R555" s="85">
        <f>3.34*0.055</f>
        <v>0.1837</v>
      </c>
      <c r="S555" s="85">
        <f>1.17*0.055</f>
        <v>6.4349999999999991E-2</v>
      </c>
      <c r="T555" s="85">
        <f>1.14*0.055</f>
        <v>6.2699999999999992E-2</v>
      </c>
      <c r="U555" s="85">
        <f>0.59*0.055</f>
        <v>3.245E-2</v>
      </c>
      <c r="V555" s="85">
        <f>1.44*0.055</f>
        <v>7.9199999999999993E-2</v>
      </c>
      <c r="W555" s="88">
        <f>0.082*0.055</f>
        <v>4.5100000000000001E-3</v>
      </c>
      <c r="X555" s="88">
        <f>0.73*0.055</f>
        <v>4.0149999999999998E-2</v>
      </c>
      <c r="Y555" s="88">
        <f>0.065*0.055</f>
        <v>3.5750000000000001E-3</v>
      </c>
      <c r="Z555" s="88">
        <v>0</v>
      </c>
      <c r="AA555" s="85">
        <f>1.818*0.055</f>
        <v>9.9990000000000009E-2</v>
      </c>
      <c r="AB555" s="85">
        <v>0</v>
      </c>
      <c r="AC555" s="85">
        <f>0.22*0.055</f>
        <v>1.21E-2</v>
      </c>
      <c r="AD555" s="88"/>
    </row>
    <row r="556" spans="1:30">
      <c r="A556" s="82" t="s">
        <v>415</v>
      </c>
      <c r="B556" s="87" t="s">
        <v>643</v>
      </c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>
        <v>0</v>
      </c>
      <c r="P556" s="85">
        <v>0</v>
      </c>
      <c r="Q556" s="85">
        <v>0</v>
      </c>
      <c r="R556" s="85">
        <v>0</v>
      </c>
      <c r="S556" s="85">
        <v>0</v>
      </c>
      <c r="T556" s="85">
        <v>0</v>
      </c>
      <c r="U556" s="85">
        <v>0</v>
      </c>
      <c r="V556" s="85">
        <v>0</v>
      </c>
      <c r="W556" s="85">
        <v>0</v>
      </c>
      <c r="X556" s="85">
        <v>0</v>
      </c>
      <c r="Y556" s="85">
        <v>0</v>
      </c>
      <c r="Z556" s="85">
        <v>0</v>
      </c>
      <c r="AA556" s="85">
        <v>0</v>
      </c>
      <c r="AB556" s="85">
        <v>0</v>
      </c>
      <c r="AC556" s="85">
        <v>0</v>
      </c>
      <c r="AD556" s="85"/>
    </row>
    <row r="557" spans="1:30">
      <c r="A557" s="82" t="s">
        <v>236</v>
      </c>
      <c r="B557" s="83" t="s">
        <v>597</v>
      </c>
      <c r="C557" s="84" t="s">
        <v>680</v>
      </c>
      <c r="D557" s="84" t="s">
        <v>680</v>
      </c>
      <c r="E557" s="84" t="s">
        <v>680</v>
      </c>
      <c r="F557" s="85">
        <v>0</v>
      </c>
      <c r="G557" s="85">
        <v>0</v>
      </c>
      <c r="H557" s="85">
        <v>0</v>
      </c>
      <c r="I557" s="85">
        <v>0</v>
      </c>
      <c r="J557" s="85">
        <v>0</v>
      </c>
      <c r="K557" s="85">
        <v>0</v>
      </c>
      <c r="L557" s="85">
        <v>0</v>
      </c>
      <c r="M557" s="85">
        <v>0</v>
      </c>
      <c r="N557" s="85">
        <v>0</v>
      </c>
      <c r="O557" s="85">
        <v>0</v>
      </c>
      <c r="P557" s="85">
        <v>0</v>
      </c>
      <c r="Q557" s="85">
        <v>0</v>
      </c>
      <c r="R557" s="85">
        <v>0</v>
      </c>
      <c r="S557" s="85">
        <v>0</v>
      </c>
      <c r="T557" s="85">
        <v>0</v>
      </c>
      <c r="U557" s="85">
        <v>0</v>
      </c>
      <c r="V557" s="85">
        <v>0</v>
      </c>
      <c r="W557" s="85">
        <v>0</v>
      </c>
      <c r="X557" s="85">
        <v>0</v>
      </c>
      <c r="Y557" s="85">
        <v>0</v>
      </c>
      <c r="Z557" s="85">
        <v>0</v>
      </c>
      <c r="AA557" s="85">
        <v>0</v>
      </c>
      <c r="AB557" s="85">
        <v>0</v>
      </c>
      <c r="AC557" s="85">
        <v>0</v>
      </c>
      <c r="AD557" s="85"/>
    </row>
    <row r="558" spans="1:30">
      <c r="A558" s="82" t="s">
        <v>236</v>
      </c>
      <c r="B558" s="83" t="s">
        <v>600</v>
      </c>
      <c r="C558" s="84" t="s">
        <v>680</v>
      </c>
      <c r="D558" s="84" t="s">
        <v>680</v>
      </c>
      <c r="E558" s="84" t="s">
        <v>680</v>
      </c>
      <c r="F558" s="85">
        <v>0</v>
      </c>
      <c r="G558" s="85">
        <v>0</v>
      </c>
      <c r="H558" s="85">
        <v>0</v>
      </c>
      <c r="I558" s="85">
        <v>0</v>
      </c>
      <c r="J558" s="85">
        <v>0</v>
      </c>
      <c r="K558" s="85">
        <v>0</v>
      </c>
      <c r="L558" s="85">
        <v>0</v>
      </c>
      <c r="M558" s="85">
        <v>0</v>
      </c>
      <c r="N558" s="85">
        <v>0</v>
      </c>
      <c r="O558" s="85">
        <v>0</v>
      </c>
      <c r="P558" s="85">
        <v>0</v>
      </c>
      <c r="Q558" s="85">
        <v>0</v>
      </c>
      <c r="R558" s="85">
        <v>0</v>
      </c>
      <c r="S558" s="85">
        <v>0</v>
      </c>
      <c r="T558" s="85">
        <v>0</v>
      </c>
      <c r="U558" s="85">
        <v>0</v>
      </c>
      <c r="V558" s="85">
        <v>0</v>
      </c>
      <c r="W558" s="85">
        <v>0</v>
      </c>
      <c r="X558" s="85">
        <v>0</v>
      </c>
      <c r="Y558" s="85">
        <v>0</v>
      </c>
      <c r="Z558" s="85">
        <v>0</v>
      </c>
      <c r="AA558" s="85">
        <v>0</v>
      </c>
      <c r="AB558" s="85">
        <v>0</v>
      </c>
      <c r="AC558" s="85">
        <v>0</v>
      </c>
      <c r="AD558" s="85"/>
    </row>
    <row r="559" spans="1:30">
      <c r="A559" s="82" t="s">
        <v>236</v>
      </c>
      <c r="B559" s="83" t="s">
        <v>595</v>
      </c>
      <c r="C559" s="84" t="s">
        <v>680</v>
      </c>
      <c r="D559" s="84" t="s">
        <v>680</v>
      </c>
      <c r="E559" s="84" t="s">
        <v>680</v>
      </c>
      <c r="F559" s="85">
        <v>0</v>
      </c>
      <c r="G559" s="85">
        <v>0</v>
      </c>
      <c r="H559" s="85">
        <v>0</v>
      </c>
      <c r="I559" s="85">
        <v>0</v>
      </c>
      <c r="J559" s="85">
        <v>0</v>
      </c>
      <c r="K559" s="85">
        <v>0</v>
      </c>
      <c r="L559" s="85">
        <v>0</v>
      </c>
      <c r="M559" s="85">
        <v>0</v>
      </c>
      <c r="N559" s="85">
        <v>0</v>
      </c>
      <c r="O559" s="85">
        <v>0</v>
      </c>
      <c r="P559" s="85">
        <v>0</v>
      </c>
      <c r="Q559" s="85">
        <v>0</v>
      </c>
      <c r="R559" s="85">
        <v>0</v>
      </c>
      <c r="S559" s="85">
        <v>0</v>
      </c>
      <c r="T559" s="85">
        <v>0</v>
      </c>
      <c r="U559" s="85">
        <v>0</v>
      </c>
      <c r="V559" s="85">
        <v>0</v>
      </c>
      <c r="W559" s="85">
        <v>0</v>
      </c>
      <c r="X559" s="85">
        <v>0</v>
      </c>
      <c r="Y559" s="85">
        <v>0</v>
      </c>
      <c r="Z559" s="85">
        <v>0</v>
      </c>
      <c r="AA559" s="85">
        <v>0</v>
      </c>
      <c r="AB559" s="85">
        <v>0</v>
      </c>
      <c r="AC559" s="85">
        <v>0</v>
      </c>
      <c r="AD559" s="85"/>
    </row>
    <row r="560" spans="1:30">
      <c r="A560" s="82" t="s">
        <v>236</v>
      </c>
      <c r="B560" s="83" t="s">
        <v>596</v>
      </c>
      <c r="C560" s="84" t="s">
        <v>680</v>
      </c>
      <c r="D560" s="84" t="s">
        <v>680</v>
      </c>
      <c r="E560" s="84" t="s">
        <v>680</v>
      </c>
      <c r="F560" s="85">
        <v>0</v>
      </c>
      <c r="G560" s="85">
        <v>0</v>
      </c>
      <c r="H560" s="85">
        <v>0</v>
      </c>
      <c r="I560" s="85">
        <v>0</v>
      </c>
      <c r="J560" s="85">
        <v>0</v>
      </c>
      <c r="K560" s="85">
        <v>0</v>
      </c>
      <c r="L560" s="85">
        <v>0</v>
      </c>
      <c r="M560" s="85">
        <v>0</v>
      </c>
      <c r="N560" s="85">
        <v>0</v>
      </c>
      <c r="O560" s="85">
        <v>0</v>
      </c>
      <c r="P560" s="85">
        <v>0</v>
      </c>
      <c r="Q560" s="85">
        <v>0</v>
      </c>
      <c r="R560" s="85">
        <v>0</v>
      </c>
      <c r="S560" s="85">
        <v>0</v>
      </c>
      <c r="T560" s="85">
        <v>0</v>
      </c>
      <c r="U560" s="85">
        <f>0.064*0.065</f>
        <v>4.1600000000000005E-3</v>
      </c>
      <c r="V560" s="85">
        <f>0.004875*0.065</f>
        <v>3.1687499999999999E-4</v>
      </c>
      <c r="W560" s="85">
        <f>0.01476*0.065</f>
        <v>9.5940000000000012E-4</v>
      </c>
      <c r="X560" s="85">
        <v>0</v>
      </c>
      <c r="Y560" s="85">
        <v>0</v>
      </c>
      <c r="Z560" s="85">
        <v>0</v>
      </c>
      <c r="AA560" s="85">
        <v>0</v>
      </c>
      <c r="AB560" s="85">
        <v>0</v>
      </c>
      <c r="AC560" s="85">
        <v>0</v>
      </c>
      <c r="AD560" s="85"/>
    </row>
    <row r="561" spans="1:30">
      <c r="A561" s="82" t="s">
        <v>236</v>
      </c>
      <c r="B561" s="83" t="s">
        <v>594</v>
      </c>
      <c r="C561" s="84" t="s">
        <v>680</v>
      </c>
      <c r="D561" s="84" t="s">
        <v>680</v>
      </c>
      <c r="E561" s="84" t="s">
        <v>680</v>
      </c>
      <c r="F561" s="85">
        <f>0.22*0.055</f>
        <v>1.21E-2</v>
      </c>
      <c r="G561" s="85">
        <v>0</v>
      </c>
      <c r="H561" s="85">
        <f>3.55*0.055</f>
        <v>0.19524999999999998</v>
      </c>
      <c r="I561" s="85">
        <f>10*0.055</f>
        <v>0.55000000000000004</v>
      </c>
      <c r="J561" s="85">
        <f>9.3*0.055</f>
        <v>0.51150000000000007</v>
      </c>
      <c r="K561" s="85">
        <v>0</v>
      </c>
      <c r="L561" s="85">
        <v>0</v>
      </c>
      <c r="M561" s="85">
        <v>0</v>
      </c>
      <c r="N561" s="85">
        <v>0</v>
      </c>
      <c r="O561" s="85">
        <f>13.18*0.055</f>
        <v>0.72489999999999999</v>
      </c>
      <c r="P561" s="85">
        <f>39.88*0.055</f>
        <v>2.1934</v>
      </c>
      <c r="Q561" s="85">
        <f>20.95*0.055</f>
        <v>1.15225</v>
      </c>
      <c r="R561" s="85">
        <f>26.5*0.055</f>
        <v>1.4575</v>
      </c>
      <c r="S561" s="85">
        <f>21.09*0.055</f>
        <v>1.15995</v>
      </c>
      <c r="T561" s="85">
        <f>52.17*0.055</f>
        <v>2.8693500000000003</v>
      </c>
      <c r="U561" s="85">
        <f>16.995*0.055</f>
        <v>0.93472500000000003</v>
      </c>
      <c r="V561" s="85">
        <f>6.85112*0.055</f>
        <v>0.37681159999999997</v>
      </c>
      <c r="W561" s="85">
        <f>11.564*0.055</f>
        <v>0.63602000000000003</v>
      </c>
      <c r="X561" s="85">
        <f>8.1845*0.055</f>
        <v>0.45014749999999998</v>
      </c>
      <c r="Y561" s="85">
        <f>10.712*0.055</f>
        <v>0.58916000000000002</v>
      </c>
      <c r="Z561" s="85">
        <f>12.61*0.055</f>
        <v>0.69355</v>
      </c>
      <c r="AA561" s="85">
        <f>13.376*0.055</f>
        <v>0.73568</v>
      </c>
      <c r="AB561" s="85">
        <f>0.4432*0.055</f>
        <v>2.4375999999999998E-2</v>
      </c>
      <c r="AC561" s="85">
        <f>3.291*0.055</f>
        <v>0.181005</v>
      </c>
      <c r="AD561" s="85"/>
    </row>
    <row r="562" spans="1:30">
      <c r="A562" s="82" t="s">
        <v>236</v>
      </c>
      <c r="B562" s="87" t="s">
        <v>643</v>
      </c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>
        <v>0</v>
      </c>
      <c r="O562" s="85">
        <v>0</v>
      </c>
      <c r="P562" s="85">
        <v>0</v>
      </c>
      <c r="Q562" s="85">
        <v>0</v>
      </c>
      <c r="R562" s="85">
        <v>0</v>
      </c>
      <c r="S562" s="85">
        <v>0</v>
      </c>
      <c r="T562" s="85">
        <v>0</v>
      </c>
      <c r="U562" s="85">
        <v>0</v>
      </c>
      <c r="V562" s="85">
        <v>0</v>
      </c>
      <c r="W562" s="85">
        <v>0</v>
      </c>
      <c r="X562" s="85">
        <v>0</v>
      </c>
      <c r="Y562" s="85">
        <v>0</v>
      </c>
      <c r="Z562" s="85">
        <v>0</v>
      </c>
      <c r="AA562" s="85">
        <v>0</v>
      </c>
      <c r="AB562" s="85">
        <v>0</v>
      </c>
      <c r="AC562" s="85">
        <v>0</v>
      </c>
      <c r="AD562" s="85"/>
    </row>
    <row r="563" spans="1:30">
      <c r="A563" s="82" t="s">
        <v>183</v>
      </c>
      <c r="B563" s="83" t="s">
        <v>597</v>
      </c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>
        <v>0</v>
      </c>
      <c r="P563" s="85">
        <v>0</v>
      </c>
      <c r="Q563" s="85">
        <v>0</v>
      </c>
      <c r="R563" s="85">
        <v>0</v>
      </c>
      <c r="S563" s="85">
        <v>0</v>
      </c>
      <c r="T563" s="85">
        <v>0</v>
      </c>
      <c r="U563" s="85">
        <v>0</v>
      </c>
      <c r="V563" s="85">
        <v>0</v>
      </c>
      <c r="W563" s="85">
        <v>0</v>
      </c>
      <c r="X563" s="85">
        <v>0</v>
      </c>
      <c r="Y563" s="85">
        <v>0</v>
      </c>
      <c r="Z563" s="85">
        <v>0</v>
      </c>
      <c r="AA563" s="85">
        <v>0</v>
      </c>
      <c r="AB563" s="85">
        <v>0</v>
      </c>
      <c r="AC563" s="85">
        <v>0</v>
      </c>
      <c r="AD563" s="85"/>
    </row>
    <row r="564" spans="1:30">
      <c r="A564" s="82" t="s">
        <v>183</v>
      </c>
      <c r="B564" s="83" t="s">
        <v>600</v>
      </c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>
        <v>0</v>
      </c>
      <c r="P564" s="85">
        <v>0</v>
      </c>
      <c r="Q564" s="85">
        <v>0</v>
      </c>
      <c r="R564" s="85">
        <v>0</v>
      </c>
      <c r="S564" s="85">
        <v>0</v>
      </c>
      <c r="T564" s="85">
        <v>0</v>
      </c>
      <c r="U564" s="85">
        <v>0</v>
      </c>
      <c r="V564" s="85">
        <v>0</v>
      </c>
      <c r="W564" s="85">
        <v>0</v>
      </c>
      <c r="X564" s="85">
        <v>0</v>
      </c>
      <c r="Y564" s="85">
        <v>0</v>
      </c>
      <c r="Z564" s="85">
        <v>0</v>
      </c>
      <c r="AA564" s="85">
        <v>0</v>
      </c>
      <c r="AB564" s="85">
        <v>0</v>
      </c>
      <c r="AC564" s="85">
        <v>0</v>
      </c>
      <c r="AD564" s="85"/>
    </row>
    <row r="565" spans="1:30">
      <c r="A565" s="82" t="s">
        <v>183</v>
      </c>
      <c r="B565" s="83" t="s">
        <v>595</v>
      </c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>
        <v>0</v>
      </c>
      <c r="P565" s="85">
        <v>0</v>
      </c>
      <c r="Q565" s="85">
        <v>0</v>
      </c>
      <c r="R565" s="85">
        <v>0</v>
      </c>
      <c r="S565" s="85">
        <v>0</v>
      </c>
      <c r="T565" s="85">
        <v>0</v>
      </c>
      <c r="U565" s="85">
        <v>0</v>
      </c>
      <c r="V565" s="85">
        <v>0</v>
      </c>
      <c r="W565" s="85">
        <v>0</v>
      </c>
      <c r="X565" s="85">
        <v>0</v>
      </c>
      <c r="Y565" s="85">
        <v>0</v>
      </c>
      <c r="Z565" s="85">
        <v>0</v>
      </c>
      <c r="AA565" s="85">
        <v>0</v>
      </c>
      <c r="AB565" s="85">
        <v>0</v>
      </c>
      <c r="AC565" s="85">
        <v>0</v>
      </c>
      <c r="AD565" s="85"/>
    </row>
    <row r="566" spans="1:30">
      <c r="A566" s="82" t="s">
        <v>183</v>
      </c>
      <c r="B566" s="83" t="s">
        <v>596</v>
      </c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>
        <v>0</v>
      </c>
      <c r="P566" s="85">
        <v>0</v>
      </c>
      <c r="Q566" s="85">
        <v>0</v>
      </c>
      <c r="R566" s="85">
        <v>0</v>
      </c>
      <c r="S566" s="85">
        <v>0</v>
      </c>
      <c r="T566" s="85">
        <v>0</v>
      </c>
      <c r="U566" s="85">
        <v>0</v>
      </c>
      <c r="V566" s="85">
        <v>0</v>
      </c>
      <c r="W566" s="85">
        <v>0</v>
      </c>
      <c r="X566" s="85">
        <v>0</v>
      </c>
      <c r="Y566" s="85">
        <v>0</v>
      </c>
      <c r="Z566" s="85">
        <v>0</v>
      </c>
      <c r="AA566" s="85">
        <v>0</v>
      </c>
      <c r="AB566" s="85">
        <v>0</v>
      </c>
      <c r="AC566" s="85">
        <v>0</v>
      </c>
      <c r="AD566" s="85"/>
    </row>
    <row r="567" spans="1:30">
      <c r="A567" s="82" t="s">
        <v>183</v>
      </c>
      <c r="B567" s="83" t="s">
        <v>594</v>
      </c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>
        <f>13.464*0.055</f>
        <v>0.74052000000000007</v>
      </c>
      <c r="P567" s="85">
        <f>6.94*0.055</f>
        <v>0.38170000000000004</v>
      </c>
      <c r="Q567" s="85">
        <f>17.14*0.055</f>
        <v>0.94269999999999998</v>
      </c>
      <c r="R567" s="85">
        <f>10.61*0.055</f>
        <v>0.58355000000000001</v>
      </c>
      <c r="S567" s="85">
        <f>13.12*0.055</f>
        <v>0.72159999999999991</v>
      </c>
      <c r="T567" s="85">
        <f>17.14*0.055</f>
        <v>0.94269999999999998</v>
      </c>
      <c r="U567" s="85">
        <f>13.6*0.055</f>
        <v>0.748</v>
      </c>
      <c r="V567" s="85">
        <f>12.99*0.055</f>
        <v>0.71445000000000003</v>
      </c>
      <c r="W567" s="85">
        <f>12.15*0.055</f>
        <v>0.66825000000000001</v>
      </c>
      <c r="X567" s="85">
        <f>11.29*0.055</f>
        <v>0.62095</v>
      </c>
      <c r="Y567" s="85">
        <f>3.54*0.055</f>
        <v>0.19470000000000001</v>
      </c>
      <c r="Z567" s="85">
        <f>3.09*0.055</f>
        <v>0.16994999999999999</v>
      </c>
      <c r="AA567" s="85">
        <f>0.94*0.055</f>
        <v>5.1699999999999996E-2</v>
      </c>
      <c r="AB567" s="85">
        <f>2.45*0.055</f>
        <v>0.13475000000000001</v>
      </c>
      <c r="AC567" s="85">
        <f>1.89*0.055</f>
        <v>0.10395</v>
      </c>
      <c r="AD567" s="85"/>
    </row>
    <row r="568" spans="1:30">
      <c r="A568" s="82" t="s">
        <v>183</v>
      </c>
      <c r="B568" s="87" t="s">
        <v>643</v>
      </c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>
        <v>0</v>
      </c>
      <c r="P568" s="85">
        <v>0</v>
      </c>
      <c r="Q568" s="85">
        <v>0</v>
      </c>
      <c r="R568" s="85">
        <v>0</v>
      </c>
      <c r="S568" s="85">
        <v>0</v>
      </c>
      <c r="T568" s="85">
        <v>0</v>
      </c>
      <c r="U568" s="85">
        <v>0</v>
      </c>
      <c r="V568" s="85">
        <v>0</v>
      </c>
      <c r="W568" s="85">
        <v>0</v>
      </c>
      <c r="X568" s="85">
        <v>0</v>
      </c>
      <c r="Y568" s="85">
        <v>0</v>
      </c>
      <c r="Z568" s="85">
        <v>0</v>
      </c>
      <c r="AA568" s="85">
        <v>0</v>
      </c>
      <c r="AB568" s="85">
        <v>0</v>
      </c>
      <c r="AC568" s="85">
        <v>0</v>
      </c>
      <c r="AD568" s="85"/>
    </row>
    <row r="569" spans="1:30">
      <c r="A569" s="82" t="s">
        <v>237</v>
      </c>
      <c r="B569" s="83" t="s">
        <v>597</v>
      </c>
      <c r="C569" s="85">
        <v>0</v>
      </c>
      <c r="D569" s="85">
        <v>0</v>
      </c>
      <c r="E569" s="85">
        <v>0</v>
      </c>
      <c r="F569" s="84" t="s">
        <v>680</v>
      </c>
      <c r="G569" s="85">
        <v>0</v>
      </c>
      <c r="H569" s="85">
        <v>0</v>
      </c>
      <c r="I569" s="85">
        <v>0</v>
      </c>
      <c r="J569" s="85" t="s">
        <v>642</v>
      </c>
      <c r="K569" s="85" t="s">
        <v>642</v>
      </c>
      <c r="L569" s="85">
        <v>0</v>
      </c>
      <c r="M569" s="85">
        <v>0</v>
      </c>
      <c r="N569" s="85">
        <v>0</v>
      </c>
      <c r="O569" s="85">
        <v>0</v>
      </c>
      <c r="P569" s="85">
        <v>0</v>
      </c>
      <c r="Q569" s="85">
        <v>0</v>
      </c>
      <c r="R569" s="85">
        <v>0</v>
      </c>
      <c r="S569" s="85">
        <v>0</v>
      </c>
      <c r="T569" s="85">
        <v>0</v>
      </c>
      <c r="U569" s="85">
        <v>0</v>
      </c>
      <c r="V569" s="85">
        <v>0</v>
      </c>
      <c r="W569" s="85">
        <v>0</v>
      </c>
      <c r="X569" s="85">
        <v>0</v>
      </c>
      <c r="Y569" s="85">
        <v>0</v>
      </c>
      <c r="Z569" s="85">
        <v>0</v>
      </c>
      <c r="AA569" s="85">
        <v>0</v>
      </c>
      <c r="AB569" s="85">
        <v>0</v>
      </c>
      <c r="AC569" s="85">
        <v>0</v>
      </c>
      <c r="AD569" s="85"/>
    </row>
    <row r="570" spans="1:30">
      <c r="A570" s="82" t="s">
        <v>237</v>
      </c>
      <c r="B570" s="83" t="s">
        <v>600</v>
      </c>
      <c r="C570" s="85">
        <v>0</v>
      </c>
      <c r="D570" s="85">
        <v>0</v>
      </c>
      <c r="E570" s="85">
        <v>0</v>
      </c>
      <c r="F570" s="84" t="s">
        <v>680</v>
      </c>
      <c r="G570" s="85">
        <v>0</v>
      </c>
      <c r="H570" s="85">
        <v>0</v>
      </c>
      <c r="I570" s="85">
        <v>0</v>
      </c>
      <c r="J570" s="85" t="s">
        <v>642</v>
      </c>
      <c r="K570" s="85" t="s">
        <v>642</v>
      </c>
      <c r="L570" s="85">
        <v>0</v>
      </c>
      <c r="M570" s="85">
        <v>0</v>
      </c>
      <c r="N570" s="85">
        <v>0</v>
      </c>
      <c r="O570" s="85">
        <v>0</v>
      </c>
      <c r="P570" s="85">
        <v>0</v>
      </c>
      <c r="Q570" s="85">
        <v>0</v>
      </c>
      <c r="R570" s="85">
        <v>0</v>
      </c>
      <c r="S570" s="85">
        <f>0.0165*0.022</f>
        <v>3.6299999999999999E-4</v>
      </c>
      <c r="T570" s="85">
        <v>0</v>
      </c>
      <c r="U570" s="85">
        <v>0</v>
      </c>
      <c r="V570" s="85">
        <v>0</v>
      </c>
      <c r="W570" s="85">
        <v>0</v>
      </c>
      <c r="X570" s="85">
        <v>0</v>
      </c>
      <c r="Y570" s="85">
        <v>0</v>
      </c>
      <c r="Z570" s="85">
        <v>0</v>
      </c>
      <c r="AA570" s="85">
        <v>0</v>
      </c>
      <c r="AB570" s="85">
        <v>0</v>
      </c>
      <c r="AC570" s="85">
        <v>0</v>
      </c>
      <c r="AD570" s="85"/>
    </row>
    <row r="571" spans="1:30">
      <c r="A571" s="82" t="s">
        <v>237</v>
      </c>
      <c r="B571" s="83" t="s">
        <v>595</v>
      </c>
      <c r="C571" s="85">
        <v>0</v>
      </c>
      <c r="D571" s="85">
        <v>0</v>
      </c>
      <c r="E571" s="85">
        <f>42*0.11</f>
        <v>4.62</v>
      </c>
      <c r="F571" s="84" t="s">
        <v>680</v>
      </c>
      <c r="G571" s="85">
        <f>61*0.11</f>
        <v>6.71</v>
      </c>
      <c r="H571" s="85">
        <f>68*0.11</f>
        <v>7.48</v>
      </c>
      <c r="I571" s="85">
        <f>68*0.11</f>
        <v>7.48</v>
      </c>
      <c r="J571" s="85" t="s">
        <v>642</v>
      </c>
      <c r="K571" s="85" t="s">
        <v>642</v>
      </c>
      <c r="L571" s="85">
        <f>120*0.11</f>
        <v>13.2</v>
      </c>
      <c r="M571" s="85">
        <f>80*0.11</f>
        <v>8.8000000000000007</v>
      </c>
      <c r="N571" s="85">
        <v>24.86</v>
      </c>
      <c r="O571" s="85">
        <f>66*0.11</f>
        <v>7.26</v>
      </c>
      <c r="P571" s="85">
        <f>125.64*0.11</f>
        <v>13.820399999999999</v>
      </c>
      <c r="Q571" s="85">
        <f>127.36*0.11</f>
        <v>14.009600000000001</v>
      </c>
      <c r="R571" s="85">
        <f>100.8*0.11</f>
        <v>11.087999999999999</v>
      </c>
      <c r="S571" s="85">
        <f>106.9*0.11</f>
        <v>11.759</v>
      </c>
      <c r="T571" s="85">
        <f>90.2*0.11</f>
        <v>9.9220000000000006</v>
      </c>
      <c r="U571" s="85">
        <f>5.5*0.11</f>
        <v>0.60499999999999998</v>
      </c>
      <c r="V571" s="85">
        <v>0</v>
      </c>
      <c r="W571" s="85">
        <v>0</v>
      </c>
      <c r="X571" s="85">
        <v>0</v>
      </c>
      <c r="Y571" s="85">
        <v>0</v>
      </c>
      <c r="Z571" s="85">
        <v>0</v>
      </c>
      <c r="AA571" s="85">
        <v>0</v>
      </c>
      <c r="AB571" s="85">
        <v>0</v>
      </c>
      <c r="AC571" s="85">
        <v>0</v>
      </c>
      <c r="AD571" s="85"/>
    </row>
    <row r="572" spans="1:30">
      <c r="A572" s="82" t="s">
        <v>237</v>
      </c>
      <c r="B572" s="83" t="s">
        <v>700</v>
      </c>
      <c r="C572" s="85"/>
      <c r="D572" s="85"/>
      <c r="E572" s="85"/>
      <c r="F572" s="84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>
        <f>73.52*0.11</f>
        <v>8.0871999999999993</v>
      </c>
      <c r="R572" s="85">
        <f>78*0.11</f>
        <v>8.58</v>
      </c>
      <c r="S572" s="85">
        <f>82.68*0.11</f>
        <v>9.0948000000000011</v>
      </c>
      <c r="T572" s="85">
        <f>87.64*0.11</f>
        <v>9.6403999999999996</v>
      </c>
      <c r="U572" s="85">
        <f>92.89*0.11</f>
        <v>10.2179</v>
      </c>
      <c r="V572" s="85">
        <f>98.5*0.11</f>
        <v>10.835000000000001</v>
      </c>
      <c r="W572" s="85">
        <f>104.41*0.11</f>
        <v>11.485099999999999</v>
      </c>
      <c r="X572" s="85">
        <f>110.67*0.11</f>
        <v>12.1737</v>
      </c>
      <c r="Y572" s="85">
        <f>117.31*0.11</f>
        <v>12.9041</v>
      </c>
      <c r="Z572" s="85">
        <f>98.4*0.11</f>
        <v>10.824</v>
      </c>
      <c r="AA572" s="85">
        <f>104.3*0.11</f>
        <v>11.472999999999999</v>
      </c>
      <c r="AB572" s="85">
        <f>104.3*0.11</f>
        <v>11.472999999999999</v>
      </c>
      <c r="AC572" s="85">
        <f>104.3*0.11</f>
        <v>11.472999999999999</v>
      </c>
      <c r="AD572" s="85"/>
    </row>
    <row r="573" spans="1:30">
      <c r="A573" s="82" t="s">
        <v>237</v>
      </c>
      <c r="B573" s="83" t="s">
        <v>596</v>
      </c>
      <c r="C573" s="85">
        <v>0</v>
      </c>
      <c r="D573" s="85">
        <v>0</v>
      </c>
      <c r="E573" s="85">
        <v>0</v>
      </c>
      <c r="F573" s="84" t="s">
        <v>680</v>
      </c>
      <c r="G573" s="85">
        <v>0</v>
      </c>
      <c r="H573" s="85">
        <v>0</v>
      </c>
      <c r="I573" s="85">
        <v>0</v>
      </c>
      <c r="J573" s="85" t="s">
        <v>642</v>
      </c>
      <c r="K573" s="85" t="s">
        <v>642</v>
      </c>
      <c r="L573" s="85">
        <v>0</v>
      </c>
      <c r="M573" s="85">
        <v>0</v>
      </c>
      <c r="N573" s="85">
        <v>0</v>
      </c>
      <c r="O573" s="85">
        <v>0</v>
      </c>
      <c r="P573" s="85">
        <v>0</v>
      </c>
      <c r="Q573" s="85">
        <v>0</v>
      </c>
      <c r="R573" s="85">
        <v>0</v>
      </c>
      <c r="S573" s="85">
        <v>0</v>
      </c>
      <c r="T573" s="85">
        <v>0</v>
      </c>
      <c r="U573" s="85">
        <v>0</v>
      </c>
      <c r="V573" s="85">
        <v>0</v>
      </c>
      <c r="W573" s="85">
        <v>0</v>
      </c>
      <c r="X573" s="85">
        <v>0</v>
      </c>
      <c r="Y573" s="85">
        <v>0</v>
      </c>
      <c r="Z573" s="85">
        <v>0</v>
      </c>
      <c r="AA573" s="85">
        <v>0</v>
      </c>
      <c r="AB573" s="85">
        <v>0</v>
      </c>
      <c r="AC573" s="85">
        <v>0</v>
      </c>
      <c r="AD573" s="85"/>
    </row>
    <row r="574" spans="1:30">
      <c r="A574" s="82" t="s">
        <v>237</v>
      </c>
      <c r="B574" s="83" t="s">
        <v>594</v>
      </c>
      <c r="C574" s="85">
        <v>0</v>
      </c>
      <c r="D574" s="85">
        <v>0</v>
      </c>
      <c r="E574" s="85">
        <f>240*0.055</f>
        <v>13.2</v>
      </c>
      <c r="F574" s="84" t="s">
        <v>680</v>
      </c>
      <c r="G574" s="85">
        <f>250*0.055</f>
        <v>13.75</v>
      </c>
      <c r="H574" s="85">
        <f>250*0.055</f>
        <v>13.75</v>
      </c>
      <c r="I574" s="85">
        <f>250*0.055</f>
        <v>13.75</v>
      </c>
      <c r="J574" s="85" t="s">
        <v>642</v>
      </c>
      <c r="K574" s="85" t="s">
        <v>642</v>
      </c>
      <c r="L574" s="85">
        <f>500*0.055</f>
        <v>27.5</v>
      </c>
      <c r="M574" s="85">
        <f>420*0.055</f>
        <v>23.1</v>
      </c>
      <c r="N574" s="85">
        <v>24.914999999999999</v>
      </c>
      <c r="O574" s="85">
        <f>471*0.055</f>
        <v>25.905000000000001</v>
      </c>
      <c r="P574" s="85">
        <f>674.73*0.055</f>
        <v>37.110150000000004</v>
      </c>
      <c r="Q574" s="85">
        <f>834.1*0.055</f>
        <v>45.875500000000002</v>
      </c>
      <c r="R574" s="85">
        <f>576.52*0.055</f>
        <v>31.708600000000001</v>
      </c>
      <c r="S574" s="85">
        <f>1053.57*0.055</f>
        <v>57.946349999999995</v>
      </c>
      <c r="T574" s="85">
        <f>896.04*0.055</f>
        <v>49.282199999999996</v>
      </c>
      <c r="U574" s="85">
        <f>701.635*0.055</f>
        <v>38.589925000000001</v>
      </c>
      <c r="V574" s="85">
        <f>695.672*0.055</f>
        <v>38.261960000000002</v>
      </c>
      <c r="W574" s="85">
        <f>329.78*0.055</f>
        <v>18.137899999999998</v>
      </c>
      <c r="X574" s="85">
        <f>488.66*0.055</f>
        <v>26.876300000000001</v>
      </c>
      <c r="Y574" s="85">
        <f>593.46*0.055</f>
        <v>32.640300000000003</v>
      </c>
      <c r="Z574" s="85">
        <f>466.58*0.055</f>
        <v>25.661899999999999</v>
      </c>
      <c r="AA574" s="85">
        <f>499.83*0.055</f>
        <v>27.490649999999999</v>
      </c>
      <c r="AB574" s="85">
        <f>458.74*0.055</f>
        <v>25.230700000000002</v>
      </c>
      <c r="AC574" s="85">
        <f>320.41*0.055</f>
        <v>17.62255</v>
      </c>
      <c r="AD574" s="85"/>
    </row>
    <row r="575" spans="1:30">
      <c r="A575" s="82" t="s">
        <v>237</v>
      </c>
      <c r="B575" s="87" t="s">
        <v>643</v>
      </c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>
        <v>0</v>
      </c>
      <c r="O575" s="85">
        <v>0</v>
      </c>
      <c r="P575" s="85">
        <v>0</v>
      </c>
      <c r="Q575" s="85">
        <v>0</v>
      </c>
      <c r="R575" s="85">
        <v>0</v>
      </c>
      <c r="S575" s="85">
        <v>0</v>
      </c>
      <c r="T575" s="85">
        <v>0</v>
      </c>
      <c r="U575" s="85">
        <v>0</v>
      </c>
      <c r="V575" s="85">
        <v>0</v>
      </c>
      <c r="W575" s="85">
        <v>0</v>
      </c>
      <c r="X575" s="85">
        <v>0</v>
      </c>
      <c r="Y575" s="85">
        <v>0</v>
      </c>
      <c r="Z575" s="85">
        <v>0</v>
      </c>
      <c r="AA575" s="85">
        <v>0</v>
      </c>
      <c r="AB575" s="85">
        <v>0</v>
      </c>
      <c r="AC575" s="85">
        <v>0</v>
      </c>
      <c r="AD575" s="85"/>
    </row>
    <row r="576" spans="1:30">
      <c r="A576" s="82" t="s">
        <v>96</v>
      </c>
      <c r="B576" s="83" t="s">
        <v>597</v>
      </c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>
        <v>0</v>
      </c>
      <c r="N576" s="85">
        <v>0</v>
      </c>
      <c r="O576" s="85">
        <v>0</v>
      </c>
      <c r="P576" s="85">
        <v>0</v>
      </c>
      <c r="Q576" s="85">
        <v>0</v>
      </c>
      <c r="R576" s="85">
        <v>0</v>
      </c>
      <c r="S576" s="85">
        <v>0</v>
      </c>
      <c r="T576" s="85">
        <v>0</v>
      </c>
      <c r="U576" s="85">
        <v>0</v>
      </c>
      <c r="V576" s="85">
        <v>0</v>
      </c>
      <c r="W576" s="85">
        <v>0</v>
      </c>
      <c r="X576" s="85">
        <v>0</v>
      </c>
      <c r="Y576" s="85">
        <v>0</v>
      </c>
      <c r="Z576" s="85">
        <v>0</v>
      </c>
      <c r="AA576" s="85">
        <v>0</v>
      </c>
      <c r="AB576" s="85">
        <v>0</v>
      </c>
      <c r="AC576" s="85">
        <v>0</v>
      </c>
      <c r="AD576" s="85"/>
    </row>
    <row r="577" spans="1:30">
      <c r="A577" s="82" t="s">
        <v>96</v>
      </c>
      <c r="B577" s="83" t="s">
        <v>600</v>
      </c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>
        <v>0</v>
      </c>
      <c r="N577" s="85">
        <v>0</v>
      </c>
      <c r="O577" s="85">
        <v>0</v>
      </c>
      <c r="P577" s="85">
        <v>0</v>
      </c>
      <c r="Q577" s="85">
        <v>0</v>
      </c>
      <c r="R577" s="85">
        <v>0</v>
      </c>
      <c r="S577" s="85">
        <v>0</v>
      </c>
      <c r="T577" s="85">
        <v>0</v>
      </c>
      <c r="U577" s="85">
        <v>0</v>
      </c>
      <c r="V577" s="85">
        <v>0</v>
      </c>
      <c r="W577" s="85">
        <v>0</v>
      </c>
      <c r="X577" s="85">
        <v>0</v>
      </c>
      <c r="Y577" s="85">
        <v>0</v>
      </c>
      <c r="Z577" s="85">
        <v>0</v>
      </c>
      <c r="AA577" s="85">
        <v>0</v>
      </c>
      <c r="AB577" s="85">
        <v>0</v>
      </c>
      <c r="AC577" s="85">
        <v>0</v>
      </c>
      <c r="AD577" s="85"/>
    </row>
    <row r="578" spans="1:30">
      <c r="A578" s="82" t="s">
        <v>96</v>
      </c>
      <c r="B578" s="83" t="s">
        <v>595</v>
      </c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99">
        <f>0.01*0.11</f>
        <v>1.1000000000000001E-3</v>
      </c>
      <c r="N578" s="85">
        <v>0</v>
      </c>
      <c r="O578" s="85">
        <v>0</v>
      </c>
      <c r="P578" s="85">
        <v>0</v>
      </c>
      <c r="Q578" s="85">
        <v>0</v>
      </c>
      <c r="R578" s="85">
        <v>0</v>
      </c>
      <c r="S578" s="85">
        <v>0</v>
      </c>
      <c r="T578" s="85">
        <v>0</v>
      </c>
      <c r="U578" s="85">
        <v>0</v>
      </c>
      <c r="V578" s="85">
        <v>0</v>
      </c>
      <c r="W578" s="85">
        <v>0</v>
      </c>
      <c r="X578" s="85">
        <v>0</v>
      </c>
      <c r="Y578" s="85">
        <v>0</v>
      </c>
      <c r="Z578" s="85">
        <v>0</v>
      </c>
      <c r="AA578" s="85">
        <v>0</v>
      </c>
      <c r="AB578" s="85">
        <v>0</v>
      </c>
      <c r="AC578" s="85">
        <v>0</v>
      </c>
      <c r="AD578" s="85"/>
    </row>
    <row r="579" spans="1:30">
      <c r="A579" s="82" t="s">
        <v>96</v>
      </c>
      <c r="B579" s="83" t="s">
        <v>596</v>
      </c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>
        <v>0</v>
      </c>
      <c r="N579" s="85">
        <v>0</v>
      </c>
      <c r="O579" s="85">
        <v>0</v>
      </c>
      <c r="P579" s="85">
        <v>0</v>
      </c>
      <c r="Q579" s="85">
        <v>0</v>
      </c>
      <c r="R579" s="85">
        <v>0</v>
      </c>
      <c r="S579" s="85">
        <v>0</v>
      </c>
      <c r="T579" s="85">
        <v>0</v>
      </c>
      <c r="U579" s="85">
        <v>0</v>
      </c>
      <c r="V579" s="85">
        <v>0</v>
      </c>
      <c r="W579" s="85">
        <v>0</v>
      </c>
      <c r="X579" s="85">
        <v>0</v>
      </c>
      <c r="Y579" s="85">
        <v>0</v>
      </c>
      <c r="Z579" s="85">
        <v>0</v>
      </c>
      <c r="AA579" s="85">
        <v>0</v>
      </c>
      <c r="AB579" s="85">
        <v>0</v>
      </c>
      <c r="AC579" s="85">
        <v>0</v>
      </c>
      <c r="AD579" s="85"/>
    </row>
    <row r="580" spans="1:30">
      <c r="A580" s="82" t="s">
        <v>96</v>
      </c>
      <c r="B580" s="83" t="s">
        <v>594</v>
      </c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>
        <v>0</v>
      </c>
      <c r="N580" s="85">
        <f>23.05*0.055</f>
        <v>1.2677500000000002</v>
      </c>
      <c r="O580" s="85">
        <f>23.05*0.055</f>
        <v>1.2677500000000002</v>
      </c>
      <c r="P580" s="85">
        <f>40.6*0.055</f>
        <v>2.2330000000000001</v>
      </c>
      <c r="Q580" s="85">
        <f>78.6*0.055</f>
        <v>4.3229999999999995</v>
      </c>
      <c r="R580" s="85">
        <f>157.756*0.055</f>
        <v>8.6765799999999995</v>
      </c>
      <c r="S580" s="85">
        <f>152.8*0.055</f>
        <v>8.4039999999999999</v>
      </c>
      <c r="T580" s="85">
        <f>148*0.055</f>
        <v>8.14</v>
      </c>
      <c r="U580" s="85">
        <f>150*0.055</f>
        <v>8.25</v>
      </c>
      <c r="V580" s="85">
        <f>130*0.055</f>
        <v>7.15</v>
      </c>
      <c r="W580" s="85">
        <f>130*0.055</f>
        <v>7.15</v>
      </c>
      <c r="X580" s="85">
        <f>128*0.055</f>
        <v>7.04</v>
      </c>
      <c r="Y580" s="85">
        <f>91.5*0.055</f>
        <v>5.0324999999999998</v>
      </c>
      <c r="Z580" s="85">
        <f>73*0.055</f>
        <v>4.0149999999999997</v>
      </c>
      <c r="AA580" s="85">
        <f>65*0.055</f>
        <v>3.5750000000000002</v>
      </c>
      <c r="AB580" s="85">
        <f>40.2*0.055</f>
        <v>2.2110000000000003</v>
      </c>
      <c r="AC580" s="85">
        <f>40.2*0.055</f>
        <v>2.2110000000000003</v>
      </c>
      <c r="AD580" s="85"/>
    </row>
    <row r="581" spans="1:30">
      <c r="A581" s="82" t="s">
        <v>96</v>
      </c>
      <c r="B581" s="87" t="s">
        <v>643</v>
      </c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>
        <v>0</v>
      </c>
      <c r="N581" s="85">
        <v>0</v>
      </c>
      <c r="O581" s="85">
        <v>0</v>
      </c>
      <c r="P581" s="85">
        <v>0</v>
      </c>
      <c r="Q581" s="85">
        <v>0</v>
      </c>
      <c r="R581" s="85">
        <v>0</v>
      </c>
      <c r="S581" s="85">
        <v>0</v>
      </c>
      <c r="T581" s="85">
        <v>0</v>
      </c>
      <c r="U581" s="85">
        <v>0</v>
      </c>
      <c r="V581" s="85">
        <v>0</v>
      </c>
      <c r="W581" s="85">
        <v>0</v>
      </c>
      <c r="X581" s="85">
        <v>0</v>
      </c>
      <c r="Y581" s="85">
        <v>0</v>
      </c>
      <c r="Z581" s="85">
        <v>0</v>
      </c>
      <c r="AA581" s="85">
        <v>0</v>
      </c>
      <c r="AB581" s="85">
        <v>0</v>
      </c>
      <c r="AC581" s="85">
        <v>0</v>
      </c>
      <c r="AD581" s="85"/>
    </row>
    <row r="582" spans="1:30">
      <c r="A582" s="82" t="s">
        <v>97</v>
      </c>
      <c r="B582" s="83" t="s">
        <v>597</v>
      </c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>
        <v>0</v>
      </c>
      <c r="P582" s="85">
        <v>0</v>
      </c>
      <c r="Q582" s="85">
        <v>0</v>
      </c>
      <c r="R582" s="85">
        <v>0</v>
      </c>
      <c r="S582" s="85">
        <v>0</v>
      </c>
      <c r="T582" s="85">
        <v>0</v>
      </c>
      <c r="U582" s="85">
        <v>0</v>
      </c>
      <c r="V582" s="85">
        <v>0</v>
      </c>
      <c r="W582" s="85">
        <v>0</v>
      </c>
      <c r="X582" s="85">
        <v>0</v>
      </c>
      <c r="Y582" s="85">
        <v>0</v>
      </c>
      <c r="Z582" s="85">
        <v>0</v>
      </c>
      <c r="AA582" s="85">
        <v>0</v>
      </c>
      <c r="AB582" s="85">
        <v>0</v>
      </c>
      <c r="AC582" s="85">
        <v>0</v>
      </c>
      <c r="AD582" s="85"/>
    </row>
    <row r="583" spans="1:30">
      <c r="A583" s="82" t="s">
        <v>97</v>
      </c>
      <c r="B583" s="83" t="s">
        <v>600</v>
      </c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>
        <v>0</v>
      </c>
      <c r="P583" s="85">
        <v>0</v>
      </c>
      <c r="Q583" s="85">
        <v>0</v>
      </c>
      <c r="R583" s="85">
        <v>0</v>
      </c>
      <c r="S583" s="85">
        <v>0</v>
      </c>
      <c r="T583" s="85">
        <v>0</v>
      </c>
      <c r="U583" s="85">
        <v>0</v>
      </c>
      <c r="V583" s="85">
        <v>0</v>
      </c>
      <c r="W583" s="85">
        <v>0</v>
      </c>
      <c r="X583" s="85">
        <v>0</v>
      </c>
      <c r="Y583" s="85">
        <v>0</v>
      </c>
      <c r="Z583" s="85">
        <v>0</v>
      </c>
      <c r="AA583" s="85">
        <v>0</v>
      </c>
      <c r="AB583" s="85">
        <v>0</v>
      </c>
      <c r="AC583" s="85">
        <v>0</v>
      </c>
      <c r="AD583" s="85"/>
    </row>
    <row r="584" spans="1:30">
      <c r="A584" s="82" t="s">
        <v>97</v>
      </c>
      <c r="B584" s="83" t="s">
        <v>595</v>
      </c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>
        <v>0</v>
      </c>
      <c r="P584" s="85">
        <v>0</v>
      </c>
      <c r="Q584" s="85">
        <v>0</v>
      </c>
      <c r="R584" s="85">
        <f>0.75*0.11</f>
        <v>8.2500000000000004E-2</v>
      </c>
      <c r="S584" s="85">
        <v>0</v>
      </c>
      <c r="T584" s="85">
        <v>0</v>
      </c>
      <c r="U584" s="85">
        <v>0</v>
      </c>
      <c r="V584" s="85">
        <v>0</v>
      </c>
      <c r="W584" s="85">
        <v>0</v>
      </c>
      <c r="X584" s="85">
        <v>0</v>
      </c>
      <c r="Y584" s="85">
        <v>0</v>
      </c>
      <c r="Z584" s="85">
        <v>0</v>
      </c>
      <c r="AA584" s="85">
        <v>0</v>
      </c>
      <c r="AB584" s="85">
        <v>0</v>
      </c>
      <c r="AC584" s="85">
        <v>0</v>
      </c>
      <c r="AD584" s="85"/>
    </row>
    <row r="585" spans="1:30">
      <c r="A585" s="82" t="s">
        <v>97</v>
      </c>
      <c r="B585" s="83" t="s">
        <v>700</v>
      </c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>
        <f>0.924*0.11</f>
        <v>0.10164000000000001</v>
      </c>
      <c r="AA585" s="85">
        <v>0</v>
      </c>
      <c r="AB585" s="85">
        <v>0</v>
      </c>
      <c r="AC585" s="85">
        <v>0</v>
      </c>
      <c r="AD585" s="85"/>
    </row>
    <row r="586" spans="1:30" ht="9.6" customHeight="1">
      <c r="A586" s="82" t="s">
        <v>97</v>
      </c>
      <c r="B586" s="83" t="s">
        <v>596</v>
      </c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>
        <v>0</v>
      </c>
      <c r="P586" s="85">
        <v>0</v>
      </c>
      <c r="Q586" s="85">
        <v>0</v>
      </c>
      <c r="R586" s="85">
        <v>0</v>
      </c>
      <c r="S586" s="85">
        <v>0</v>
      </c>
      <c r="T586" s="85">
        <v>0</v>
      </c>
      <c r="U586" s="85">
        <v>0</v>
      </c>
      <c r="V586" s="85">
        <v>0</v>
      </c>
      <c r="W586" s="85">
        <v>0</v>
      </c>
      <c r="X586" s="85">
        <v>0</v>
      </c>
      <c r="Y586" s="85">
        <v>0</v>
      </c>
      <c r="Z586" s="85">
        <v>0</v>
      </c>
      <c r="AA586" s="85">
        <v>0</v>
      </c>
      <c r="AB586" s="85">
        <v>0</v>
      </c>
      <c r="AC586" s="85">
        <v>0</v>
      </c>
      <c r="AD586" s="85"/>
    </row>
    <row r="587" spans="1:30">
      <c r="A587" s="82" t="s">
        <v>97</v>
      </c>
      <c r="B587" s="83" t="s">
        <v>594</v>
      </c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>
        <f>43.16*0.055</f>
        <v>2.3737999999999997</v>
      </c>
      <c r="P587" s="85">
        <f>35.64*0.055</f>
        <v>1.9601999999999999</v>
      </c>
      <c r="Q587" s="85">
        <f>75.07*0.055</f>
        <v>4.1288499999999999</v>
      </c>
      <c r="R587" s="85">
        <f>79.79*0.055</f>
        <v>4.3884500000000006</v>
      </c>
      <c r="S587" s="85">
        <f>104.58*0.055</f>
        <v>5.7519</v>
      </c>
      <c r="T587" s="85">
        <v>0</v>
      </c>
      <c r="U587" s="85">
        <f>54.989*0.055</f>
        <v>3.0243949999999997</v>
      </c>
      <c r="V587" s="85">
        <f>36*0.055</f>
        <v>1.98</v>
      </c>
      <c r="W587" s="85">
        <f>26.95*0.055</f>
        <v>1.4822500000000001</v>
      </c>
      <c r="X587" s="85">
        <f>60.695*0.055</f>
        <v>3.338225</v>
      </c>
      <c r="Y587" s="85">
        <f>65.31*0.055</f>
        <v>3.59205</v>
      </c>
      <c r="Z587" s="85">
        <f>61.29*0.055</f>
        <v>3.3709500000000001</v>
      </c>
      <c r="AA587" s="85">
        <f>63.67*0.055</f>
        <v>3.5018500000000001</v>
      </c>
      <c r="AB587" s="85">
        <f>37.03*0.055</f>
        <v>2.0366500000000003</v>
      </c>
      <c r="AC587" s="85">
        <f>26.7634*0.055</f>
        <v>1.4719870000000002</v>
      </c>
      <c r="AD587" s="85"/>
    </row>
    <row r="588" spans="1:30">
      <c r="A588" s="82" t="s">
        <v>97</v>
      </c>
      <c r="B588" s="87" t="s">
        <v>643</v>
      </c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>
        <v>0</v>
      </c>
      <c r="P588" s="85">
        <v>0</v>
      </c>
      <c r="Q588" s="85">
        <v>0</v>
      </c>
      <c r="R588" s="85">
        <v>0</v>
      </c>
      <c r="S588" s="85">
        <v>0</v>
      </c>
      <c r="T588" s="85">
        <v>0</v>
      </c>
      <c r="U588" s="85">
        <v>0</v>
      </c>
      <c r="V588" s="85">
        <v>0</v>
      </c>
      <c r="W588" s="85">
        <v>0</v>
      </c>
      <c r="X588" s="85">
        <v>0</v>
      </c>
      <c r="Y588" s="85">
        <v>0</v>
      </c>
      <c r="Z588" s="85">
        <v>0</v>
      </c>
      <c r="AA588" s="85">
        <v>0</v>
      </c>
      <c r="AB588" s="85">
        <v>0</v>
      </c>
      <c r="AC588" s="85">
        <v>0</v>
      </c>
      <c r="AD588" s="85"/>
    </row>
    <row r="589" spans="1:30">
      <c r="A589" s="82" t="s">
        <v>98</v>
      </c>
      <c r="B589" s="83" t="s">
        <v>597</v>
      </c>
      <c r="C589" s="85">
        <v>0</v>
      </c>
      <c r="D589" s="85">
        <v>0</v>
      </c>
      <c r="E589" s="85">
        <v>0</v>
      </c>
      <c r="F589" s="85">
        <v>0</v>
      </c>
      <c r="G589" s="85">
        <v>0</v>
      </c>
      <c r="H589" s="85">
        <v>0</v>
      </c>
      <c r="I589" s="85">
        <v>0</v>
      </c>
      <c r="J589" s="85">
        <v>0</v>
      </c>
      <c r="K589" s="85">
        <v>0</v>
      </c>
      <c r="L589" s="85">
        <v>0</v>
      </c>
      <c r="M589" s="85">
        <v>0</v>
      </c>
      <c r="N589" s="85">
        <v>0</v>
      </c>
      <c r="O589" s="85">
        <v>0</v>
      </c>
      <c r="P589" s="85">
        <v>0</v>
      </c>
      <c r="Q589" s="85">
        <v>0</v>
      </c>
      <c r="R589" s="85">
        <v>0</v>
      </c>
      <c r="S589" s="85">
        <v>0</v>
      </c>
      <c r="T589" s="85">
        <v>0</v>
      </c>
      <c r="U589" s="85">
        <v>0</v>
      </c>
      <c r="V589" s="85">
        <v>0</v>
      </c>
      <c r="W589" s="85">
        <v>0</v>
      </c>
      <c r="X589" s="85">
        <v>0</v>
      </c>
      <c r="Y589" s="85">
        <v>0</v>
      </c>
      <c r="Z589" s="85">
        <v>0</v>
      </c>
      <c r="AA589" s="85">
        <v>0</v>
      </c>
      <c r="AB589" s="85">
        <v>0</v>
      </c>
      <c r="AC589" s="85">
        <v>0</v>
      </c>
      <c r="AD589" s="85"/>
    </row>
    <row r="590" spans="1:30">
      <c r="A590" s="82" t="s">
        <v>98</v>
      </c>
      <c r="B590" s="83" t="s">
        <v>600</v>
      </c>
      <c r="C590" s="85">
        <v>0</v>
      </c>
      <c r="D590" s="85">
        <v>0</v>
      </c>
      <c r="E590" s="85">
        <v>0</v>
      </c>
      <c r="F590" s="85">
        <v>0</v>
      </c>
      <c r="G590" s="85">
        <v>0</v>
      </c>
      <c r="H590" s="85">
        <v>0</v>
      </c>
      <c r="I590" s="85">
        <v>0</v>
      </c>
      <c r="J590" s="85">
        <v>0</v>
      </c>
      <c r="K590" s="85">
        <v>0</v>
      </c>
      <c r="L590" s="85">
        <v>0</v>
      </c>
      <c r="M590" s="85">
        <v>0</v>
      </c>
      <c r="N590" s="85">
        <v>0</v>
      </c>
      <c r="O590" s="85">
        <v>0</v>
      </c>
      <c r="P590" s="85">
        <v>0</v>
      </c>
      <c r="Q590" s="85">
        <v>0</v>
      </c>
      <c r="R590" s="85">
        <v>0</v>
      </c>
      <c r="S590" s="85">
        <v>0</v>
      </c>
      <c r="T590" s="85">
        <v>0</v>
      </c>
      <c r="U590" s="85">
        <v>0</v>
      </c>
      <c r="V590" s="85">
        <v>0</v>
      </c>
      <c r="W590" s="85">
        <v>0</v>
      </c>
      <c r="X590" s="85">
        <v>0</v>
      </c>
      <c r="Y590" s="85">
        <v>0</v>
      </c>
      <c r="Z590" s="85">
        <v>0</v>
      </c>
      <c r="AA590" s="85">
        <v>0</v>
      </c>
      <c r="AB590" s="85">
        <v>0</v>
      </c>
      <c r="AC590" s="85">
        <v>0</v>
      </c>
      <c r="AD590" s="85"/>
    </row>
    <row r="591" spans="1:30">
      <c r="A591" s="82" t="s">
        <v>98</v>
      </c>
      <c r="B591" s="83" t="s">
        <v>595</v>
      </c>
      <c r="C591" s="85">
        <v>0</v>
      </c>
      <c r="D591" s="85">
        <v>0</v>
      </c>
      <c r="E591" s="85">
        <v>0</v>
      </c>
      <c r="F591" s="85">
        <v>0</v>
      </c>
      <c r="G591" s="85">
        <v>0</v>
      </c>
      <c r="H591" s="85">
        <v>0</v>
      </c>
      <c r="I591" s="85">
        <v>0</v>
      </c>
      <c r="J591" s="85">
        <v>0</v>
      </c>
      <c r="K591" s="85">
        <v>0</v>
      </c>
      <c r="L591" s="85">
        <v>0</v>
      </c>
      <c r="M591" s="85">
        <v>0</v>
      </c>
      <c r="N591" s="85">
        <v>0</v>
      </c>
      <c r="O591" s="85">
        <v>0</v>
      </c>
      <c r="P591" s="85">
        <f>1.65*0.11</f>
        <v>0.18149999999999999</v>
      </c>
      <c r="Q591" s="85">
        <f>2.8*0.11</f>
        <v>0.308</v>
      </c>
      <c r="R591" s="85">
        <f>2*0.11</f>
        <v>0.22</v>
      </c>
      <c r="S591" s="85">
        <f>2.18*0.11</f>
        <v>0.23980000000000001</v>
      </c>
      <c r="T591" s="85">
        <v>0</v>
      </c>
      <c r="U591" s="85">
        <f>0.8*0.11</f>
        <v>8.8000000000000009E-2</v>
      </c>
      <c r="V591" s="85">
        <f>0.75*0.11</f>
        <v>8.2500000000000004E-2</v>
      </c>
      <c r="W591" s="85">
        <f>0.55*0.11</f>
        <v>6.0500000000000005E-2</v>
      </c>
      <c r="X591" s="85">
        <v>0</v>
      </c>
      <c r="Y591" s="85">
        <v>0</v>
      </c>
      <c r="Z591" s="85">
        <v>0</v>
      </c>
      <c r="AA591" s="85">
        <v>0</v>
      </c>
      <c r="AB591" s="85">
        <v>0</v>
      </c>
      <c r="AC591" s="85">
        <v>0</v>
      </c>
      <c r="AD591" s="85"/>
    </row>
    <row r="592" spans="1:30">
      <c r="A592" s="82" t="s">
        <v>98</v>
      </c>
      <c r="B592" s="83" t="s">
        <v>596</v>
      </c>
      <c r="C592" s="85">
        <v>0</v>
      </c>
      <c r="D592" s="85">
        <v>0</v>
      </c>
      <c r="E592" s="85">
        <v>0</v>
      </c>
      <c r="F592" s="85">
        <v>0</v>
      </c>
      <c r="G592" s="85">
        <v>0</v>
      </c>
      <c r="H592" s="85">
        <v>0</v>
      </c>
      <c r="I592" s="85">
        <v>0</v>
      </c>
      <c r="J592" s="85">
        <v>0</v>
      </c>
      <c r="K592" s="85">
        <v>0</v>
      </c>
      <c r="L592" s="85">
        <v>0</v>
      </c>
      <c r="M592" s="85">
        <v>0</v>
      </c>
      <c r="N592" s="85">
        <v>0</v>
      </c>
      <c r="O592" s="85">
        <v>0</v>
      </c>
      <c r="P592" s="85">
        <v>0</v>
      </c>
      <c r="Q592" s="85">
        <v>0</v>
      </c>
      <c r="R592" s="85">
        <v>0</v>
      </c>
      <c r="S592" s="85">
        <v>0</v>
      </c>
      <c r="T592" s="85">
        <v>0</v>
      </c>
      <c r="U592" s="85">
        <v>0</v>
      </c>
      <c r="V592" s="85">
        <v>0</v>
      </c>
      <c r="W592" s="85">
        <v>0</v>
      </c>
      <c r="X592" s="85">
        <v>0</v>
      </c>
      <c r="Y592" s="85">
        <v>0</v>
      </c>
      <c r="Z592" s="85">
        <v>0</v>
      </c>
      <c r="AA592" s="85">
        <v>0</v>
      </c>
      <c r="AB592" s="85">
        <v>0</v>
      </c>
      <c r="AC592" s="85">
        <v>0</v>
      </c>
      <c r="AD592" s="85"/>
    </row>
    <row r="593" spans="1:30">
      <c r="A593" s="82" t="s">
        <v>98</v>
      </c>
      <c r="B593" s="83" t="s">
        <v>594</v>
      </c>
      <c r="C593" s="85">
        <f>2.29*0.055</f>
        <v>0.12595000000000001</v>
      </c>
      <c r="D593" s="85">
        <f>121.6*0.055</f>
        <v>6.6879999999999997</v>
      </c>
      <c r="E593" s="85">
        <f>121.6*0.055</f>
        <v>6.6879999999999997</v>
      </c>
      <c r="F593" s="85">
        <f>138.704*0.055</f>
        <v>7.6287200000000004</v>
      </c>
      <c r="G593" s="85">
        <f>138.704*0.055</f>
        <v>7.6287200000000004</v>
      </c>
      <c r="H593" s="85">
        <v>0</v>
      </c>
      <c r="I593" s="85">
        <v>0</v>
      </c>
      <c r="J593" s="85">
        <v>0</v>
      </c>
      <c r="K593" s="85">
        <v>0</v>
      </c>
      <c r="L593" s="85">
        <v>0</v>
      </c>
      <c r="M593" s="85">
        <v>0</v>
      </c>
      <c r="N593" s="85">
        <v>0</v>
      </c>
      <c r="O593" s="85">
        <f>215*0.055</f>
        <v>11.824999999999999</v>
      </c>
      <c r="P593" s="85">
        <f>101.7*0.055</f>
        <v>5.5935000000000006</v>
      </c>
      <c r="Q593" s="85">
        <f>103.98*0.055</f>
        <v>5.7189000000000005</v>
      </c>
      <c r="R593" s="85">
        <f>190.74*0.055</f>
        <v>10.4907</v>
      </c>
      <c r="S593" s="85">
        <f>176.53*0.055</f>
        <v>9.7091499999999993</v>
      </c>
      <c r="T593" s="85">
        <f>(137-50.47)*0.055</f>
        <v>4.75915</v>
      </c>
      <c r="U593" s="85">
        <f>126*0.055</f>
        <v>6.93</v>
      </c>
      <c r="V593" s="85">
        <f>64.596*0.055</f>
        <v>3.5527800000000003</v>
      </c>
      <c r="W593" s="85">
        <f>96.401*0.055</f>
        <v>5.3020550000000002</v>
      </c>
      <c r="X593" s="85">
        <f>65.09*0.055</f>
        <v>3.5799500000000002</v>
      </c>
      <c r="Y593" s="85">
        <f>(48.7-0.1612)*0.055</f>
        <v>2.6696340000000003</v>
      </c>
      <c r="Z593" s="85">
        <f>31*0.055</f>
        <v>1.7050000000000001</v>
      </c>
      <c r="AA593" s="85">
        <f>14*0.055</f>
        <v>0.77</v>
      </c>
      <c r="AB593" s="85">
        <f>13.5*0.055</f>
        <v>0.74250000000000005</v>
      </c>
      <c r="AC593" s="85">
        <f>13*0.055</f>
        <v>0.71499999999999997</v>
      </c>
      <c r="AD593" s="85"/>
    </row>
    <row r="594" spans="1:30">
      <c r="A594" s="82" t="s">
        <v>98</v>
      </c>
      <c r="B594" s="87" t="s">
        <v>643</v>
      </c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>
        <v>0</v>
      </c>
      <c r="O594" s="85">
        <v>0</v>
      </c>
      <c r="P594" s="85">
        <v>0</v>
      </c>
      <c r="Q594" s="85">
        <v>0</v>
      </c>
      <c r="R594" s="85">
        <v>0</v>
      </c>
      <c r="S594" s="85">
        <v>0</v>
      </c>
      <c r="T594" s="85">
        <v>0</v>
      </c>
      <c r="U594" s="85">
        <v>0</v>
      </c>
      <c r="V594" s="85">
        <v>0</v>
      </c>
      <c r="W594" s="85">
        <v>0</v>
      </c>
      <c r="X594" s="85">
        <v>0</v>
      </c>
      <c r="Y594" s="85">
        <v>0</v>
      </c>
      <c r="Z594" s="85">
        <v>0</v>
      </c>
      <c r="AA594" s="85">
        <v>0</v>
      </c>
      <c r="AB594" s="85">
        <v>0</v>
      </c>
      <c r="AC594" s="85">
        <v>0</v>
      </c>
      <c r="AD594" s="85"/>
    </row>
    <row r="595" spans="1:30">
      <c r="A595" s="82" t="s">
        <v>772</v>
      </c>
      <c r="B595" s="83" t="s">
        <v>597</v>
      </c>
      <c r="C595" s="84" t="s">
        <v>680</v>
      </c>
      <c r="D595" s="84" t="s">
        <v>680</v>
      </c>
      <c r="E595" s="84" t="s">
        <v>680</v>
      </c>
      <c r="F595" s="84" t="s">
        <v>680</v>
      </c>
      <c r="G595" s="84" t="s">
        <v>680</v>
      </c>
      <c r="H595" s="84" t="s">
        <v>680</v>
      </c>
      <c r="I595" s="84" t="s">
        <v>680</v>
      </c>
      <c r="J595" s="84" t="s">
        <v>680</v>
      </c>
      <c r="K595" s="85">
        <v>0</v>
      </c>
      <c r="L595" s="85"/>
      <c r="M595" s="85">
        <v>0</v>
      </c>
      <c r="N595" s="85">
        <v>0</v>
      </c>
      <c r="O595" s="85"/>
      <c r="P595" s="85">
        <v>0</v>
      </c>
      <c r="Q595" s="85">
        <v>0</v>
      </c>
      <c r="R595" s="85">
        <v>0</v>
      </c>
      <c r="S595" s="85">
        <v>0</v>
      </c>
      <c r="T595" s="85">
        <v>0</v>
      </c>
      <c r="U595" s="85">
        <v>0</v>
      </c>
      <c r="V595" s="85">
        <v>0</v>
      </c>
      <c r="W595" s="85">
        <v>0</v>
      </c>
      <c r="X595" s="85">
        <v>0</v>
      </c>
      <c r="Y595" s="85">
        <v>0</v>
      </c>
      <c r="Z595" s="85">
        <v>0</v>
      </c>
      <c r="AA595" s="85">
        <v>0</v>
      </c>
      <c r="AB595" s="85">
        <v>0</v>
      </c>
      <c r="AC595" s="85">
        <v>0</v>
      </c>
      <c r="AD595" s="85"/>
    </row>
    <row r="596" spans="1:30">
      <c r="A596" s="82" t="s">
        <v>772</v>
      </c>
      <c r="B596" s="83" t="s">
        <v>600</v>
      </c>
      <c r="C596" s="84" t="s">
        <v>680</v>
      </c>
      <c r="D596" s="84" t="s">
        <v>680</v>
      </c>
      <c r="E596" s="84" t="s">
        <v>680</v>
      </c>
      <c r="F596" s="84" t="s">
        <v>680</v>
      </c>
      <c r="G596" s="84" t="s">
        <v>680</v>
      </c>
      <c r="H596" s="84" t="s">
        <v>680</v>
      </c>
      <c r="I596" s="84" t="s">
        <v>680</v>
      </c>
      <c r="J596" s="84" t="s">
        <v>680</v>
      </c>
      <c r="K596" s="85">
        <v>0</v>
      </c>
      <c r="L596" s="85"/>
      <c r="M596" s="85">
        <v>0</v>
      </c>
      <c r="N596" s="85">
        <v>0</v>
      </c>
      <c r="O596" s="85"/>
      <c r="P596" s="85">
        <v>0</v>
      </c>
      <c r="Q596" s="85">
        <v>0</v>
      </c>
      <c r="R596" s="85">
        <v>0</v>
      </c>
      <c r="S596" s="85">
        <v>0</v>
      </c>
      <c r="T596" s="85">
        <v>0</v>
      </c>
      <c r="U596" s="85">
        <v>0</v>
      </c>
      <c r="V596" s="85">
        <v>0</v>
      </c>
      <c r="W596" s="85">
        <v>0</v>
      </c>
      <c r="X596" s="85">
        <v>0</v>
      </c>
      <c r="Y596" s="85">
        <v>0</v>
      </c>
      <c r="Z596" s="85">
        <v>0</v>
      </c>
      <c r="AA596" s="85">
        <v>0</v>
      </c>
      <c r="AB596" s="85">
        <v>0</v>
      </c>
      <c r="AC596" s="85">
        <v>0</v>
      </c>
      <c r="AD596" s="85"/>
    </row>
    <row r="597" spans="1:30">
      <c r="A597" s="82" t="s">
        <v>772</v>
      </c>
      <c r="B597" s="83" t="s">
        <v>595</v>
      </c>
      <c r="C597" s="84" t="s">
        <v>680</v>
      </c>
      <c r="D597" s="84" t="s">
        <v>680</v>
      </c>
      <c r="E597" s="84" t="s">
        <v>680</v>
      </c>
      <c r="F597" s="84" t="s">
        <v>680</v>
      </c>
      <c r="G597" s="84" t="s">
        <v>680</v>
      </c>
      <c r="H597" s="84" t="s">
        <v>680</v>
      </c>
      <c r="I597" s="84" t="s">
        <v>680</v>
      </c>
      <c r="J597" s="84" t="s">
        <v>680</v>
      </c>
      <c r="K597" s="85">
        <v>0</v>
      </c>
      <c r="L597" s="85"/>
      <c r="M597" s="85">
        <v>0</v>
      </c>
      <c r="N597" s="85">
        <v>0</v>
      </c>
      <c r="O597" s="85"/>
      <c r="P597" s="85">
        <v>0</v>
      </c>
      <c r="Q597" s="85">
        <v>0</v>
      </c>
      <c r="R597" s="85">
        <v>0</v>
      </c>
      <c r="S597" s="85">
        <v>0</v>
      </c>
      <c r="T597" s="85">
        <v>0</v>
      </c>
      <c r="U597" s="85">
        <v>0</v>
      </c>
      <c r="V597" s="85">
        <v>0</v>
      </c>
      <c r="W597" s="85">
        <v>0</v>
      </c>
      <c r="X597" s="85">
        <v>0</v>
      </c>
      <c r="Y597" s="85">
        <v>0</v>
      </c>
      <c r="Z597" s="85">
        <v>0</v>
      </c>
      <c r="AA597" s="85">
        <v>0</v>
      </c>
      <c r="AB597" s="85">
        <v>0</v>
      </c>
      <c r="AC597" s="85">
        <v>0</v>
      </c>
      <c r="AD597" s="85"/>
    </row>
    <row r="598" spans="1:30">
      <c r="A598" s="82" t="s">
        <v>772</v>
      </c>
      <c r="B598" s="83" t="s">
        <v>596</v>
      </c>
      <c r="C598" s="84" t="s">
        <v>680</v>
      </c>
      <c r="D598" s="84" t="s">
        <v>680</v>
      </c>
      <c r="E598" s="84" t="s">
        <v>680</v>
      </c>
      <c r="F598" s="84" t="s">
        <v>680</v>
      </c>
      <c r="G598" s="84" t="s">
        <v>680</v>
      </c>
      <c r="H598" s="84" t="s">
        <v>680</v>
      </c>
      <c r="I598" s="84" t="s">
        <v>680</v>
      </c>
      <c r="J598" s="84" t="s">
        <v>680</v>
      </c>
      <c r="K598" s="85">
        <v>0</v>
      </c>
      <c r="L598" s="85"/>
      <c r="M598" s="85">
        <v>0</v>
      </c>
      <c r="N598" s="85">
        <v>0</v>
      </c>
      <c r="O598" s="85"/>
      <c r="P598" s="85">
        <v>0</v>
      </c>
      <c r="Q598" s="85">
        <v>0</v>
      </c>
      <c r="R598" s="85">
        <v>0</v>
      </c>
      <c r="S598" s="85">
        <v>0</v>
      </c>
      <c r="T598" s="85">
        <v>0</v>
      </c>
      <c r="U598" s="85">
        <v>0</v>
      </c>
      <c r="V598" s="85">
        <v>0</v>
      </c>
      <c r="W598" s="85">
        <v>0</v>
      </c>
      <c r="X598" s="85">
        <v>0</v>
      </c>
      <c r="Y598" s="85">
        <v>0</v>
      </c>
      <c r="Z598" s="85">
        <v>0</v>
      </c>
      <c r="AA598" s="85">
        <v>0</v>
      </c>
      <c r="AB598" s="85">
        <v>0</v>
      </c>
      <c r="AC598" s="85">
        <v>0</v>
      </c>
      <c r="AD598" s="85"/>
    </row>
    <row r="599" spans="1:30">
      <c r="A599" s="82" t="s">
        <v>772</v>
      </c>
      <c r="B599" s="83" t="s">
        <v>594</v>
      </c>
      <c r="C599" s="84" t="s">
        <v>680</v>
      </c>
      <c r="D599" s="84" t="s">
        <v>680</v>
      </c>
      <c r="E599" s="84" t="s">
        <v>680</v>
      </c>
      <c r="F599" s="84" t="s">
        <v>680</v>
      </c>
      <c r="G599" s="84" t="s">
        <v>680</v>
      </c>
      <c r="H599" s="84" t="s">
        <v>680</v>
      </c>
      <c r="I599" s="84" t="s">
        <v>680</v>
      </c>
      <c r="J599" s="84" t="s">
        <v>680</v>
      </c>
      <c r="K599" s="85">
        <f>0.1256*0.055</f>
        <v>6.9079999999999992E-3</v>
      </c>
      <c r="L599" s="85"/>
      <c r="M599" s="85">
        <f>0.04*0.055</f>
        <v>2.2000000000000001E-3</v>
      </c>
      <c r="N599" s="85">
        <f>0.02*0.055</f>
        <v>1.1000000000000001E-3</v>
      </c>
      <c r="O599" s="85"/>
      <c r="P599" s="85">
        <f>0.14*0.055</f>
        <v>7.7000000000000011E-3</v>
      </c>
      <c r="Q599" s="85">
        <f>0.1*0.055</f>
        <v>5.5000000000000005E-3</v>
      </c>
      <c r="R599" s="85">
        <f>0.26*0.055</f>
        <v>1.43E-2</v>
      </c>
      <c r="S599" s="85">
        <f>0.11*0.055</f>
        <v>6.0499999999999998E-3</v>
      </c>
      <c r="T599" s="85">
        <f>0.13*0.055</f>
        <v>7.1500000000000001E-3</v>
      </c>
      <c r="U599" s="85">
        <f>0.15*0.055</f>
        <v>8.2500000000000004E-3</v>
      </c>
      <c r="V599" s="85">
        <v>0</v>
      </c>
      <c r="W599" s="85">
        <f>0.3*0.055</f>
        <v>1.6500000000000001E-2</v>
      </c>
      <c r="X599" s="85">
        <f>0.15*0.055</f>
        <v>8.2500000000000004E-3</v>
      </c>
      <c r="Y599" s="85">
        <v>0</v>
      </c>
      <c r="Z599" s="85">
        <v>0</v>
      </c>
      <c r="AA599" s="85">
        <v>0</v>
      </c>
      <c r="AB599" s="85">
        <v>0</v>
      </c>
      <c r="AC599" s="85">
        <v>0</v>
      </c>
      <c r="AD599" s="85"/>
    </row>
    <row r="600" spans="1:30">
      <c r="A600" s="82" t="s">
        <v>772</v>
      </c>
      <c r="B600" s="87" t="s">
        <v>643</v>
      </c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>
        <v>0</v>
      </c>
      <c r="N600" s="85">
        <v>0</v>
      </c>
      <c r="O600" s="85"/>
      <c r="P600" s="85">
        <v>0</v>
      </c>
      <c r="Q600" s="85">
        <v>0</v>
      </c>
      <c r="R600" s="85">
        <v>0</v>
      </c>
      <c r="S600" s="85">
        <v>0</v>
      </c>
      <c r="T600" s="85">
        <v>0</v>
      </c>
      <c r="U600" s="85">
        <v>0</v>
      </c>
      <c r="V600" s="85">
        <v>0</v>
      </c>
      <c r="W600" s="85">
        <v>0</v>
      </c>
      <c r="X600" s="85">
        <v>0</v>
      </c>
      <c r="Y600" s="85">
        <v>0</v>
      </c>
      <c r="Z600" s="85">
        <v>0</v>
      </c>
      <c r="AA600" s="85">
        <v>0</v>
      </c>
      <c r="AB600" s="85">
        <v>0</v>
      </c>
      <c r="AC600" s="85">
        <v>0</v>
      </c>
      <c r="AD600" s="85"/>
    </row>
    <row r="601" spans="1:30">
      <c r="A601" s="82" t="s">
        <v>99</v>
      </c>
      <c r="B601" s="83" t="s">
        <v>597</v>
      </c>
      <c r="C601" s="84" t="s">
        <v>680</v>
      </c>
      <c r="D601" s="84" t="s">
        <v>680</v>
      </c>
      <c r="E601" s="84" t="s">
        <v>680</v>
      </c>
      <c r="F601" s="84" t="s">
        <v>680</v>
      </c>
      <c r="G601" s="84" t="s">
        <v>680</v>
      </c>
      <c r="H601" s="85">
        <v>0</v>
      </c>
      <c r="I601" s="84" t="s">
        <v>680</v>
      </c>
      <c r="J601" s="85">
        <v>0</v>
      </c>
      <c r="K601" s="85">
        <v>0</v>
      </c>
      <c r="L601" s="85"/>
      <c r="M601" s="85">
        <v>0</v>
      </c>
      <c r="N601" s="85">
        <v>0</v>
      </c>
      <c r="O601" s="85">
        <v>0</v>
      </c>
      <c r="P601" s="85">
        <v>0</v>
      </c>
      <c r="Q601" s="85">
        <v>0</v>
      </c>
      <c r="R601" s="85">
        <v>0</v>
      </c>
      <c r="S601" s="85">
        <v>0</v>
      </c>
      <c r="T601" s="85">
        <v>0</v>
      </c>
      <c r="U601" s="85">
        <v>0</v>
      </c>
      <c r="V601" s="85">
        <v>0</v>
      </c>
      <c r="W601" s="85">
        <v>0</v>
      </c>
      <c r="X601" s="85">
        <v>0</v>
      </c>
      <c r="Y601" s="85">
        <v>0</v>
      </c>
      <c r="Z601" s="85">
        <v>0</v>
      </c>
      <c r="AA601" s="85">
        <v>0</v>
      </c>
      <c r="AB601" s="85">
        <v>0</v>
      </c>
      <c r="AC601" s="85">
        <v>0</v>
      </c>
      <c r="AD601" s="85"/>
    </row>
    <row r="602" spans="1:30">
      <c r="A602" s="82" t="s">
        <v>99</v>
      </c>
      <c r="B602" s="83" t="s">
        <v>600</v>
      </c>
      <c r="C602" s="84" t="s">
        <v>680</v>
      </c>
      <c r="D602" s="84" t="s">
        <v>680</v>
      </c>
      <c r="E602" s="84" t="s">
        <v>680</v>
      </c>
      <c r="F602" s="84" t="s">
        <v>680</v>
      </c>
      <c r="G602" s="84" t="s">
        <v>680</v>
      </c>
      <c r="H602" s="85">
        <v>0</v>
      </c>
      <c r="I602" s="84" t="s">
        <v>680</v>
      </c>
      <c r="J602" s="85">
        <v>0</v>
      </c>
      <c r="K602" s="85">
        <v>0</v>
      </c>
      <c r="L602" s="85"/>
      <c r="M602" s="85">
        <v>0</v>
      </c>
      <c r="N602" s="85">
        <v>0</v>
      </c>
      <c r="O602" s="85">
        <v>0</v>
      </c>
      <c r="P602" s="85">
        <v>0</v>
      </c>
      <c r="Q602" s="85">
        <v>0</v>
      </c>
      <c r="R602" s="85">
        <v>0</v>
      </c>
      <c r="S602" s="85">
        <v>0</v>
      </c>
      <c r="T602" s="85">
        <v>0</v>
      </c>
      <c r="U602" s="85">
        <v>0</v>
      </c>
      <c r="V602" s="85">
        <v>0</v>
      </c>
      <c r="W602" s="85">
        <v>0</v>
      </c>
      <c r="X602" s="85">
        <v>0</v>
      </c>
      <c r="Y602" s="85">
        <v>0</v>
      </c>
      <c r="Z602" s="85">
        <v>0</v>
      </c>
      <c r="AA602" s="85">
        <v>0</v>
      </c>
      <c r="AB602" s="85">
        <v>0</v>
      </c>
      <c r="AC602" s="85">
        <v>0</v>
      </c>
      <c r="AD602" s="85"/>
    </row>
    <row r="603" spans="1:30">
      <c r="A603" s="82" t="s">
        <v>99</v>
      </c>
      <c r="B603" s="83" t="s">
        <v>595</v>
      </c>
      <c r="C603" s="84" t="s">
        <v>680</v>
      </c>
      <c r="D603" s="84" t="s">
        <v>680</v>
      </c>
      <c r="E603" s="84" t="s">
        <v>680</v>
      </c>
      <c r="F603" s="84" t="s">
        <v>680</v>
      </c>
      <c r="G603" s="84" t="s">
        <v>680</v>
      </c>
      <c r="H603" s="85">
        <v>0</v>
      </c>
      <c r="I603" s="84" t="s">
        <v>680</v>
      </c>
      <c r="J603" s="85">
        <v>0</v>
      </c>
      <c r="K603" s="85">
        <v>0</v>
      </c>
      <c r="L603" s="85"/>
      <c r="M603" s="85">
        <v>0</v>
      </c>
      <c r="N603" s="85">
        <v>0</v>
      </c>
      <c r="O603" s="85">
        <v>0</v>
      </c>
      <c r="P603" s="85">
        <v>0</v>
      </c>
      <c r="Q603" s="85">
        <v>0</v>
      </c>
      <c r="R603" s="85">
        <v>0</v>
      </c>
      <c r="S603" s="85">
        <v>0</v>
      </c>
      <c r="T603" s="85">
        <v>0</v>
      </c>
      <c r="U603" s="85">
        <v>0</v>
      </c>
      <c r="V603" s="85">
        <v>0</v>
      </c>
      <c r="W603" s="85">
        <v>0</v>
      </c>
      <c r="X603" s="85">
        <v>0</v>
      </c>
      <c r="Y603" s="85">
        <v>0</v>
      </c>
      <c r="Z603" s="85">
        <v>0</v>
      </c>
      <c r="AA603" s="85">
        <v>0</v>
      </c>
      <c r="AB603" s="85">
        <v>0</v>
      </c>
      <c r="AC603" s="85">
        <v>0</v>
      </c>
      <c r="AD603" s="85"/>
    </row>
    <row r="604" spans="1:30">
      <c r="A604" s="82" t="s">
        <v>99</v>
      </c>
      <c r="B604" s="83" t="s">
        <v>596</v>
      </c>
      <c r="C604" s="84" t="s">
        <v>680</v>
      </c>
      <c r="D604" s="84" t="s">
        <v>680</v>
      </c>
      <c r="E604" s="84" t="s">
        <v>680</v>
      </c>
      <c r="F604" s="84" t="s">
        <v>680</v>
      </c>
      <c r="G604" s="84" t="s">
        <v>680</v>
      </c>
      <c r="H604" s="85">
        <v>0</v>
      </c>
      <c r="I604" s="84" t="s">
        <v>680</v>
      </c>
      <c r="J604" s="85">
        <v>0</v>
      </c>
      <c r="K604" s="85">
        <v>0</v>
      </c>
      <c r="L604" s="85"/>
      <c r="M604" s="85">
        <v>0</v>
      </c>
      <c r="N604" s="85">
        <v>0</v>
      </c>
      <c r="O604" s="85">
        <v>0</v>
      </c>
      <c r="P604" s="85">
        <v>0</v>
      </c>
      <c r="Q604" s="85">
        <v>0</v>
      </c>
      <c r="R604" s="85">
        <v>0</v>
      </c>
      <c r="S604" s="85">
        <v>0</v>
      </c>
      <c r="T604" s="85">
        <v>0</v>
      </c>
      <c r="U604" s="85">
        <v>0</v>
      </c>
      <c r="V604" s="85">
        <v>0</v>
      </c>
      <c r="W604" s="85">
        <v>0</v>
      </c>
      <c r="X604" s="85">
        <v>0</v>
      </c>
      <c r="Y604" s="85">
        <v>0</v>
      </c>
      <c r="Z604" s="85">
        <v>0</v>
      </c>
      <c r="AA604" s="85">
        <v>0</v>
      </c>
      <c r="AB604" s="85">
        <v>0</v>
      </c>
      <c r="AC604" s="85">
        <v>0</v>
      </c>
      <c r="AD604" s="85"/>
    </row>
    <row r="605" spans="1:30">
      <c r="A605" s="82" t="s">
        <v>99</v>
      </c>
      <c r="B605" s="83" t="s">
        <v>594</v>
      </c>
      <c r="C605" s="84" t="s">
        <v>680</v>
      </c>
      <c r="D605" s="84" t="s">
        <v>680</v>
      </c>
      <c r="E605" s="84" t="s">
        <v>680</v>
      </c>
      <c r="F605" s="84" t="s">
        <v>680</v>
      </c>
      <c r="G605" s="84" t="s">
        <v>680</v>
      </c>
      <c r="H605" s="85">
        <f>78*0.055</f>
        <v>4.29</v>
      </c>
      <c r="I605" s="84" t="s">
        <v>680</v>
      </c>
      <c r="J605" s="85">
        <f>30*0.055</f>
        <v>1.65</v>
      </c>
      <c r="K605" s="85">
        <v>0</v>
      </c>
      <c r="L605" s="85"/>
      <c r="M605" s="85">
        <f>20*0.055</f>
        <v>1.1000000000000001</v>
      </c>
      <c r="N605" s="85">
        <v>0</v>
      </c>
      <c r="O605" s="85">
        <f>20*0.055</f>
        <v>1.1000000000000001</v>
      </c>
      <c r="P605" s="85">
        <f>20*0.055</f>
        <v>1.1000000000000001</v>
      </c>
      <c r="Q605" s="85">
        <f>20*0.055</f>
        <v>1.1000000000000001</v>
      </c>
      <c r="R605" s="85">
        <f>20*0.055</f>
        <v>1.1000000000000001</v>
      </c>
      <c r="S605" s="85">
        <f>20*0.055</f>
        <v>1.1000000000000001</v>
      </c>
      <c r="T605" s="85">
        <f>13.5*0.055</f>
        <v>0.74250000000000005</v>
      </c>
      <c r="U605" s="85">
        <f>12*0.055</f>
        <v>0.66</v>
      </c>
      <c r="V605" s="85">
        <f>15*0.055</f>
        <v>0.82499999999999996</v>
      </c>
      <c r="W605" s="85">
        <f>2*0.055</f>
        <v>0.11</v>
      </c>
      <c r="X605" s="85">
        <f>15.2*0.055</f>
        <v>0.83599999999999997</v>
      </c>
      <c r="Y605" s="85">
        <f>11.65*0.055</f>
        <v>0.64075000000000004</v>
      </c>
      <c r="Z605" s="85">
        <f>15.04*0.055</f>
        <v>0.82719999999999994</v>
      </c>
      <c r="AA605" s="85">
        <f>11.71*0.055</f>
        <v>0.64405000000000001</v>
      </c>
      <c r="AB605" s="85">
        <f>7.42*0.055</f>
        <v>0.40810000000000002</v>
      </c>
      <c r="AC605" s="85">
        <f>3.79*0.055</f>
        <v>0.20845</v>
      </c>
      <c r="AD605" s="85"/>
    </row>
    <row r="606" spans="1:30">
      <c r="A606" s="82" t="s">
        <v>99</v>
      </c>
      <c r="B606" s="87" t="s">
        <v>643</v>
      </c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>
        <v>0</v>
      </c>
      <c r="O606" s="85">
        <v>0</v>
      </c>
      <c r="P606" s="85">
        <v>0</v>
      </c>
      <c r="Q606" s="85">
        <v>0</v>
      </c>
      <c r="R606" s="85">
        <v>0</v>
      </c>
      <c r="S606" s="85">
        <v>0</v>
      </c>
      <c r="T606" s="85">
        <v>0</v>
      </c>
      <c r="U606" s="85">
        <v>0</v>
      </c>
      <c r="V606" s="85">
        <v>0</v>
      </c>
      <c r="W606" s="85">
        <v>0</v>
      </c>
      <c r="X606" s="85">
        <v>0</v>
      </c>
      <c r="Y606" s="85">
        <v>0</v>
      </c>
      <c r="Z606" s="85">
        <v>0</v>
      </c>
      <c r="AA606" s="85">
        <v>0</v>
      </c>
      <c r="AB606" s="85">
        <v>0</v>
      </c>
      <c r="AC606" s="85">
        <v>0</v>
      </c>
      <c r="AD606" s="85"/>
    </row>
    <row r="607" spans="1:30">
      <c r="A607" s="82" t="s">
        <v>101</v>
      </c>
      <c r="B607" s="83" t="s">
        <v>597</v>
      </c>
      <c r="C607" s="84" t="s">
        <v>680</v>
      </c>
      <c r="D607" s="84" t="s">
        <v>680</v>
      </c>
      <c r="E607" s="84" t="s">
        <v>680</v>
      </c>
      <c r="F607" s="85">
        <v>0</v>
      </c>
      <c r="G607" s="85">
        <v>0</v>
      </c>
      <c r="H607" s="85">
        <v>0</v>
      </c>
      <c r="I607" s="84" t="s">
        <v>680</v>
      </c>
      <c r="J607" s="84" t="s">
        <v>680</v>
      </c>
      <c r="K607" s="85">
        <v>0</v>
      </c>
      <c r="L607" s="85">
        <v>0</v>
      </c>
      <c r="M607" s="85">
        <v>0</v>
      </c>
      <c r="N607" s="85">
        <v>0</v>
      </c>
      <c r="O607" s="85">
        <v>0</v>
      </c>
      <c r="P607" s="85">
        <v>0</v>
      </c>
      <c r="Q607" s="85">
        <f>0.18*0.02</f>
        <v>3.5999999999999999E-3</v>
      </c>
      <c r="R607" s="85">
        <f>0.8*0.02</f>
        <v>1.6E-2</v>
      </c>
      <c r="S607" s="85">
        <v>0</v>
      </c>
      <c r="T607" s="85">
        <v>0</v>
      </c>
      <c r="U607" s="85">
        <v>0</v>
      </c>
      <c r="V607" s="85">
        <v>0</v>
      </c>
      <c r="W607" s="85">
        <v>0</v>
      </c>
      <c r="X607" s="85">
        <v>0</v>
      </c>
      <c r="Y607" s="85">
        <v>0</v>
      </c>
      <c r="Z607" s="85">
        <v>0</v>
      </c>
      <c r="AA607" s="85">
        <v>0</v>
      </c>
      <c r="AB607" s="85">
        <v>0</v>
      </c>
      <c r="AC607" s="85">
        <v>0</v>
      </c>
      <c r="AD607" s="85"/>
    </row>
    <row r="608" spans="1:30">
      <c r="A608" s="82" t="s">
        <v>101</v>
      </c>
      <c r="B608" s="83" t="s">
        <v>600</v>
      </c>
      <c r="C608" s="84" t="s">
        <v>680</v>
      </c>
      <c r="D608" s="84" t="s">
        <v>680</v>
      </c>
      <c r="E608" s="84" t="s">
        <v>680</v>
      </c>
      <c r="F608" s="85">
        <v>0</v>
      </c>
      <c r="G608" s="85">
        <v>0</v>
      </c>
      <c r="H608" s="85">
        <v>0</v>
      </c>
      <c r="I608" s="84" t="s">
        <v>680</v>
      </c>
      <c r="J608" s="84" t="s">
        <v>680</v>
      </c>
      <c r="K608" s="85">
        <v>0</v>
      </c>
      <c r="L608" s="85">
        <v>0</v>
      </c>
      <c r="M608" s="85">
        <v>0</v>
      </c>
      <c r="N608" s="85">
        <v>0</v>
      </c>
      <c r="O608" s="85">
        <v>0</v>
      </c>
      <c r="P608" s="85">
        <f>2.84*0.022</f>
        <v>6.2479999999999994E-2</v>
      </c>
      <c r="Q608" s="85">
        <f>0.4*0.022</f>
        <v>8.8000000000000005E-3</v>
      </c>
      <c r="R608" s="85">
        <f>2.29*0.022</f>
        <v>5.0380000000000001E-2</v>
      </c>
      <c r="S608" s="85">
        <f>2.74*0.022</f>
        <v>6.028E-2</v>
      </c>
      <c r="T608" s="85">
        <v>0</v>
      </c>
      <c r="U608" s="85">
        <f>1.61*0.022</f>
        <v>3.542E-2</v>
      </c>
      <c r="V608" s="85">
        <f>0.36*0.022</f>
        <v>7.92E-3</v>
      </c>
      <c r="W608" s="85">
        <f>0.94*0.022</f>
        <v>2.0679999999999997E-2</v>
      </c>
      <c r="X608" s="85">
        <f>0.54*0.022</f>
        <v>1.188E-2</v>
      </c>
      <c r="Y608" s="85">
        <v>0</v>
      </c>
      <c r="Z608" s="85">
        <v>0</v>
      </c>
      <c r="AA608" s="85">
        <v>0</v>
      </c>
      <c r="AB608" s="85">
        <v>0</v>
      </c>
      <c r="AC608" s="85">
        <v>0</v>
      </c>
      <c r="AD608" s="85"/>
    </row>
    <row r="609" spans="1:30">
      <c r="A609" s="82" t="s">
        <v>101</v>
      </c>
      <c r="B609" s="83" t="s">
        <v>595</v>
      </c>
      <c r="C609" s="84" t="s">
        <v>680</v>
      </c>
      <c r="D609" s="84" t="s">
        <v>680</v>
      </c>
      <c r="E609" s="84" t="s">
        <v>680</v>
      </c>
      <c r="F609" s="85">
        <v>0</v>
      </c>
      <c r="G609" s="85">
        <v>0</v>
      </c>
      <c r="H609" s="85">
        <v>0</v>
      </c>
      <c r="I609" s="84" t="s">
        <v>680</v>
      </c>
      <c r="J609" s="84" t="s">
        <v>680</v>
      </c>
      <c r="K609" s="85">
        <v>0</v>
      </c>
      <c r="L609" s="85">
        <v>0</v>
      </c>
      <c r="M609" s="85">
        <v>0</v>
      </c>
      <c r="N609" s="85">
        <v>0</v>
      </c>
      <c r="O609" s="85">
        <v>0</v>
      </c>
      <c r="P609" s="85">
        <f>1.96*0.11</f>
        <v>0.21559999999999999</v>
      </c>
      <c r="Q609" s="85">
        <f>2.71*0.11</f>
        <v>0.29809999999999998</v>
      </c>
      <c r="R609" s="85">
        <f>8.02*0.11</f>
        <v>0.88219999999999998</v>
      </c>
      <c r="S609" s="85">
        <f>8.06*0.11</f>
        <v>0.88660000000000005</v>
      </c>
      <c r="T609" s="85">
        <f>15.32*0.11</f>
        <v>1.6852</v>
      </c>
      <c r="U609" s="85">
        <f>5.12*0.11</f>
        <v>0.56320000000000003</v>
      </c>
      <c r="V609" s="85">
        <f>8.7*0.11</f>
        <v>0.95699999999999996</v>
      </c>
      <c r="W609" s="85">
        <f>11.92*0.11</f>
        <v>1.3111999999999999</v>
      </c>
      <c r="X609" s="85">
        <f>1.56*0.11</f>
        <v>0.1716</v>
      </c>
      <c r="Y609" s="85">
        <v>0</v>
      </c>
      <c r="Z609" s="85">
        <v>0</v>
      </c>
      <c r="AA609" s="85">
        <v>0</v>
      </c>
      <c r="AB609" s="85">
        <v>0</v>
      </c>
      <c r="AC609" s="85">
        <v>0</v>
      </c>
      <c r="AD609" s="85"/>
    </row>
    <row r="610" spans="1:30">
      <c r="A610" s="82" t="s">
        <v>101</v>
      </c>
      <c r="B610" s="83" t="s">
        <v>700</v>
      </c>
      <c r="C610" s="84"/>
      <c r="D610" s="84"/>
      <c r="E610" s="84"/>
      <c r="F610" s="85"/>
      <c r="G610" s="85"/>
      <c r="H610" s="85"/>
      <c r="I610" s="84"/>
      <c r="J610" s="84"/>
      <c r="K610" s="85"/>
      <c r="L610" s="85"/>
      <c r="M610" s="85"/>
      <c r="N610" s="85"/>
      <c r="O610" s="85"/>
      <c r="P610" s="85"/>
      <c r="Q610" s="85">
        <f>22.55*0.11</f>
        <v>2.4805000000000001</v>
      </c>
      <c r="R610" s="85">
        <f>1.16*0.11</f>
        <v>0.12759999999999999</v>
      </c>
      <c r="S610" s="85">
        <f>1.9*0.11</f>
        <v>0.20899999999999999</v>
      </c>
      <c r="T610" s="85">
        <f>4.1*0.11</f>
        <v>0.45099999999999996</v>
      </c>
      <c r="U610" s="85">
        <f>0.14*0.11</f>
        <v>1.5400000000000002E-2</v>
      </c>
      <c r="V610" s="85">
        <f>5.61*0.11</f>
        <v>0.61710000000000009</v>
      </c>
      <c r="W610" s="85">
        <f>2.49*0.11</f>
        <v>0.27390000000000003</v>
      </c>
      <c r="X610" s="85">
        <f>0.61*0.11</f>
        <v>6.7099999999999993E-2</v>
      </c>
      <c r="Y610" s="85">
        <v>0</v>
      </c>
      <c r="Z610" s="85">
        <v>0</v>
      </c>
      <c r="AA610" s="85">
        <v>0</v>
      </c>
      <c r="AB610" s="85">
        <v>0</v>
      </c>
      <c r="AC610" s="85">
        <v>0</v>
      </c>
      <c r="AD610" s="85"/>
    </row>
    <row r="611" spans="1:30">
      <c r="A611" s="82" t="s">
        <v>101</v>
      </c>
      <c r="B611" s="83" t="s">
        <v>596</v>
      </c>
      <c r="C611" s="84" t="s">
        <v>680</v>
      </c>
      <c r="D611" s="84" t="s">
        <v>680</v>
      </c>
      <c r="E611" s="84" t="s">
        <v>680</v>
      </c>
      <c r="F611" s="85">
        <v>0</v>
      </c>
      <c r="G611" s="85">
        <v>0</v>
      </c>
      <c r="H611" s="85">
        <v>0</v>
      </c>
      <c r="I611" s="84" t="s">
        <v>680</v>
      </c>
      <c r="J611" s="84" t="s">
        <v>680</v>
      </c>
      <c r="K611" s="85">
        <v>0</v>
      </c>
      <c r="L611" s="85">
        <v>0</v>
      </c>
      <c r="M611" s="85">
        <v>0</v>
      </c>
      <c r="N611" s="85">
        <v>0</v>
      </c>
      <c r="O611" s="85">
        <v>0</v>
      </c>
      <c r="P611" s="85">
        <v>0</v>
      </c>
      <c r="Q611" s="85">
        <v>0</v>
      </c>
      <c r="R611" s="85">
        <v>0</v>
      </c>
      <c r="S611" s="85">
        <v>0</v>
      </c>
      <c r="T611" s="85">
        <f>3.27*0.022</f>
        <v>7.193999999999999E-2</v>
      </c>
      <c r="U611" s="85">
        <v>0</v>
      </c>
      <c r="V611" s="85">
        <v>0</v>
      </c>
      <c r="W611" s="85">
        <v>0</v>
      </c>
      <c r="X611" s="85">
        <v>0</v>
      </c>
      <c r="Y611" s="85">
        <v>0</v>
      </c>
      <c r="Z611" s="85">
        <v>0</v>
      </c>
      <c r="AA611" s="85">
        <v>0</v>
      </c>
      <c r="AB611" s="85">
        <v>0</v>
      </c>
      <c r="AC611" s="85">
        <v>0</v>
      </c>
      <c r="AD611" s="85"/>
    </row>
    <row r="612" spans="1:30">
      <c r="A612" s="82" t="s">
        <v>101</v>
      </c>
      <c r="B612" s="83" t="s">
        <v>594</v>
      </c>
      <c r="C612" s="84" t="s">
        <v>680</v>
      </c>
      <c r="D612" s="84" t="s">
        <v>680</v>
      </c>
      <c r="E612" s="84" t="s">
        <v>680</v>
      </c>
      <c r="F612" s="85">
        <f>68*0.055</f>
        <v>3.74</v>
      </c>
      <c r="G612" s="85">
        <f>62.6*0.055</f>
        <v>3.4430000000000001</v>
      </c>
      <c r="H612" s="61">
        <f>43.77*0.055</f>
        <v>2.4073500000000001</v>
      </c>
      <c r="I612" s="84" t="s">
        <v>680</v>
      </c>
      <c r="J612" s="84" t="s">
        <v>680</v>
      </c>
      <c r="K612" s="85">
        <f>42.44*0.055</f>
        <v>2.3342000000000001</v>
      </c>
      <c r="L612" s="85">
        <f>40.74*0.055</f>
        <v>2.2406999999999999</v>
      </c>
      <c r="M612" s="85">
        <f>61.05*0.055</f>
        <v>3.3577499999999998</v>
      </c>
      <c r="N612" s="85">
        <v>0</v>
      </c>
      <c r="O612" s="100">
        <f>51.23*0.055</f>
        <v>2.81765</v>
      </c>
      <c r="P612" s="85">
        <f>66.04*0.055</f>
        <v>3.6322000000000005</v>
      </c>
      <c r="Q612" s="85">
        <f>102.66*0.055</f>
        <v>5.6463000000000001</v>
      </c>
      <c r="R612" s="85">
        <f>119.66*0.055</f>
        <v>6.5812999999999997</v>
      </c>
      <c r="S612" s="85">
        <f>81.06*0.055</f>
        <v>4.4583000000000004</v>
      </c>
      <c r="T612" s="85">
        <f>183.95*0.055</f>
        <v>10.11725</v>
      </c>
      <c r="U612" s="85">
        <f>53.86*0.055</f>
        <v>2.9622999999999999</v>
      </c>
      <c r="V612" s="85">
        <f>80.67*0.055</f>
        <v>4.4368499999999997</v>
      </c>
      <c r="W612" s="85">
        <f>79.35*0.055</f>
        <v>4.3642499999999993</v>
      </c>
      <c r="X612" s="85">
        <f>85.55*0.055</f>
        <v>4.7052499999999995</v>
      </c>
      <c r="Y612" s="85">
        <f>76.69*0.055</f>
        <v>4.2179500000000001</v>
      </c>
      <c r="Z612" s="85">
        <f>18.05*0.055</f>
        <v>0.99275000000000002</v>
      </c>
      <c r="AA612" s="85">
        <f>54*0.055</f>
        <v>2.97</v>
      </c>
      <c r="AB612" s="85">
        <f>49.8*0.055</f>
        <v>2.7389999999999999</v>
      </c>
      <c r="AC612" s="85">
        <f>44.91*0.055</f>
        <v>2.4700499999999996</v>
      </c>
      <c r="AD612" s="85"/>
    </row>
    <row r="613" spans="1:30">
      <c r="A613" s="82" t="s">
        <v>101</v>
      </c>
      <c r="B613" s="87" t="s">
        <v>643</v>
      </c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>
        <v>0</v>
      </c>
      <c r="O613" s="85">
        <v>0</v>
      </c>
      <c r="P613" s="85">
        <v>0</v>
      </c>
      <c r="Q613" s="85">
        <v>0</v>
      </c>
      <c r="R613" s="85">
        <v>0</v>
      </c>
      <c r="S613" s="85">
        <v>0</v>
      </c>
      <c r="T613" s="85">
        <v>0</v>
      </c>
      <c r="U613" s="85">
        <v>0</v>
      </c>
      <c r="V613" s="85">
        <v>0</v>
      </c>
      <c r="W613" s="85">
        <v>0</v>
      </c>
      <c r="X613" s="85">
        <v>0</v>
      </c>
      <c r="Y613" s="85">
        <v>0</v>
      </c>
      <c r="Z613" s="85">
        <v>0</v>
      </c>
      <c r="AA613" s="85">
        <v>0</v>
      </c>
      <c r="AB613" s="85">
        <v>0</v>
      </c>
      <c r="AC613" s="85">
        <v>0</v>
      </c>
      <c r="AD613" s="85"/>
    </row>
    <row r="614" spans="1:30">
      <c r="A614" s="82" t="s">
        <v>100</v>
      </c>
      <c r="B614" s="83" t="s">
        <v>597</v>
      </c>
      <c r="C614" s="85">
        <v>0</v>
      </c>
      <c r="D614" s="85">
        <v>0</v>
      </c>
      <c r="E614" s="85">
        <v>0</v>
      </c>
      <c r="F614" s="84" t="s">
        <v>680</v>
      </c>
      <c r="G614" s="85">
        <v>0</v>
      </c>
      <c r="H614" s="85">
        <v>0</v>
      </c>
      <c r="I614" s="85">
        <v>0</v>
      </c>
      <c r="J614" s="84" t="s">
        <v>680</v>
      </c>
      <c r="K614" s="85"/>
      <c r="L614" s="85">
        <v>0</v>
      </c>
      <c r="M614" s="85">
        <v>0</v>
      </c>
      <c r="N614" s="85">
        <v>0</v>
      </c>
      <c r="O614" s="85">
        <v>0</v>
      </c>
      <c r="P614" s="85">
        <v>0</v>
      </c>
      <c r="Q614" s="85">
        <v>0</v>
      </c>
      <c r="R614" s="85">
        <v>0</v>
      </c>
      <c r="S614" s="85">
        <v>0</v>
      </c>
      <c r="T614" s="85">
        <v>0</v>
      </c>
      <c r="U614" s="85">
        <v>0</v>
      </c>
      <c r="V614" s="85">
        <v>0</v>
      </c>
      <c r="W614" s="85">
        <v>0</v>
      </c>
      <c r="X614" s="85">
        <v>0</v>
      </c>
      <c r="Y614" s="85">
        <v>0</v>
      </c>
      <c r="Z614" s="85">
        <v>0</v>
      </c>
      <c r="AA614" s="85">
        <v>0</v>
      </c>
      <c r="AB614" s="85">
        <v>0</v>
      </c>
      <c r="AC614" s="85">
        <v>0</v>
      </c>
      <c r="AD614" s="85"/>
    </row>
    <row r="615" spans="1:30">
      <c r="A615" s="82" t="s">
        <v>100</v>
      </c>
      <c r="B615" s="83" t="s">
        <v>600</v>
      </c>
      <c r="C615" s="85">
        <v>0</v>
      </c>
      <c r="D615" s="85">
        <v>0</v>
      </c>
      <c r="E615" s="85">
        <v>0</v>
      </c>
      <c r="F615" s="84" t="s">
        <v>680</v>
      </c>
      <c r="G615" s="85">
        <v>0</v>
      </c>
      <c r="H615" s="85">
        <v>0</v>
      </c>
      <c r="I615" s="85">
        <v>0</v>
      </c>
      <c r="J615" s="84" t="s">
        <v>680</v>
      </c>
      <c r="K615" s="85"/>
      <c r="L615" s="85">
        <v>0</v>
      </c>
      <c r="M615" s="85">
        <v>0</v>
      </c>
      <c r="N615" s="85">
        <v>0</v>
      </c>
      <c r="O615" s="85">
        <v>0</v>
      </c>
      <c r="P615" s="85">
        <v>0</v>
      </c>
      <c r="Q615" s="85">
        <v>0</v>
      </c>
      <c r="R615" s="85">
        <v>0</v>
      </c>
      <c r="S615" s="85">
        <v>0</v>
      </c>
      <c r="T615" s="85">
        <v>0</v>
      </c>
      <c r="U615" s="85">
        <v>0</v>
      </c>
      <c r="V615" s="85">
        <v>0</v>
      </c>
      <c r="W615" s="85">
        <v>0</v>
      </c>
      <c r="X615" s="85">
        <v>0</v>
      </c>
      <c r="Y615" s="85">
        <v>0</v>
      </c>
      <c r="Z615" s="85">
        <v>0</v>
      </c>
      <c r="AA615" s="85">
        <v>0</v>
      </c>
      <c r="AB615" s="85">
        <v>0</v>
      </c>
      <c r="AC615" s="85">
        <v>0</v>
      </c>
      <c r="AD615" s="85"/>
    </row>
    <row r="616" spans="1:30">
      <c r="A616" s="82" t="s">
        <v>100</v>
      </c>
      <c r="B616" s="83" t="s">
        <v>595</v>
      </c>
      <c r="C616" s="85">
        <v>0</v>
      </c>
      <c r="D616" s="85">
        <v>0</v>
      </c>
      <c r="E616" s="85">
        <v>0</v>
      </c>
      <c r="F616" s="84" t="s">
        <v>680</v>
      </c>
      <c r="G616" s="85">
        <v>0</v>
      </c>
      <c r="H616" s="85">
        <v>0</v>
      </c>
      <c r="I616" s="85">
        <v>0</v>
      </c>
      <c r="J616" s="84" t="s">
        <v>680</v>
      </c>
      <c r="K616" s="85"/>
      <c r="L616" s="85">
        <v>0</v>
      </c>
      <c r="M616" s="85">
        <v>0</v>
      </c>
      <c r="N616" s="85">
        <v>0</v>
      </c>
      <c r="O616" s="85">
        <v>0</v>
      </c>
      <c r="P616" s="85">
        <v>0</v>
      </c>
      <c r="Q616" s="85">
        <v>0</v>
      </c>
      <c r="R616" s="85">
        <v>0</v>
      </c>
      <c r="S616" s="85">
        <v>0</v>
      </c>
      <c r="T616" s="85">
        <v>0</v>
      </c>
      <c r="U616" s="85">
        <v>0</v>
      </c>
      <c r="V616" s="85">
        <v>0</v>
      </c>
      <c r="W616" s="85">
        <v>0</v>
      </c>
      <c r="X616" s="85">
        <v>0</v>
      </c>
      <c r="Y616" s="85">
        <v>0</v>
      </c>
      <c r="Z616" s="85">
        <v>0</v>
      </c>
      <c r="AA616" s="85">
        <v>0</v>
      </c>
      <c r="AB616" s="85">
        <v>0</v>
      </c>
      <c r="AC616" s="85">
        <v>0</v>
      </c>
      <c r="AD616" s="85"/>
    </row>
    <row r="617" spans="1:30">
      <c r="A617" s="82" t="s">
        <v>100</v>
      </c>
      <c r="B617" s="83" t="s">
        <v>596</v>
      </c>
      <c r="C617" s="85">
        <v>0</v>
      </c>
      <c r="D617" s="85">
        <v>0</v>
      </c>
      <c r="E617" s="85">
        <v>0</v>
      </c>
      <c r="F617" s="84" t="s">
        <v>680</v>
      </c>
      <c r="G617" s="85">
        <v>0</v>
      </c>
      <c r="H617" s="85">
        <v>0</v>
      </c>
      <c r="I617" s="85">
        <v>0</v>
      </c>
      <c r="J617" s="84" t="s">
        <v>680</v>
      </c>
      <c r="K617" s="85"/>
      <c r="L617" s="85">
        <v>0</v>
      </c>
      <c r="M617" s="85">
        <v>0</v>
      </c>
      <c r="N617" s="85">
        <v>0</v>
      </c>
      <c r="O617" s="85">
        <v>0</v>
      </c>
      <c r="P617" s="85">
        <v>0</v>
      </c>
      <c r="Q617" s="85">
        <v>0</v>
      </c>
      <c r="R617" s="85">
        <v>0</v>
      </c>
      <c r="S617" s="85">
        <v>0</v>
      </c>
      <c r="T617" s="85">
        <v>0</v>
      </c>
      <c r="U617" s="85">
        <v>0</v>
      </c>
      <c r="V617" s="85">
        <v>0</v>
      </c>
      <c r="W617" s="85">
        <v>0</v>
      </c>
      <c r="X617" s="85">
        <v>0</v>
      </c>
      <c r="Y617" s="85">
        <v>0</v>
      </c>
      <c r="Z617" s="85">
        <v>0</v>
      </c>
      <c r="AA617" s="85">
        <v>0</v>
      </c>
      <c r="AB617" s="85">
        <v>0</v>
      </c>
      <c r="AC617" s="85">
        <v>0</v>
      </c>
      <c r="AD617" s="85"/>
    </row>
    <row r="618" spans="1:30">
      <c r="A618" s="82" t="s">
        <v>100</v>
      </c>
      <c r="B618" s="83" t="s">
        <v>594</v>
      </c>
      <c r="C618" s="85">
        <f>0.5*0.055</f>
        <v>2.75E-2</v>
      </c>
      <c r="D618" s="85">
        <f>0.45*0.055</f>
        <v>2.4750000000000001E-2</v>
      </c>
      <c r="E618" s="85">
        <f>30.2*0.055</f>
        <v>1.661</v>
      </c>
      <c r="F618" s="84" t="s">
        <v>680</v>
      </c>
      <c r="G618" s="85">
        <f>27.6*0.055</f>
        <v>1.518</v>
      </c>
      <c r="H618" s="85">
        <f>18.45*0.055</f>
        <v>1.01475</v>
      </c>
      <c r="I618" s="85">
        <f>18.4*0.055</f>
        <v>1.012</v>
      </c>
      <c r="J618" s="84" t="s">
        <v>680</v>
      </c>
      <c r="K618" s="85"/>
      <c r="L618" s="85">
        <f>14.5*0.055</f>
        <v>0.79749999999999999</v>
      </c>
      <c r="M618" s="85">
        <f>15.7*0.055</f>
        <v>0.86349999999999993</v>
      </c>
      <c r="N618" s="85">
        <f>15.35*0.055</f>
        <v>0.84424999999999994</v>
      </c>
      <c r="O618" s="85">
        <f>17.5*0.055</f>
        <v>0.96250000000000002</v>
      </c>
      <c r="P618" s="85">
        <f>2.85*0.055</f>
        <v>0.15675</v>
      </c>
      <c r="Q618" s="85">
        <f>660*0.055</f>
        <v>36.299999999999997</v>
      </c>
      <c r="R618" s="85">
        <f>290.77*0.055</f>
        <v>15.992349999999998</v>
      </c>
      <c r="S618" s="85">
        <f>289.4*0.055</f>
        <v>15.916999999999998</v>
      </c>
      <c r="T618" s="85">
        <f>278.8*0.055</f>
        <v>15.334000000000001</v>
      </c>
      <c r="U618" s="85">
        <f>265.6*0.055</f>
        <v>14.608000000000001</v>
      </c>
      <c r="V618" s="85">
        <f>260.3*0.055</f>
        <v>14.316500000000001</v>
      </c>
      <c r="W618" s="85">
        <f>236.8*0.055</f>
        <v>13.024000000000001</v>
      </c>
      <c r="X618" s="85">
        <f>220.5*0.055</f>
        <v>12.1275</v>
      </c>
      <c r="Y618" s="85">
        <f>215.45*0.055</f>
        <v>11.84975</v>
      </c>
      <c r="Z618" s="85">
        <f>209.7*0.055</f>
        <v>11.5335</v>
      </c>
      <c r="AA618" s="85">
        <f>192.95*0.055</f>
        <v>10.61225</v>
      </c>
      <c r="AB618" s="85">
        <f>182.25*0.055</f>
        <v>10.02375</v>
      </c>
      <c r="AC618" s="85">
        <f>164.7*0.055</f>
        <v>9.0584999999999987</v>
      </c>
      <c r="AD618" s="85"/>
    </row>
    <row r="619" spans="1:30">
      <c r="A619" s="82" t="s">
        <v>100</v>
      </c>
      <c r="B619" s="87" t="s">
        <v>643</v>
      </c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>
        <v>0</v>
      </c>
      <c r="O619" s="85">
        <v>0</v>
      </c>
      <c r="P619" s="85">
        <v>0</v>
      </c>
      <c r="Q619" s="85">
        <v>0</v>
      </c>
      <c r="R619" s="85">
        <v>0</v>
      </c>
      <c r="S619" s="85">
        <v>0</v>
      </c>
      <c r="T619" s="85">
        <v>0</v>
      </c>
      <c r="U619" s="85">
        <v>0</v>
      </c>
      <c r="V619" s="85">
        <v>0</v>
      </c>
      <c r="W619" s="85">
        <v>0</v>
      </c>
      <c r="X619" s="85">
        <v>0</v>
      </c>
      <c r="Y619" s="85">
        <v>0</v>
      </c>
      <c r="Z619" s="85">
        <v>0</v>
      </c>
      <c r="AA619" s="85">
        <v>0</v>
      </c>
      <c r="AB619" s="85">
        <v>0</v>
      </c>
      <c r="AC619" s="85">
        <v>0</v>
      </c>
      <c r="AD619" s="85"/>
    </row>
    <row r="620" spans="1:30">
      <c r="A620" s="82" t="s">
        <v>102</v>
      </c>
      <c r="B620" s="83" t="s">
        <v>597</v>
      </c>
      <c r="C620" s="84" t="s">
        <v>680</v>
      </c>
      <c r="D620" s="84" t="s">
        <v>680</v>
      </c>
      <c r="E620" s="84" t="s">
        <v>680</v>
      </c>
      <c r="F620" s="85">
        <v>0</v>
      </c>
      <c r="G620" s="85">
        <v>0</v>
      </c>
      <c r="H620" s="85">
        <v>0</v>
      </c>
      <c r="I620" s="85">
        <v>0</v>
      </c>
      <c r="J620" s="85">
        <v>0</v>
      </c>
      <c r="K620" s="85">
        <v>0</v>
      </c>
      <c r="L620" s="85">
        <v>0</v>
      </c>
      <c r="M620" s="85">
        <v>0</v>
      </c>
      <c r="N620" s="85">
        <v>0</v>
      </c>
      <c r="O620" s="85">
        <v>0</v>
      </c>
      <c r="P620" s="85">
        <v>0</v>
      </c>
      <c r="Q620" s="85">
        <v>0</v>
      </c>
      <c r="R620" s="85">
        <v>0</v>
      </c>
      <c r="S620" s="85">
        <v>0</v>
      </c>
      <c r="T620" s="85">
        <v>0</v>
      </c>
      <c r="U620" s="85">
        <v>0</v>
      </c>
      <c r="V620" s="85">
        <v>0</v>
      </c>
      <c r="W620" s="85">
        <f>10.6*0.02</f>
        <v>0.21199999999999999</v>
      </c>
      <c r="X620" s="85">
        <v>0</v>
      </c>
      <c r="Y620" s="85">
        <v>0</v>
      </c>
      <c r="Z620" s="85">
        <f>45.7*0.02</f>
        <v>0.91400000000000003</v>
      </c>
      <c r="AA620" s="85">
        <v>0</v>
      </c>
      <c r="AB620" s="85">
        <v>0</v>
      </c>
      <c r="AC620" s="85">
        <v>0</v>
      </c>
      <c r="AD620" s="85"/>
    </row>
    <row r="621" spans="1:30">
      <c r="A621" s="82" t="s">
        <v>102</v>
      </c>
      <c r="B621" s="83" t="s">
        <v>600</v>
      </c>
      <c r="C621" s="84" t="s">
        <v>680</v>
      </c>
      <c r="D621" s="84" t="s">
        <v>680</v>
      </c>
      <c r="E621" s="84" t="s">
        <v>680</v>
      </c>
      <c r="F621" s="85">
        <v>0</v>
      </c>
      <c r="G621" s="85">
        <v>0</v>
      </c>
      <c r="H621" s="85">
        <v>0</v>
      </c>
      <c r="I621" s="85">
        <v>0</v>
      </c>
      <c r="J621" s="85">
        <v>0</v>
      </c>
      <c r="K621" s="85">
        <v>0</v>
      </c>
      <c r="L621" s="85">
        <v>0</v>
      </c>
      <c r="M621" s="85">
        <v>0</v>
      </c>
      <c r="N621" s="85">
        <v>0</v>
      </c>
      <c r="O621" s="85">
        <v>0</v>
      </c>
      <c r="P621" s="85">
        <v>0</v>
      </c>
      <c r="Q621" s="85">
        <v>0</v>
      </c>
      <c r="R621" s="85">
        <v>0</v>
      </c>
      <c r="S621" s="85">
        <v>0</v>
      </c>
      <c r="T621" s="85">
        <v>0</v>
      </c>
      <c r="U621" s="85">
        <v>0</v>
      </c>
      <c r="V621" s="85">
        <v>0</v>
      </c>
      <c r="W621" s="85">
        <f>313.11*0.022</f>
        <v>6.88842</v>
      </c>
      <c r="X621" s="85">
        <f>200.9*0.022</f>
        <v>4.4197999999999995</v>
      </c>
      <c r="Y621" s="85">
        <f>338.46*0.022</f>
        <v>7.4461199999999987</v>
      </c>
      <c r="Z621" s="85">
        <f>251.362*0.022</f>
        <v>5.5299639999999997</v>
      </c>
      <c r="AA621" s="85">
        <f>305.2*0.022</f>
        <v>6.7143999999999995</v>
      </c>
      <c r="AB621" s="85">
        <v>0</v>
      </c>
      <c r="AC621" s="85">
        <v>0</v>
      </c>
      <c r="AD621" s="85"/>
    </row>
    <row r="622" spans="1:30">
      <c r="A622" s="82" t="s">
        <v>102</v>
      </c>
      <c r="B622" s="83" t="s">
        <v>595</v>
      </c>
      <c r="C622" s="84" t="s">
        <v>680</v>
      </c>
      <c r="D622" s="84" t="s">
        <v>680</v>
      </c>
      <c r="E622" s="84" t="s">
        <v>680</v>
      </c>
      <c r="F622" s="85">
        <f>5.5*0.11</f>
        <v>0.60499999999999998</v>
      </c>
      <c r="G622" s="85">
        <f>8.6*0.11</f>
        <v>0.94599999999999995</v>
      </c>
      <c r="H622" s="85">
        <f>10.6*0.11</f>
        <v>1.1659999999999999</v>
      </c>
      <c r="I622" s="85">
        <f>50.5*0.11</f>
        <v>5.5549999999999997</v>
      </c>
      <c r="J622" s="85">
        <f>91.5*0.11</f>
        <v>10.065</v>
      </c>
      <c r="K622" s="85">
        <f>100.2*0.11</f>
        <v>11.022</v>
      </c>
      <c r="L622" s="85">
        <f>105.2*0.11</f>
        <v>11.572000000000001</v>
      </c>
      <c r="M622" s="85">
        <v>0</v>
      </c>
      <c r="N622" s="85">
        <v>0</v>
      </c>
      <c r="O622" s="85">
        <f>242.1*0.11</f>
        <v>26.631</v>
      </c>
      <c r="P622" s="85">
        <f>702.15*0.11</f>
        <v>77.236499999999992</v>
      </c>
      <c r="Q622" s="85">
        <f>1214.2*0.11</f>
        <v>133.56200000000001</v>
      </c>
      <c r="R622" s="85">
        <f>1506.46*0.11</f>
        <v>165.7106</v>
      </c>
      <c r="S622" s="85">
        <f>1575.45*0.11</f>
        <v>173.29949999999999</v>
      </c>
      <c r="T622" s="85">
        <f>1680.51*0.11</f>
        <v>184.8561</v>
      </c>
      <c r="U622" s="85">
        <f>1096.6*0.11</f>
        <v>120.62599999999999</v>
      </c>
      <c r="V622" s="85">
        <f>997.07*0.11</f>
        <v>109.6777</v>
      </c>
      <c r="W622" s="85">
        <f>238.55*0.11</f>
        <v>26.240500000000001</v>
      </c>
      <c r="X622" s="85">
        <f>311.37*0.11</f>
        <v>34.250700000000002</v>
      </c>
      <c r="Y622" s="85">
        <f>717.69*0.11</f>
        <v>78.945900000000009</v>
      </c>
      <c r="Z622" s="85">
        <f>901*0.11</f>
        <v>99.11</v>
      </c>
      <c r="AA622" s="85">
        <f>585.8*0.11</f>
        <v>64.438000000000002</v>
      </c>
      <c r="AB622" s="85">
        <f>312.3*0.11</f>
        <v>34.353000000000002</v>
      </c>
      <c r="AC622" s="85">
        <f>167.6*0.11</f>
        <v>18.436</v>
      </c>
      <c r="AD622" s="85"/>
    </row>
    <row r="623" spans="1:30">
      <c r="A623" s="82" t="s">
        <v>102</v>
      </c>
      <c r="B623" s="83" t="s">
        <v>700</v>
      </c>
      <c r="C623" s="84"/>
      <c r="D623" s="84"/>
      <c r="E623" s="84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>
        <f>319.06*0.11</f>
        <v>35.096600000000002</v>
      </c>
      <c r="W623" s="85">
        <f>362.4*0.11</f>
        <v>39.863999999999997</v>
      </c>
      <c r="X623" s="85">
        <f>523*0.11</f>
        <v>57.53</v>
      </c>
      <c r="Y623" s="85">
        <f>229.66*0.11</f>
        <v>25.262599999999999</v>
      </c>
      <c r="Z623" s="85">
        <f>288.3*0.11</f>
        <v>31.713000000000001</v>
      </c>
      <c r="AA623" s="85">
        <f>275.7*0.11</f>
        <v>30.326999999999998</v>
      </c>
      <c r="AB623" s="85">
        <f>172.6*0.11</f>
        <v>18.986000000000001</v>
      </c>
      <c r="AC623" s="85">
        <f>19.85*0.11</f>
        <v>2.1835</v>
      </c>
      <c r="AD623" s="85"/>
    </row>
    <row r="624" spans="1:30">
      <c r="A624" s="82" t="s">
        <v>102</v>
      </c>
      <c r="B624" s="83" t="s">
        <v>596</v>
      </c>
      <c r="C624" s="84" t="s">
        <v>680</v>
      </c>
      <c r="D624" s="84" t="s">
        <v>680</v>
      </c>
      <c r="E624" s="84" t="s">
        <v>680</v>
      </c>
      <c r="F624" s="85">
        <v>0</v>
      </c>
      <c r="G624" s="85">
        <v>0</v>
      </c>
      <c r="H624" s="85">
        <v>0</v>
      </c>
      <c r="I624" s="85">
        <v>0</v>
      </c>
      <c r="J624" s="85">
        <v>0</v>
      </c>
      <c r="K624" s="85">
        <v>0</v>
      </c>
      <c r="L624" s="85">
        <v>0</v>
      </c>
      <c r="M624" s="85">
        <v>0</v>
      </c>
      <c r="N624" s="85">
        <v>0</v>
      </c>
      <c r="O624" s="85">
        <v>0</v>
      </c>
      <c r="P624" s="85">
        <v>0</v>
      </c>
      <c r="Q624" s="85">
        <v>0</v>
      </c>
      <c r="R624" s="85">
        <v>0</v>
      </c>
      <c r="S624" s="85">
        <v>0</v>
      </c>
      <c r="T624" s="85">
        <v>0</v>
      </c>
      <c r="U624" s="85">
        <v>0</v>
      </c>
      <c r="V624" s="85">
        <v>0</v>
      </c>
      <c r="W624" s="85">
        <f>202.82*0.065</f>
        <v>13.183299999999999</v>
      </c>
      <c r="X624" s="85">
        <f>8.9*0.065</f>
        <v>0.57850000000000001</v>
      </c>
      <c r="Y624" s="85">
        <v>0</v>
      </c>
      <c r="Z624" s="85">
        <v>0</v>
      </c>
      <c r="AA624" s="85">
        <v>0</v>
      </c>
      <c r="AB624" s="85">
        <v>0</v>
      </c>
      <c r="AC624" s="85">
        <v>0</v>
      </c>
      <c r="AD624" s="85"/>
    </row>
    <row r="625" spans="1:30">
      <c r="A625" s="82" t="s">
        <v>102</v>
      </c>
      <c r="B625" s="83" t="s">
        <v>594</v>
      </c>
      <c r="C625" s="84" t="s">
        <v>680</v>
      </c>
      <c r="D625" s="84" t="s">
        <v>680</v>
      </c>
      <c r="E625" s="84" t="s">
        <v>680</v>
      </c>
      <c r="F625" s="85">
        <f>843.6*0.055</f>
        <v>46.398000000000003</v>
      </c>
      <c r="G625" s="85">
        <f>848.7*0.055</f>
        <v>46.6785</v>
      </c>
      <c r="H625" s="85">
        <f>851.7*0.055</f>
        <v>46.843500000000006</v>
      </c>
      <c r="I625" s="85">
        <f>920*0.055</f>
        <v>50.6</v>
      </c>
      <c r="J625" s="85">
        <f>920*0.055</f>
        <v>50.6</v>
      </c>
      <c r="K625" s="85">
        <f>1002.5*0.055</f>
        <v>55.137500000000003</v>
      </c>
      <c r="L625" s="85">
        <f>1004.5*0.055</f>
        <v>55.247500000000002</v>
      </c>
      <c r="M625" s="85">
        <f>572.53*0.055</f>
        <v>31.489149999999999</v>
      </c>
      <c r="N625" s="85">
        <f>650.52*0.055</f>
        <v>35.778599999999997</v>
      </c>
      <c r="O625" s="85">
        <f>1260.48*0.055</f>
        <v>69.326400000000007</v>
      </c>
      <c r="P625" s="85">
        <f>3979.93*0.055</f>
        <v>218.89615000000001</v>
      </c>
      <c r="Q625" s="85">
        <f>4298.32*0.055</f>
        <v>236.40759999999997</v>
      </c>
      <c r="R625" s="85">
        <f>4739.22*0.055</f>
        <v>260.65710000000001</v>
      </c>
      <c r="S625" s="85">
        <f>5244.83*0.055</f>
        <v>288.46564999999998</v>
      </c>
      <c r="T625" s="85">
        <f>5958.2*0.055</f>
        <v>327.70099999999996</v>
      </c>
      <c r="U625" s="85">
        <f>3887.83*0.055</f>
        <v>213.83064999999999</v>
      </c>
      <c r="V625" s="85">
        <f>3535.11*0.055</f>
        <v>194.43105</v>
      </c>
      <c r="W625" s="85">
        <f>3657.75*0.055</f>
        <v>201.17625000000001</v>
      </c>
      <c r="X625" s="85">
        <f>3554.3*0.055</f>
        <v>195.48650000000001</v>
      </c>
      <c r="Y625" s="85">
        <f>3262.24*0.055</f>
        <v>179.42319999999998</v>
      </c>
      <c r="Z625" s="85">
        <f>3194.6*0.055</f>
        <v>175.703</v>
      </c>
      <c r="AA625" s="85">
        <f>3054.4*0.055</f>
        <v>167.99200000000002</v>
      </c>
      <c r="AB625" s="85">
        <f>2406.14*0.055</f>
        <v>132.33769999999998</v>
      </c>
      <c r="AC625" s="85">
        <f>2395.28*0.055</f>
        <v>131.74040000000002</v>
      </c>
      <c r="AD625" s="85"/>
    </row>
    <row r="626" spans="1:30">
      <c r="A626" s="82" t="s">
        <v>102</v>
      </c>
      <c r="B626" s="87" t="s">
        <v>643</v>
      </c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>
        <v>0</v>
      </c>
      <c r="O626" s="85">
        <v>0</v>
      </c>
      <c r="P626" s="85">
        <v>0</v>
      </c>
      <c r="Q626" s="85">
        <v>0</v>
      </c>
      <c r="R626" s="85">
        <v>0</v>
      </c>
      <c r="S626" s="85">
        <v>0</v>
      </c>
      <c r="T626" s="85">
        <v>0</v>
      </c>
      <c r="U626" s="85">
        <v>0</v>
      </c>
      <c r="V626" s="85">
        <v>0</v>
      </c>
      <c r="W626" s="85">
        <v>0</v>
      </c>
      <c r="X626" s="85">
        <v>0</v>
      </c>
      <c r="Y626" s="85">
        <v>0</v>
      </c>
      <c r="Z626" s="85">
        <v>0</v>
      </c>
      <c r="AA626" s="85">
        <v>0</v>
      </c>
      <c r="AB626" s="85">
        <v>0</v>
      </c>
      <c r="AC626" s="85">
        <v>0</v>
      </c>
      <c r="AD626" s="85"/>
    </row>
    <row r="627" spans="1:30">
      <c r="A627" s="82" t="s">
        <v>509</v>
      </c>
      <c r="B627" s="83" t="s">
        <v>597</v>
      </c>
      <c r="C627" s="84" t="s">
        <v>680</v>
      </c>
      <c r="D627" s="84" t="s">
        <v>680</v>
      </c>
      <c r="E627" s="84" t="s">
        <v>680</v>
      </c>
      <c r="F627" s="84" t="s">
        <v>680</v>
      </c>
      <c r="G627" s="84" t="s">
        <v>680</v>
      </c>
      <c r="H627" s="84" t="s">
        <v>680</v>
      </c>
      <c r="I627" s="84" t="s">
        <v>680</v>
      </c>
      <c r="J627" s="84" t="s">
        <v>680</v>
      </c>
      <c r="K627" s="84" t="s">
        <v>680</v>
      </c>
      <c r="L627" s="84" t="s">
        <v>680</v>
      </c>
      <c r="M627" s="84" t="s">
        <v>680</v>
      </c>
      <c r="N627" s="85">
        <v>0</v>
      </c>
      <c r="O627" s="85">
        <v>0</v>
      </c>
      <c r="P627" s="85">
        <v>0</v>
      </c>
      <c r="Q627" s="85">
        <v>0</v>
      </c>
      <c r="R627" s="85">
        <v>0</v>
      </c>
      <c r="S627" s="85">
        <v>0</v>
      </c>
      <c r="T627" s="85">
        <v>0</v>
      </c>
      <c r="U627" s="85">
        <v>0</v>
      </c>
      <c r="V627" s="85">
        <v>0</v>
      </c>
      <c r="W627" s="85">
        <v>0</v>
      </c>
      <c r="X627" s="85">
        <v>0</v>
      </c>
      <c r="Y627" s="85">
        <v>0</v>
      </c>
      <c r="Z627" s="85">
        <v>0</v>
      </c>
      <c r="AA627" s="85">
        <v>0</v>
      </c>
      <c r="AB627" s="85">
        <v>0</v>
      </c>
      <c r="AC627" s="85">
        <v>0</v>
      </c>
      <c r="AD627" s="85"/>
    </row>
    <row r="628" spans="1:30">
      <c r="A628" s="82" t="s">
        <v>509</v>
      </c>
      <c r="B628" s="83" t="s">
        <v>600</v>
      </c>
      <c r="C628" s="84" t="s">
        <v>680</v>
      </c>
      <c r="D628" s="84" t="s">
        <v>680</v>
      </c>
      <c r="E628" s="84" t="s">
        <v>680</v>
      </c>
      <c r="F628" s="84" t="s">
        <v>680</v>
      </c>
      <c r="G628" s="84" t="s">
        <v>680</v>
      </c>
      <c r="H628" s="84" t="s">
        <v>680</v>
      </c>
      <c r="I628" s="84" t="s">
        <v>680</v>
      </c>
      <c r="J628" s="84" t="s">
        <v>680</v>
      </c>
      <c r="K628" s="84" t="s">
        <v>680</v>
      </c>
      <c r="L628" s="84" t="s">
        <v>680</v>
      </c>
      <c r="M628" s="84" t="s">
        <v>680</v>
      </c>
      <c r="N628" s="85">
        <v>0</v>
      </c>
      <c r="O628" s="85">
        <v>0</v>
      </c>
      <c r="P628" s="85">
        <v>0</v>
      </c>
      <c r="Q628" s="85">
        <v>0</v>
      </c>
      <c r="R628" s="85">
        <v>0</v>
      </c>
      <c r="S628" s="85">
        <v>0</v>
      </c>
      <c r="T628" s="85">
        <v>0</v>
      </c>
      <c r="U628" s="85">
        <v>0</v>
      </c>
      <c r="V628" s="85">
        <v>0</v>
      </c>
      <c r="W628" s="85">
        <v>0</v>
      </c>
      <c r="X628" s="85">
        <v>0</v>
      </c>
      <c r="Y628" s="85">
        <v>0</v>
      </c>
      <c r="Z628" s="85">
        <v>0</v>
      </c>
      <c r="AA628" s="85">
        <v>0</v>
      </c>
      <c r="AB628" s="85">
        <v>0</v>
      </c>
      <c r="AC628" s="85">
        <v>0</v>
      </c>
      <c r="AD628" s="85"/>
    </row>
    <row r="629" spans="1:30">
      <c r="A629" s="82" t="s">
        <v>509</v>
      </c>
      <c r="B629" s="83" t="s">
        <v>595</v>
      </c>
      <c r="C629" s="84" t="s">
        <v>680</v>
      </c>
      <c r="D629" s="84" t="s">
        <v>680</v>
      </c>
      <c r="E629" s="84" t="s">
        <v>680</v>
      </c>
      <c r="F629" s="84" t="s">
        <v>680</v>
      </c>
      <c r="G629" s="84" t="s">
        <v>680</v>
      </c>
      <c r="H629" s="84" t="s">
        <v>680</v>
      </c>
      <c r="I629" s="84" t="s">
        <v>680</v>
      </c>
      <c r="J629" s="84" t="s">
        <v>680</v>
      </c>
      <c r="K629" s="84" t="s">
        <v>680</v>
      </c>
      <c r="L629" s="84" t="s">
        <v>680</v>
      </c>
      <c r="M629" s="84" t="s">
        <v>680</v>
      </c>
      <c r="N629" s="85">
        <v>0</v>
      </c>
      <c r="O629" s="85">
        <v>0</v>
      </c>
      <c r="P629" s="85">
        <v>0</v>
      </c>
      <c r="Q629" s="85">
        <v>0</v>
      </c>
      <c r="R629" s="85">
        <v>0</v>
      </c>
      <c r="S629" s="85">
        <v>0</v>
      </c>
      <c r="T629" s="85">
        <v>0</v>
      </c>
      <c r="U629" s="85">
        <v>0</v>
      </c>
      <c r="V629" s="85">
        <v>0</v>
      </c>
      <c r="W629" s="85">
        <v>0</v>
      </c>
      <c r="X629" s="85">
        <v>0</v>
      </c>
      <c r="Y629" s="85">
        <v>0</v>
      </c>
      <c r="Z629" s="85">
        <v>0</v>
      </c>
      <c r="AA629" s="85">
        <v>0</v>
      </c>
      <c r="AB629" s="85">
        <v>0</v>
      </c>
      <c r="AC629" s="85">
        <v>0</v>
      </c>
      <c r="AD629" s="85"/>
    </row>
    <row r="630" spans="1:30">
      <c r="A630" s="82" t="s">
        <v>509</v>
      </c>
      <c r="B630" s="83" t="s">
        <v>596</v>
      </c>
      <c r="C630" s="84" t="s">
        <v>680</v>
      </c>
      <c r="D630" s="84" t="s">
        <v>680</v>
      </c>
      <c r="E630" s="84" t="s">
        <v>680</v>
      </c>
      <c r="F630" s="84" t="s">
        <v>680</v>
      </c>
      <c r="G630" s="84" t="s">
        <v>680</v>
      </c>
      <c r="H630" s="84" t="s">
        <v>680</v>
      </c>
      <c r="I630" s="84" t="s">
        <v>680</v>
      </c>
      <c r="J630" s="84" t="s">
        <v>680</v>
      </c>
      <c r="K630" s="84" t="s">
        <v>680</v>
      </c>
      <c r="L630" s="84" t="s">
        <v>680</v>
      </c>
      <c r="M630" s="84" t="s">
        <v>680</v>
      </c>
      <c r="N630" s="85">
        <v>0</v>
      </c>
      <c r="O630" s="85">
        <v>0</v>
      </c>
      <c r="P630" s="85">
        <v>0</v>
      </c>
      <c r="Q630" s="85">
        <v>0</v>
      </c>
      <c r="R630" s="85">
        <v>0</v>
      </c>
      <c r="S630" s="85">
        <v>0</v>
      </c>
      <c r="T630" s="85">
        <v>0</v>
      </c>
      <c r="U630" s="85">
        <v>0</v>
      </c>
      <c r="V630" s="85">
        <v>0</v>
      </c>
      <c r="W630" s="85">
        <v>0</v>
      </c>
      <c r="X630" s="85">
        <v>0</v>
      </c>
      <c r="Y630" s="85">
        <v>0</v>
      </c>
      <c r="Z630" s="85">
        <v>0</v>
      </c>
      <c r="AA630" s="85">
        <v>0</v>
      </c>
      <c r="AB630" s="85">
        <v>0</v>
      </c>
      <c r="AC630" s="85">
        <v>0</v>
      </c>
      <c r="AD630" s="85"/>
    </row>
    <row r="631" spans="1:30">
      <c r="A631" s="82" t="s">
        <v>509</v>
      </c>
      <c r="B631" s="83" t="s">
        <v>594</v>
      </c>
      <c r="C631" s="84" t="s">
        <v>680</v>
      </c>
      <c r="D631" s="84" t="s">
        <v>680</v>
      </c>
      <c r="E631" s="84" t="s">
        <v>680</v>
      </c>
      <c r="F631" s="84" t="s">
        <v>680</v>
      </c>
      <c r="G631" s="84" t="s">
        <v>680</v>
      </c>
      <c r="H631" s="84" t="s">
        <v>680</v>
      </c>
      <c r="I631" s="84" t="s">
        <v>680</v>
      </c>
      <c r="J631" s="84" t="s">
        <v>680</v>
      </c>
      <c r="K631" s="84" t="s">
        <v>680</v>
      </c>
      <c r="L631" s="84" t="s">
        <v>680</v>
      </c>
      <c r="M631" s="84" t="s">
        <v>680</v>
      </c>
      <c r="N631" s="85">
        <v>0</v>
      </c>
      <c r="O631" s="85">
        <f>0.35*0.055</f>
        <v>1.925E-2</v>
      </c>
      <c r="P631" s="85">
        <v>0</v>
      </c>
      <c r="Q631" s="85">
        <v>0</v>
      </c>
      <c r="R631" s="85">
        <f>0.3*0.055</f>
        <v>1.6500000000000001E-2</v>
      </c>
      <c r="S631" s="85">
        <v>0</v>
      </c>
      <c r="T631" s="85">
        <v>0</v>
      </c>
      <c r="U631" s="85">
        <v>0</v>
      </c>
      <c r="V631" s="85">
        <v>0</v>
      </c>
      <c r="W631" s="85">
        <v>0</v>
      </c>
      <c r="X631" s="85">
        <v>0</v>
      </c>
      <c r="Y631" s="85">
        <v>0</v>
      </c>
      <c r="Z631" s="85">
        <v>0</v>
      </c>
      <c r="AA631" s="85">
        <v>0</v>
      </c>
      <c r="AB631" s="85">
        <v>0</v>
      </c>
      <c r="AC631" s="85">
        <v>0</v>
      </c>
      <c r="AD631" s="85"/>
    </row>
    <row r="632" spans="1:30">
      <c r="A632" s="82" t="s">
        <v>509</v>
      </c>
      <c r="B632" s="87" t="s">
        <v>643</v>
      </c>
      <c r="C632" s="84" t="s">
        <v>680</v>
      </c>
      <c r="D632" s="84" t="s">
        <v>680</v>
      </c>
      <c r="E632" s="84" t="s">
        <v>680</v>
      </c>
      <c r="F632" s="84" t="s">
        <v>680</v>
      </c>
      <c r="G632" s="84" t="s">
        <v>680</v>
      </c>
      <c r="H632" s="84" t="s">
        <v>680</v>
      </c>
      <c r="I632" s="84" t="s">
        <v>680</v>
      </c>
      <c r="J632" s="84" t="s">
        <v>680</v>
      </c>
      <c r="K632" s="84" t="s">
        <v>680</v>
      </c>
      <c r="L632" s="84" t="s">
        <v>680</v>
      </c>
      <c r="M632" s="84" t="s">
        <v>680</v>
      </c>
      <c r="N632" s="85">
        <v>0</v>
      </c>
      <c r="O632" s="85">
        <v>0</v>
      </c>
      <c r="P632" s="85">
        <v>0</v>
      </c>
      <c r="Q632" s="85">
        <v>0</v>
      </c>
      <c r="R632" s="85">
        <v>0</v>
      </c>
      <c r="S632" s="85">
        <v>0</v>
      </c>
      <c r="T632" s="85">
        <v>0</v>
      </c>
      <c r="U632" s="85">
        <v>0</v>
      </c>
      <c r="V632" s="85">
        <v>0</v>
      </c>
      <c r="W632" s="85">
        <v>0</v>
      </c>
      <c r="X632" s="85">
        <v>0</v>
      </c>
      <c r="Y632" s="85">
        <v>0</v>
      </c>
      <c r="Z632" s="85">
        <v>0</v>
      </c>
      <c r="AA632" s="85">
        <v>0</v>
      </c>
      <c r="AB632" s="85">
        <v>0</v>
      </c>
      <c r="AC632" s="85">
        <v>0</v>
      </c>
      <c r="AD632" s="85"/>
    </row>
    <row r="633" spans="1:30">
      <c r="A633" s="82" t="s">
        <v>847</v>
      </c>
      <c r="B633" s="83" t="s">
        <v>597</v>
      </c>
      <c r="C633" s="85">
        <v>0</v>
      </c>
      <c r="D633" s="85">
        <v>0</v>
      </c>
      <c r="E633" s="85">
        <v>0</v>
      </c>
      <c r="F633" s="85">
        <v>0</v>
      </c>
      <c r="G633" s="85">
        <v>0</v>
      </c>
      <c r="H633" s="85">
        <v>0</v>
      </c>
      <c r="I633" s="85">
        <v>0</v>
      </c>
      <c r="J633" s="85">
        <v>0</v>
      </c>
      <c r="K633" s="88">
        <v>0</v>
      </c>
      <c r="L633" s="85">
        <v>0</v>
      </c>
      <c r="M633" s="85">
        <v>0</v>
      </c>
      <c r="N633" s="85">
        <v>0</v>
      </c>
      <c r="O633" s="85">
        <v>0</v>
      </c>
      <c r="P633" s="85">
        <v>0</v>
      </c>
      <c r="Q633" s="85">
        <v>0</v>
      </c>
      <c r="R633" s="85">
        <v>0</v>
      </c>
      <c r="S633" s="85">
        <v>0</v>
      </c>
      <c r="T633" s="85">
        <v>0</v>
      </c>
      <c r="U633" s="85">
        <v>0</v>
      </c>
      <c r="V633" s="85">
        <v>0</v>
      </c>
      <c r="W633" s="85">
        <v>0</v>
      </c>
      <c r="X633" s="85">
        <v>0</v>
      </c>
      <c r="Y633" s="85">
        <v>0</v>
      </c>
      <c r="Z633" s="85">
        <v>0</v>
      </c>
      <c r="AA633" s="85">
        <v>0</v>
      </c>
      <c r="AB633" s="85">
        <v>0</v>
      </c>
      <c r="AC633" s="85">
        <v>0</v>
      </c>
      <c r="AD633" s="85"/>
    </row>
    <row r="634" spans="1:30">
      <c r="A634" s="82" t="s">
        <v>847</v>
      </c>
      <c r="B634" s="83" t="s">
        <v>600</v>
      </c>
      <c r="C634" s="85">
        <v>0</v>
      </c>
      <c r="D634" s="85">
        <v>0</v>
      </c>
      <c r="E634" s="85">
        <v>0</v>
      </c>
      <c r="F634" s="85">
        <v>0</v>
      </c>
      <c r="G634" s="85">
        <v>0</v>
      </c>
      <c r="H634" s="85">
        <v>0</v>
      </c>
      <c r="I634" s="85">
        <v>0</v>
      </c>
      <c r="J634" s="85">
        <v>0</v>
      </c>
      <c r="K634" s="85">
        <v>0</v>
      </c>
      <c r="L634" s="85">
        <v>0</v>
      </c>
      <c r="M634" s="85">
        <v>0</v>
      </c>
      <c r="N634" s="85">
        <v>0</v>
      </c>
      <c r="O634" s="85">
        <v>0</v>
      </c>
      <c r="P634" s="85">
        <v>0</v>
      </c>
      <c r="Q634" s="85">
        <v>0</v>
      </c>
      <c r="R634" s="85">
        <v>0</v>
      </c>
      <c r="S634" s="85">
        <v>0</v>
      </c>
      <c r="T634" s="85">
        <v>0</v>
      </c>
      <c r="U634" s="85">
        <v>0</v>
      </c>
      <c r="V634" s="85">
        <v>0</v>
      </c>
      <c r="W634" s="85">
        <v>0</v>
      </c>
      <c r="X634" s="85">
        <v>0</v>
      </c>
      <c r="Y634" s="85">
        <v>0</v>
      </c>
      <c r="Z634" s="85">
        <v>0</v>
      </c>
      <c r="AA634" s="85">
        <v>0</v>
      </c>
      <c r="AB634" s="85">
        <v>0</v>
      </c>
      <c r="AC634" s="85">
        <v>0</v>
      </c>
      <c r="AD634" s="85"/>
    </row>
    <row r="635" spans="1:30">
      <c r="A635" s="82" t="s">
        <v>847</v>
      </c>
      <c r="B635" s="83" t="s">
        <v>595</v>
      </c>
      <c r="C635" s="85">
        <v>0</v>
      </c>
      <c r="D635" s="85">
        <f>1*0.11</f>
        <v>0.11</v>
      </c>
      <c r="E635" s="85">
        <v>0</v>
      </c>
      <c r="F635" s="85">
        <f>20.96*0.11</f>
        <v>2.3056000000000001</v>
      </c>
      <c r="G635" s="85">
        <f>0.96*0.11</f>
        <v>0.1056</v>
      </c>
      <c r="H635" s="85">
        <f>0.47*0.11</f>
        <v>5.1699999999999996E-2</v>
      </c>
      <c r="I635" s="85">
        <v>0</v>
      </c>
      <c r="J635" s="85">
        <f>0.96*0.11</f>
        <v>0.1056</v>
      </c>
      <c r="K635" s="88">
        <v>0</v>
      </c>
      <c r="L635" s="85">
        <v>0</v>
      </c>
      <c r="M635" s="85">
        <v>0</v>
      </c>
      <c r="N635" s="85">
        <v>0</v>
      </c>
      <c r="O635" s="85">
        <v>0</v>
      </c>
      <c r="P635" s="85">
        <v>0</v>
      </c>
      <c r="Q635" s="85">
        <v>0</v>
      </c>
      <c r="R635" s="85">
        <v>0</v>
      </c>
      <c r="S635" s="85">
        <v>0</v>
      </c>
      <c r="T635" s="85">
        <v>0</v>
      </c>
      <c r="U635" s="85">
        <v>0</v>
      </c>
      <c r="V635" s="85">
        <v>0</v>
      </c>
      <c r="W635" s="85">
        <v>0</v>
      </c>
      <c r="X635" s="85">
        <v>0</v>
      </c>
      <c r="Y635" s="85">
        <v>0</v>
      </c>
      <c r="Z635" s="85">
        <v>0</v>
      </c>
      <c r="AA635" s="85">
        <v>0</v>
      </c>
      <c r="AB635" s="85">
        <v>0</v>
      </c>
      <c r="AC635" s="85">
        <v>0</v>
      </c>
      <c r="AD635" s="85"/>
    </row>
    <row r="636" spans="1:30">
      <c r="A636" s="82" t="s">
        <v>847</v>
      </c>
      <c r="B636" s="83" t="s">
        <v>700</v>
      </c>
      <c r="C636" s="85"/>
      <c r="D636" s="85"/>
      <c r="E636" s="85"/>
      <c r="F636" s="85"/>
      <c r="G636" s="85"/>
      <c r="H636" s="85"/>
      <c r="I636" s="85"/>
      <c r="J636" s="85"/>
      <c r="K636" s="88"/>
      <c r="L636" s="85"/>
      <c r="M636" s="85"/>
      <c r="N636" s="85"/>
      <c r="O636" s="85"/>
      <c r="P636" s="85"/>
      <c r="Q636" s="85">
        <f>15.7*0.11</f>
        <v>1.7269999999999999</v>
      </c>
      <c r="R636" s="85">
        <f>15.7*0.11</f>
        <v>1.7269999999999999</v>
      </c>
      <c r="S636" s="85">
        <f>14.6*0.11</f>
        <v>1.6059999999999999</v>
      </c>
      <c r="T636" s="85">
        <f>14.6*0.11</f>
        <v>1.6059999999999999</v>
      </c>
      <c r="U636" s="85">
        <v>0</v>
      </c>
      <c r="V636" s="85">
        <v>0</v>
      </c>
      <c r="W636" s="85">
        <v>0</v>
      </c>
      <c r="X636" s="85">
        <v>0</v>
      </c>
      <c r="Y636" s="85">
        <v>0</v>
      </c>
      <c r="Z636" s="85">
        <v>0</v>
      </c>
      <c r="AA636" s="85">
        <v>0</v>
      </c>
      <c r="AB636" s="85">
        <v>0</v>
      </c>
      <c r="AC636" s="85">
        <v>0</v>
      </c>
      <c r="AD636" s="85"/>
    </row>
    <row r="637" spans="1:30">
      <c r="A637" s="82" t="s">
        <v>847</v>
      </c>
      <c r="B637" s="83" t="s">
        <v>596</v>
      </c>
      <c r="C637" s="85">
        <v>0</v>
      </c>
      <c r="D637" s="85">
        <v>0</v>
      </c>
      <c r="E637" s="85">
        <v>0</v>
      </c>
      <c r="F637" s="85">
        <v>0</v>
      </c>
      <c r="G637" s="85">
        <v>0</v>
      </c>
      <c r="H637" s="85">
        <v>0</v>
      </c>
      <c r="I637" s="85">
        <v>0</v>
      </c>
      <c r="J637" s="85">
        <v>0</v>
      </c>
      <c r="K637" s="88">
        <v>0</v>
      </c>
      <c r="L637" s="85">
        <v>0</v>
      </c>
      <c r="M637" s="85">
        <v>0</v>
      </c>
      <c r="N637" s="85">
        <v>0</v>
      </c>
      <c r="O637" s="85">
        <v>0</v>
      </c>
      <c r="P637" s="85">
        <v>0</v>
      </c>
      <c r="Q637" s="85">
        <v>0</v>
      </c>
      <c r="R637" s="85">
        <v>0</v>
      </c>
      <c r="S637" s="85">
        <v>0</v>
      </c>
      <c r="T637" s="85">
        <v>0</v>
      </c>
      <c r="U637" s="85">
        <v>0</v>
      </c>
      <c r="V637" s="85">
        <v>0</v>
      </c>
      <c r="W637" s="85">
        <v>0</v>
      </c>
      <c r="X637" s="85">
        <v>0</v>
      </c>
      <c r="Y637" s="85">
        <v>0</v>
      </c>
      <c r="Z637" s="85">
        <v>0</v>
      </c>
      <c r="AA637" s="85">
        <v>0</v>
      </c>
      <c r="AB637" s="85">
        <v>0</v>
      </c>
      <c r="AC637" s="85">
        <v>0</v>
      </c>
      <c r="AD637" s="85"/>
    </row>
    <row r="638" spans="1:30">
      <c r="A638" s="82" t="s">
        <v>847</v>
      </c>
      <c r="B638" s="83" t="s">
        <v>594</v>
      </c>
      <c r="C638" s="85">
        <f>28*0.055</f>
        <v>1.54</v>
      </c>
      <c r="D638" s="85">
        <f>42*0.055</f>
        <v>2.31</v>
      </c>
      <c r="E638" s="85">
        <f>33.2*0.055</f>
        <v>1.8260000000000001</v>
      </c>
      <c r="F638" s="85">
        <f>22.71*0.055</f>
        <v>1.24905</v>
      </c>
      <c r="G638" s="85">
        <f>19.56*0.055</f>
        <v>1.0757999999999999</v>
      </c>
      <c r="H638" s="85">
        <f>89.71*0.055</f>
        <v>4.93405</v>
      </c>
      <c r="I638" s="85">
        <f>188.34*0.055</f>
        <v>10.358700000000001</v>
      </c>
      <c r="J638" s="85">
        <f>69.34*0.055</f>
        <v>3.8137000000000003</v>
      </c>
      <c r="K638" s="88">
        <f>108.38*0.055</f>
        <v>5.9608999999999996</v>
      </c>
      <c r="L638" s="85">
        <f>86.61*0.055</f>
        <v>4.7635500000000004</v>
      </c>
      <c r="M638" s="85">
        <f>33.865*0.055</f>
        <v>1.8625750000000001</v>
      </c>
      <c r="N638" s="85">
        <v>2.3641200000000002</v>
      </c>
      <c r="O638" s="85">
        <f>22.72*0.055</f>
        <v>1.2496</v>
      </c>
      <c r="P638" s="85">
        <f>36.86*0.055</f>
        <v>2.0272999999999999</v>
      </c>
      <c r="Q638" s="85">
        <f>41.63*0.055</f>
        <v>2.28965</v>
      </c>
      <c r="R638" s="85">
        <f>23.94*0.055</f>
        <v>1.3167</v>
      </c>
      <c r="S638" s="85">
        <f>16.32*0.055</f>
        <v>0.89760000000000006</v>
      </c>
      <c r="T638" s="85">
        <f>13.464*0.055</f>
        <v>0.74052000000000007</v>
      </c>
      <c r="U638" s="85">
        <f>13.056*0.055</f>
        <v>0.71807999999999994</v>
      </c>
      <c r="V638" s="85">
        <f>10.4448*0.055</f>
        <v>0.57446400000000009</v>
      </c>
      <c r="W638" s="85">
        <f>3.36*0.055</f>
        <v>0.18479999999999999</v>
      </c>
      <c r="X638" s="85">
        <f>4.92*0.055</f>
        <v>0.27060000000000001</v>
      </c>
      <c r="Y638" s="85">
        <f>0.6985*0.055</f>
        <v>3.84175E-2</v>
      </c>
      <c r="Z638" s="85">
        <f>4.76*0.055</f>
        <v>0.26179999999999998</v>
      </c>
      <c r="AA638" s="85">
        <f>11.56*0.055</f>
        <v>0.63580000000000003</v>
      </c>
      <c r="AB638" s="85">
        <f>6.79*0.055</f>
        <v>0.37345</v>
      </c>
      <c r="AC638" s="85">
        <v>0</v>
      </c>
      <c r="AD638" s="85"/>
    </row>
    <row r="639" spans="1:30">
      <c r="A639" s="82" t="s">
        <v>847</v>
      </c>
      <c r="B639" s="87" t="s">
        <v>643</v>
      </c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>
        <v>0</v>
      </c>
      <c r="O639" s="85">
        <v>0</v>
      </c>
      <c r="P639" s="85">
        <v>0</v>
      </c>
      <c r="Q639" s="85">
        <v>0</v>
      </c>
      <c r="R639" s="85">
        <v>0</v>
      </c>
      <c r="S639" s="85">
        <v>0</v>
      </c>
      <c r="T639" s="85">
        <v>0</v>
      </c>
      <c r="U639" s="85">
        <v>0</v>
      </c>
      <c r="V639" s="85">
        <v>0</v>
      </c>
      <c r="W639" s="85">
        <v>0</v>
      </c>
      <c r="X639" s="85">
        <v>0</v>
      </c>
      <c r="Y639" s="85">
        <v>0</v>
      </c>
      <c r="Z639" s="85">
        <v>0</v>
      </c>
      <c r="AA639" s="85">
        <v>0</v>
      </c>
      <c r="AB639" s="85">
        <v>0</v>
      </c>
      <c r="AC639" s="85">
        <v>0</v>
      </c>
      <c r="AD639" s="85"/>
    </row>
    <row r="640" spans="1:30">
      <c r="A640" s="82" t="s">
        <v>545</v>
      </c>
      <c r="B640" s="83" t="s">
        <v>597</v>
      </c>
      <c r="C640" s="85">
        <v>0</v>
      </c>
      <c r="D640" s="85">
        <v>0</v>
      </c>
      <c r="E640" s="85">
        <v>0</v>
      </c>
      <c r="F640" s="85">
        <v>0</v>
      </c>
      <c r="G640" s="85">
        <v>0</v>
      </c>
      <c r="H640" s="85">
        <v>0</v>
      </c>
      <c r="I640" s="85">
        <v>0</v>
      </c>
      <c r="J640" s="85">
        <v>0</v>
      </c>
      <c r="K640" s="85">
        <v>0</v>
      </c>
      <c r="L640" s="85">
        <v>0</v>
      </c>
      <c r="M640" s="85">
        <f>2.2*0.02</f>
        <v>4.4000000000000004E-2</v>
      </c>
      <c r="N640" s="85">
        <v>0</v>
      </c>
      <c r="O640" s="85">
        <v>0</v>
      </c>
      <c r="P640" s="85">
        <v>0</v>
      </c>
      <c r="Q640" s="85">
        <v>0</v>
      </c>
      <c r="R640" s="85">
        <v>0</v>
      </c>
      <c r="S640" s="85">
        <v>0</v>
      </c>
      <c r="T640" s="85">
        <v>0</v>
      </c>
      <c r="U640" s="85">
        <f>6.75*0.02</f>
        <v>0.13500000000000001</v>
      </c>
      <c r="V640" s="85">
        <f>2*0.02</f>
        <v>0.04</v>
      </c>
      <c r="W640" s="85">
        <v>0</v>
      </c>
      <c r="X640" s="85">
        <v>0</v>
      </c>
      <c r="Y640" s="85">
        <v>0</v>
      </c>
      <c r="Z640" s="85">
        <v>0</v>
      </c>
      <c r="AA640" s="85">
        <f>0.73*0.02</f>
        <v>1.46E-2</v>
      </c>
      <c r="AB640" s="85">
        <v>0</v>
      </c>
      <c r="AC640" s="85">
        <v>0</v>
      </c>
      <c r="AD640" s="85"/>
    </row>
    <row r="641" spans="1:30">
      <c r="A641" s="82" t="s">
        <v>545</v>
      </c>
      <c r="B641" s="83" t="s">
        <v>600</v>
      </c>
      <c r="C641" s="85">
        <v>0</v>
      </c>
      <c r="D641" s="85">
        <v>0</v>
      </c>
      <c r="E641" s="85">
        <v>0</v>
      </c>
      <c r="F641" s="85">
        <v>0</v>
      </c>
      <c r="G641" s="85">
        <v>0</v>
      </c>
      <c r="H641" s="85">
        <v>0</v>
      </c>
      <c r="I641" s="85">
        <v>0</v>
      </c>
      <c r="J641" s="85">
        <v>0</v>
      </c>
      <c r="K641" s="85">
        <v>0</v>
      </c>
      <c r="L641" s="85">
        <v>0</v>
      </c>
      <c r="M641" s="85">
        <v>0</v>
      </c>
      <c r="N641" s="85">
        <v>0</v>
      </c>
      <c r="O641" s="85">
        <v>0</v>
      </c>
      <c r="P641" s="85">
        <v>0</v>
      </c>
      <c r="Q641" s="85">
        <v>0</v>
      </c>
      <c r="R641" s="85">
        <v>0</v>
      </c>
      <c r="S641" s="85">
        <v>0</v>
      </c>
      <c r="T641" s="85">
        <v>0</v>
      </c>
      <c r="U641" s="85">
        <v>0</v>
      </c>
      <c r="V641" s="85">
        <v>0</v>
      </c>
      <c r="W641" s="85">
        <v>0</v>
      </c>
      <c r="X641" s="85">
        <v>0</v>
      </c>
      <c r="Y641" s="85">
        <v>0</v>
      </c>
      <c r="Z641" s="85">
        <v>0</v>
      </c>
      <c r="AA641" s="85">
        <v>0</v>
      </c>
      <c r="AB641" s="85">
        <v>0</v>
      </c>
      <c r="AC641" s="85">
        <v>0</v>
      </c>
      <c r="AD641" s="85"/>
    </row>
    <row r="642" spans="1:30">
      <c r="A642" s="82" t="s">
        <v>545</v>
      </c>
      <c r="B642" s="83" t="s">
        <v>595</v>
      </c>
      <c r="C642" s="85">
        <v>0</v>
      </c>
      <c r="D642" s="85">
        <v>0</v>
      </c>
      <c r="E642" s="85">
        <v>0</v>
      </c>
      <c r="F642" s="85">
        <v>0</v>
      </c>
      <c r="G642" s="85">
        <v>0</v>
      </c>
      <c r="H642" s="85">
        <v>0</v>
      </c>
      <c r="I642" s="85">
        <v>0</v>
      </c>
      <c r="J642" s="85">
        <v>0</v>
      </c>
      <c r="K642" s="85">
        <v>0</v>
      </c>
      <c r="L642" s="85">
        <f>0.09*0.11</f>
        <v>9.8999999999999991E-3</v>
      </c>
      <c r="M642" s="85">
        <v>0</v>
      </c>
      <c r="N642" s="85">
        <v>0</v>
      </c>
      <c r="O642" s="85">
        <v>0</v>
      </c>
      <c r="P642" s="85">
        <f>1.48*0.11</f>
        <v>0.1628</v>
      </c>
      <c r="Q642" s="85">
        <f>3*0.11</f>
        <v>0.33</v>
      </c>
      <c r="R642" s="85">
        <f>17.3*0.11</f>
        <v>1.903</v>
      </c>
      <c r="S642" s="85">
        <f>17.56*0.11</f>
        <v>1.9315999999999998</v>
      </c>
      <c r="T642" s="85">
        <f>68.728*0.11</f>
        <v>7.5600799999999992</v>
      </c>
      <c r="U642" s="85">
        <f>23.29*0.11</f>
        <v>2.5619000000000001</v>
      </c>
      <c r="V642" s="85">
        <f>18.782*0.11</f>
        <v>2.06602</v>
      </c>
      <c r="W642" s="85">
        <f>20.3*0.11</f>
        <v>2.2330000000000001</v>
      </c>
      <c r="X642" s="85">
        <f>9.248*0.11</f>
        <v>1.01728</v>
      </c>
      <c r="Y642" s="85">
        <v>0</v>
      </c>
      <c r="Z642" s="85">
        <v>0</v>
      </c>
      <c r="AA642" s="85">
        <v>0</v>
      </c>
      <c r="AB642" s="85">
        <v>0</v>
      </c>
      <c r="AC642" s="85">
        <v>0</v>
      </c>
      <c r="AD642" s="85"/>
    </row>
    <row r="643" spans="1:30">
      <c r="A643" s="82" t="s">
        <v>545</v>
      </c>
      <c r="B643" s="83" t="s">
        <v>700</v>
      </c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>
        <f>21.5*0.11</f>
        <v>2.3650000000000002</v>
      </c>
      <c r="S643" s="85">
        <f>22.79*0.11</f>
        <v>2.5068999999999999</v>
      </c>
      <c r="T643" s="85">
        <f>67.86989*0.11</f>
        <v>7.4656878999999998</v>
      </c>
      <c r="U643" s="85">
        <f>44.31*0.11</f>
        <v>4.8741000000000003</v>
      </c>
      <c r="V643" s="85">
        <f>39.917*0.11</f>
        <v>4.3908700000000005</v>
      </c>
      <c r="W643" s="85">
        <f>41.9*0.11</f>
        <v>4.609</v>
      </c>
      <c r="X643" s="85">
        <f>43.244*0.11</f>
        <v>4.7568400000000004</v>
      </c>
      <c r="Y643" s="85">
        <v>0</v>
      </c>
      <c r="Z643" s="85">
        <v>0</v>
      </c>
      <c r="AA643" s="85">
        <v>0</v>
      </c>
      <c r="AB643" s="85">
        <v>0</v>
      </c>
      <c r="AC643" s="85">
        <v>0</v>
      </c>
      <c r="AD643" s="85"/>
    </row>
    <row r="644" spans="1:30">
      <c r="A644" s="82" t="s">
        <v>545</v>
      </c>
      <c r="B644" s="83" t="s">
        <v>596</v>
      </c>
      <c r="C644" s="85">
        <v>0</v>
      </c>
      <c r="D644" s="85">
        <v>0</v>
      </c>
      <c r="E644" s="85">
        <v>0</v>
      </c>
      <c r="F644" s="85">
        <v>0</v>
      </c>
      <c r="G644" s="85">
        <v>0</v>
      </c>
      <c r="H644" s="85">
        <v>0</v>
      </c>
      <c r="I644" s="85">
        <v>0</v>
      </c>
      <c r="J644" s="85">
        <v>0</v>
      </c>
      <c r="K644" s="85">
        <v>0</v>
      </c>
      <c r="L644" s="85">
        <v>0</v>
      </c>
      <c r="M644" s="85">
        <f>20.16*0.065</f>
        <v>1.3104</v>
      </c>
      <c r="N644" s="85">
        <v>2.6208</v>
      </c>
      <c r="O644" s="85">
        <v>0</v>
      </c>
      <c r="P644" s="85">
        <v>0</v>
      </c>
      <c r="Q644" s="85">
        <f>10.8*0.065</f>
        <v>0.70200000000000007</v>
      </c>
      <c r="R644" s="85">
        <f>13.3*0.065</f>
        <v>0.86450000000000005</v>
      </c>
      <c r="S644" s="85">
        <v>0</v>
      </c>
      <c r="T644" s="85">
        <f>79.2*0.065</f>
        <v>5.1480000000000006</v>
      </c>
      <c r="U644" s="85">
        <f>69.67*0.065</f>
        <v>4.5285500000000001</v>
      </c>
      <c r="V644" s="85">
        <f>11.16*0.065</f>
        <v>0.72540000000000004</v>
      </c>
      <c r="W644" s="85">
        <v>0</v>
      </c>
      <c r="X644" s="85">
        <v>0</v>
      </c>
      <c r="Y644" s="85">
        <v>0</v>
      </c>
      <c r="Z644" s="85">
        <v>0</v>
      </c>
      <c r="AA644" s="85">
        <v>0</v>
      </c>
      <c r="AB644" s="85">
        <v>0</v>
      </c>
      <c r="AC644" s="85">
        <v>0</v>
      </c>
      <c r="AD644" s="85"/>
    </row>
    <row r="645" spans="1:30">
      <c r="A645" s="82" t="s">
        <v>545</v>
      </c>
      <c r="B645" s="83" t="s">
        <v>594</v>
      </c>
      <c r="C645" s="85">
        <f>303.6*0.055</f>
        <v>16.698</v>
      </c>
      <c r="D645" s="85">
        <f>305.4*0.055</f>
        <v>16.797000000000001</v>
      </c>
      <c r="E645" s="85">
        <f>282.6*0.055</f>
        <v>15.543000000000001</v>
      </c>
      <c r="F645" s="85">
        <f>327.7*0.055</f>
        <v>18.023499999999999</v>
      </c>
      <c r="G645" s="85">
        <f>340.88*0.055</f>
        <v>18.7484</v>
      </c>
      <c r="H645" s="85">
        <f>411.887*0.055</f>
        <v>22.653784999999999</v>
      </c>
      <c r="I645" s="85">
        <f>280.087*0.055</f>
        <v>15.404784999999999</v>
      </c>
      <c r="J645" s="85">
        <f>288.1*0.055</f>
        <v>15.845500000000001</v>
      </c>
      <c r="K645" s="85">
        <f>306.92*0.055</f>
        <v>16.880600000000001</v>
      </c>
      <c r="L645" s="85">
        <f>364.4*0.055</f>
        <v>20.041999999999998</v>
      </c>
      <c r="M645" s="85">
        <f>333.97*0.055</f>
        <v>18.368350000000003</v>
      </c>
      <c r="N645" s="85">
        <v>29.566350000000003</v>
      </c>
      <c r="O645" s="85">
        <f>354.42*0.055</f>
        <v>19.493100000000002</v>
      </c>
      <c r="P645" s="85">
        <f>445.87*0.055</f>
        <v>24.522850000000002</v>
      </c>
      <c r="Q645" s="85">
        <f>540.03*0.055</f>
        <v>29.701649999999997</v>
      </c>
      <c r="R645" s="85">
        <f>535.1*0.055</f>
        <v>29.430500000000002</v>
      </c>
      <c r="S645" s="85">
        <f>597.86*0.055</f>
        <v>32.882300000000001</v>
      </c>
      <c r="T645" s="85">
        <f>768.1036*0.055</f>
        <v>42.245698000000004</v>
      </c>
      <c r="U645" s="85">
        <f>393.49*0.055</f>
        <v>21.641950000000001</v>
      </c>
      <c r="V645" s="85">
        <f>318.878*0.055</f>
        <v>17.53829</v>
      </c>
      <c r="W645" s="85">
        <f>364.9*0.055</f>
        <v>20.069499999999998</v>
      </c>
      <c r="X645" s="85">
        <f>347.1828*0.055</f>
        <v>19.095054000000001</v>
      </c>
      <c r="Y645" s="85">
        <f>316.956*0.055</f>
        <v>17.432580000000002</v>
      </c>
      <c r="Z645" s="85">
        <f>348.595*0.055</f>
        <v>19.172725000000003</v>
      </c>
      <c r="AA645" s="85">
        <f>325.23*0.055</f>
        <v>17.887650000000001</v>
      </c>
      <c r="AB645" s="85">
        <f>290.16*0.055</f>
        <v>15.958800000000002</v>
      </c>
      <c r="AC645" s="85">
        <f>269.93*0.055</f>
        <v>14.84615</v>
      </c>
      <c r="AD645" s="85"/>
    </row>
    <row r="646" spans="1:30">
      <c r="A646" s="82" t="s">
        <v>545</v>
      </c>
      <c r="B646" s="87" t="s">
        <v>643</v>
      </c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>
        <v>0</v>
      </c>
      <c r="O646" s="85">
        <v>0</v>
      </c>
      <c r="P646" s="85">
        <v>0</v>
      </c>
      <c r="Q646" s="85">
        <v>0</v>
      </c>
      <c r="R646" s="85">
        <v>0</v>
      </c>
      <c r="S646" s="85">
        <v>0</v>
      </c>
      <c r="T646" s="85">
        <v>0</v>
      </c>
      <c r="U646" s="85">
        <v>0</v>
      </c>
      <c r="V646" s="85">
        <v>0</v>
      </c>
      <c r="W646" s="85">
        <v>0</v>
      </c>
      <c r="X646" s="85">
        <v>0</v>
      </c>
      <c r="Y646" s="85">
        <v>0</v>
      </c>
      <c r="Z646" s="85">
        <v>0</v>
      </c>
      <c r="AA646" s="85">
        <v>0</v>
      </c>
      <c r="AB646" s="85">
        <v>0</v>
      </c>
      <c r="AC646" s="85">
        <v>0</v>
      </c>
      <c r="AD646" s="85"/>
    </row>
    <row r="647" spans="1:30">
      <c r="A647" s="82" t="s">
        <v>546</v>
      </c>
      <c r="B647" s="83" t="s">
        <v>597</v>
      </c>
      <c r="C647" s="85">
        <v>0</v>
      </c>
      <c r="D647" s="85">
        <v>0</v>
      </c>
      <c r="E647" s="85">
        <v>0</v>
      </c>
      <c r="F647" s="85">
        <v>0</v>
      </c>
      <c r="G647" s="85">
        <v>0</v>
      </c>
      <c r="H647" s="85">
        <v>0</v>
      </c>
      <c r="I647" s="85">
        <v>0</v>
      </c>
      <c r="J647" s="85">
        <v>0</v>
      </c>
      <c r="K647" s="85">
        <v>0</v>
      </c>
      <c r="L647" s="85">
        <v>0</v>
      </c>
      <c r="M647" s="85"/>
      <c r="N647" s="85">
        <v>0</v>
      </c>
      <c r="O647" s="85">
        <v>0</v>
      </c>
      <c r="P647" s="85">
        <v>0</v>
      </c>
      <c r="Q647" s="85">
        <v>0</v>
      </c>
      <c r="R647" s="85">
        <v>0</v>
      </c>
      <c r="S647" s="85">
        <v>0</v>
      </c>
      <c r="T647" s="85">
        <v>0</v>
      </c>
      <c r="U647" s="85">
        <f>1.08*0.02</f>
        <v>2.1600000000000001E-2</v>
      </c>
      <c r="V647" s="85">
        <v>0</v>
      </c>
      <c r="W647" s="85">
        <v>0</v>
      </c>
      <c r="X647" s="85">
        <v>0</v>
      </c>
      <c r="Y647" s="85">
        <f>2.09*0.02</f>
        <v>4.1799999999999997E-2</v>
      </c>
      <c r="Z647" s="85">
        <v>0</v>
      </c>
      <c r="AA647" s="85">
        <v>0</v>
      </c>
      <c r="AB647" s="85">
        <v>0</v>
      </c>
      <c r="AC647" s="85">
        <v>0</v>
      </c>
      <c r="AD647" s="85"/>
    </row>
    <row r="648" spans="1:30">
      <c r="A648" s="82" t="s">
        <v>546</v>
      </c>
      <c r="B648" s="83" t="s">
        <v>600</v>
      </c>
      <c r="C648" s="85">
        <v>0</v>
      </c>
      <c r="D648" s="85">
        <v>0</v>
      </c>
      <c r="E648" s="85">
        <v>0</v>
      </c>
      <c r="F648" s="85">
        <v>0</v>
      </c>
      <c r="G648" s="85">
        <v>0</v>
      </c>
      <c r="H648" s="85">
        <v>0</v>
      </c>
      <c r="I648" s="85">
        <v>0</v>
      </c>
      <c r="J648" s="85">
        <v>0</v>
      </c>
      <c r="K648" s="85">
        <v>0</v>
      </c>
      <c r="L648" s="85">
        <v>0</v>
      </c>
      <c r="M648" s="85"/>
      <c r="N648" s="85">
        <v>0</v>
      </c>
      <c r="O648" s="85">
        <v>0</v>
      </c>
      <c r="P648" s="85">
        <v>0</v>
      </c>
      <c r="Q648" s="85">
        <v>0</v>
      </c>
      <c r="R648" s="85">
        <v>0</v>
      </c>
      <c r="S648" s="85">
        <v>0</v>
      </c>
      <c r="T648" s="85">
        <v>0</v>
      </c>
      <c r="U648" s="85">
        <v>0</v>
      </c>
      <c r="V648" s="85">
        <v>0</v>
      </c>
      <c r="W648" s="85">
        <v>0</v>
      </c>
      <c r="X648" s="85">
        <v>0</v>
      </c>
      <c r="Y648" s="85">
        <v>0</v>
      </c>
      <c r="Z648" s="85">
        <v>0</v>
      </c>
      <c r="AA648" s="85">
        <v>0</v>
      </c>
      <c r="AB648" s="85">
        <v>0</v>
      </c>
      <c r="AC648" s="85">
        <v>0</v>
      </c>
      <c r="AD648" s="85"/>
    </row>
    <row r="649" spans="1:30">
      <c r="A649" s="82" t="s">
        <v>546</v>
      </c>
      <c r="B649" s="83" t="s">
        <v>595</v>
      </c>
      <c r="C649" s="85">
        <v>0</v>
      </c>
      <c r="D649" s="85">
        <v>0</v>
      </c>
      <c r="E649" s="85">
        <v>0</v>
      </c>
      <c r="F649" s="85">
        <v>0</v>
      </c>
      <c r="G649" s="85">
        <v>0</v>
      </c>
      <c r="H649" s="85">
        <v>0</v>
      </c>
      <c r="I649" s="85">
        <v>0</v>
      </c>
      <c r="J649" s="85">
        <v>0</v>
      </c>
      <c r="K649" s="85">
        <v>0</v>
      </c>
      <c r="L649" s="85">
        <v>0</v>
      </c>
      <c r="M649" s="85"/>
      <c r="N649" s="85">
        <f>150*0.11</f>
        <v>16.5</v>
      </c>
      <c r="O649" s="85">
        <f>613*0.11</f>
        <v>67.430000000000007</v>
      </c>
      <c r="P649" s="85">
        <f>1101.9*0.11</f>
        <v>121.20900000000002</v>
      </c>
      <c r="Q649" s="85">
        <f>1220*0.11</f>
        <v>134.19999999999999</v>
      </c>
      <c r="R649" s="85">
        <f>1298.2*0.11</f>
        <v>142.80199999999999</v>
      </c>
      <c r="S649" s="85">
        <f>1426.8*0.11</f>
        <v>156.94800000000001</v>
      </c>
      <c r="T649" s="85">
        <f>1391.9*0.11</f>
        <v>153.10900000000001</v>
      </c>
      <c r="U649" s="85">
        <f>845*0.11</f>
        <v>92.95</v>
      </c>
      <c r="V649" s="85">
        <f>546.5*0.11</f>
        <v>60.115000000000002</v>
      </c>
      <c r="W649" s="85">
        <f>555.75*0.11</f>
        <v>61.1325</v>
      </c>
      <c r="X649" s="85">
        <f>552.89*0.11</f>
        <v>60.817900000000002</v>
      </c>
      <c r="Y649" s="85">
        <f>504.16*0.11</f>
        <v>55.457600000000006</v>
      </c>
      <c r="Z649" s="85">
        <f>298.67*0.11</f>
        <v>32.853700000000003</v>
      </c>
      <c r="AA649" s="85">
        <f>495.5*0.11</f>
        <v>54.505000000000003</v>
      </c>
      <c r="AB649" s="85">
        <f>73*0.11</f>
        <v>8.0299999999999994</v>
      </c>
      <c r="AC649" s="85">
        <f>73*0.11</f>
        <v>8.0299999999999994</v>
      </c>
      <c r="AD649" s="85"/>
    </row>
    <row r="650" spans="1:30">
      <c r="A650" s="82" t="s">
        <v>546</v>
      </c>
      <c r="B650" s="83" t="s">
        <v>700</v>
      </c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>
        <f>690*0.11</f>
        <v>75.900000000000006</v>
      </c>
      <c r="AC650" s="85">
        <v>0</v>
      </c>
      <c r="AD650" s="85"/>
    </row>
    <row r="651" spans="1:30">
      <c r="A651" s="82" t="s">
        <v>546</v>
      </c>
      <c r="B651" s="83" t="s">
        <v>596</v>
      </c>
      <c r="C651" s="85">
        <v>0</v>
      </c>
      <c r="D651" s="85">
        <v>0</v>
      </c>
      <c r="E651" s="85">
        <v>0</v>
      </c>
      <c r="F651" s="85">
        <v>0</v>
      </c>
      <c r="G651" s="85">
        <v>0</v>
      </c>
      <c r="H651" s="85">
        <v>0</v>
      </c>
      <c r="I651" s="85">
        <v>0</v>
      </c>
      <c r="J651" s="85">
        <v>0</v>
      </c>
      <c r="K651" s="85">
        <v>0</v>
      </c>
      <c r="L651" s="85">
        <v>0</v>
      </c>
      <c r="M651" s="85"/>
      <c r="N651" s="85">
        <v>0</v>
      </c>
      <c r="O651" s="85">
        <v>0</v>
      </c>
      <c r="P651" s="85">
        <v>0</v>
      </c>
      <c r="Q651" s="85">
        <v>0</v>
      </c>
      <c r="R651" s="85">
        <v>0</v>
      </c>
      <c r="S651" s="85">
        <v>0</v>
      </c>
      <c r="T651" s="85">
        <f>52.3*0.065</f>
        <v>3.3994999999999997</v>
      </c>
      <c r="U651" s="85">
        <f>59.06*0.065</f>
        <v>3.8389000000000002</v>
      </c>
      <c r="V651" s="85">
        <f>18.44*0.065</f>
        <v>1.1986000000000001</v>
      </c>
      <c r="W651" s="85">
        <f>16.42*0.065</f>
        <v>1.0673000000000001</v>
      </c>
      <c r="X651" s="85">
        <f>16.5*0.065</f>
        <v>1.0725</v>
      </c>
      <c r="Y651" s="85">
        <f>46.02*0.065</f>
        <v>2.9913000000000003</v>
      </c>
      <c r="Z651" s="85">
        <f>46*0.065</f>
        <v>2.99</v>
      </c>
      <c r="AA651" s="85">
        <f>44*0.065</f>
        <v>2.8600000000000003</v>
      </c>
      <c r="AB651" s="85">
        <f>46*0.065</f>
        <v>2.99</v>
      </c>
      <c r="AC651" s="85">
        <v>0</v>
      </c>
      <c r="AD651" s="85"/>
    </row>
    <row r="652" spans="1:30">
      <c r="A652" s="82" t="s">
        <v>546</v>
      </c>
      <c r="B652" s="83" t="s">
        <v>594</v>
      </c>
      <c r="C652" s="85">
        <f>337*0.055</f>
        <v>18.535</v>
      </c>
      <c r="D652" s="85">
        <f>246*0.055</f>
        <v>13.53</v>
      </c>
      <c r="E652" s="85">
        <f>276*0.055</f>
        <v>15.18</v>
      </c>
      <c r="F652" s="85">
        <f>484*0.055</f>
        <v>26.62</v>
      </c>
      <c r="G652" s="85">
        <f>628*0.055</f>
        <v>34.54</v>
      </c>
      <c r="H652" s="85">
        <f>628*0.055</f>
        <v>34.54</v>
      </c>
      <c r="I652" s="85">
        <f>628*0.055</f>
        <v>34.54</v>
      </c>
      <c r="J652" s="85">
        <f>804*0.055</f>
        <v>44.22</v>
      </c>
      <c r="K652" s="85">
        <f>1058.97*0.055</f>
        <v>58.24335</v>
      </c>
      <c r="L652" s="85">
        <f>255*0.055</f>
        <v>14.025</v>
      </c>
      <c r="M652" s="85"/>
      <c r="N652" s="85">
        <f>890*0.055</f>
        <v>48.95</v>
      </c>
      <c r="O652" s="85">
        <f>2113.8*0.055</f>
        <v>116.25900000000001</v>
      </c>
      <c r="P652" s="85">
        <f>1241.35*0.055</f>
        <v>68.274249999999995</v>
      </c>
      <c r="Q652" s="85">
        <f>1920*0.055</f>
        <v>105.6</v>
      </c>
      <c r="R652" s="85">
        <f>2039.6*0.055</f>
        <v>112.178</v>
      </c>
      <c r="S652" s="85">
        <f>2165.5*0.055</f>
        <v>119.10250000000001</v>
      </c>
      <c r="T652" s="85">
        <f>3085.9*0.055</f>
        <v>169.72450000000001</v>
      </c>
      <c r="U652" s="85">
        <f>2731.09*0.055</f>
        <v>150.20995000000002</v>
      </c>
      <c r="V652" s="85">
        <f>3245.01*0.055</f>
        <v>178.47555000000003</v>
      </c>
      <c r="W652" s="85">
        <f>2562.39*0.055</f>
        <v>140.93144999999998</v>
      </c>
      <c r="X652" s="85">
        <f>2802*0.055</f>
        <v>154.11000000000001</v>
      </c>
      <c r="Y652" s="85">
        <f>2696.84*0.055</f>
        <v>148.3262</v>
      </c>
      <c r="Z652" s="85">
        <f>2806.38*0.055</f>
        <v>154.3509</v>
      </c>
      <c r="AA652" s="85">
        <f>2752.41*0.055</f>
        <v>151.38254999999998</v>
      </c>
      <c r="AB652" s="85">
        <f>2021.71*0.055</f>
        <v>111.19405</v>
      </c>
      <c r="AC652" s="85">
        <f>2045.99*0.055</f>
        <v>112.52945</v>
      </c>
      <c r="AD652" s="85"/>
    </row>
    <row r="653" spans="1:30">
      <c r="A653" s="82" t="s">
        <v>546</v>
      </c>
      <c r="B653" s="87" t="s">
        <v>643</v>
      </c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>
        <v>0</v>
      </c>
      <c r="O653" s="85">
        <v>0</v>
      </c>
      <c r="P653" s="85">
        <v>0</v>
      </c>
      <c r="Q653" s="85">
        <v>0</v>
      </c>
      <c r="R653" s="85">
        <v>0</v>
      </c>
      <c r="S653" s="85">
        <v>0</v>
      </c>
      <c r="T653" s="85">
        <v>0</v>
      </c>
      <c r="U653" s="85">
        <v>0</v>
      </c>
      <c r="V653" s="85">
        <v>0</v>
      </c>
      <c r="W653" s="85">
        <v>0</v>
      </c>
      <c r="X653" s="85">
        <v>0</v>
      </c>
      <c r="Y653" s="85">
        <v>0</v>
      </c>
      <c r="Z653" s="85">
        <v>0</v>
      </c>
      <c r="AA653" s="85">
        <v>0</v>
      </c>
      <c r="AB653" s="85">
        <v>0</v>
      </c>
      <c r="AC653" s="85">
        <v>0</v>
      </c>
      <c r="AD653" s="85"/>
    </row>
    <row r="654" spans="1:30">
      <c r="A654" s="82" t="s">
        <v>767</v>
      </c>
      <c r="B654" s="83" t="s">
        <v>597</v>
      </c>
      <c r="C654" s="85">
        <v>0</v>
      </c>
      <c r="D654" s="85">
        <v>0</v>
      </c>
      <c r="E654" s="85">
        <v>0</v>
      </c>
      <c r="F654" s="85">
        <v>0</v>
      </c>
      <c r="G654" s="85">
        <v>0</v>
      </c>
      <c r="H654" s="85">
        <v>0</v>
      </c>
      <c r="I654" s="85">
        <v>0</v>
      </c>
      <c r="J654" s="85">
        <v>0</v>
      </c>
      <c r="K654" s="85">
        <v>0</v>
      </c>
      <c r="L654" s="85"/>
      <c r="M654" s="85"/>
      <c r="N654" s="85">
        <v>0</v>
      </c>
      <c r="O654" s="85">
        <v>0</v>
      </c>
      <c r="P654" s="85">
        <v>0</v>
      </c>
      <c r="Q654" s="85">
        <v>0</v>
      </c>
      <c r="R654" s="85">
        <v>0</v>
      </c>
      <c r="S654" s="85">
        <v>0</v>
      </c>
      <c r="T654" s="85">
        <v>0</v>
      </c>
      <c r="U654" s="85">
        <v>0</v>
      </c>
      <c r="V654" s="85">
        <v>0</v>
      </c>
      <c r="W654" s="85">
        <v>0</v>
      </c>
      <c r="X654" s="85">
        <v>0</v>
      </c>
      <c r="Y654" s="85">
        <v>0</v>
      </c>
      <c r="Z654" s="85">
        <v>0</v>
      </c>
      <c r="AA654" s="85">
        <v>0</v>
      </c>
      <c r="AB654" s="85">
        <v>0</v>
      </c>
      <c r="AC654" s="85">
        <v>0</v>
      </c>
      <c r="AD654" s="85"/>
    </row>
    <row r="655" spans="1:30">
      <c r="A655" s="82" t="s">
        <v>767</v>
      </c>
      <c r="B655" s="83" t="s">
        <v>600</v>
      </c>
      <c r="C655" s="85">
        <v>0</v>
      </c>
      <c r="D655" s="85">
        <v>0</v>
      </c>
      <c r="E655" s="85">
        <v>0</v>
      </c>
      <c r="F655" s="85">
        <v>0</v>
      </c>
      <c r="G655" s="85">
        <v>0</v>
      </c>
      <c r="H655" s="85">
        <v>0</v>
      </c>
      <c r="I655" s="85">
        <v>0</v>
      </c>
      <c r="J655" s="85">
        <v>0</v>
      </c>
      <c r="K655" s="85">
        <v>0</v>
      </c>
      <c r="L655" s="85"/>
      <c r="M655" s="85"/>
      <c r="N655" s="85">
        <v>0</v>
      </c>
      <c r="O655" s="85">
        <v>0</v>
      </c>
      <c r="P655" s="85">
        <v>0</v>
      </c>
      <c r="Q655" s="85">
        <v>0</v>
      </c>
      <c r="R655" s="85">
        <v>0</v>
      </c>
      <c r="S655" s="85">
        <v>0</v>
      </c>
      <c r="T655" s="85">
        <v>0</v>
      </c>
      <c r="U655" s="85">
        <v>0</v>
      </c>
      <c r="V655" s="85">
        <v>0</v>
      </c>
      <c r="W655" s="85">
        <v>0</v>
      </c>
      <c r="X655" s="85">
        <v>0</v>
      </c>
      <c r="Y655" s="85">
        <v>0</v>
      </c>
      <c r="Z655" s="85">
        <v>0</v>
      </c>
      <c r="AA655" s="85">
        <v>0</v>
      </c>
      <c r="AB655" s="85">
        <v>0</v>
      </c>
      <c r="AC655" s="85">
        <v>0</v>
      </c>
      <c r="AD655" s="85"/>
    </row>
    <row r="656" spans="1:30">
      <c r="A656" s="82" t="s">
        <v>767</v>
      </c>
      <c r="B656" s="83" t="s">
        <v>595</v>
      </c>
      <c r="C656" s="85">
        <v>0</v>
      </c>
      <c r="D656" s="85">
        <v>0</v>
      </c>
      <c r="E656" s="85">
        <v>0</v>
      </c>
      <c r="F656" s="85">
        <v>0</v>
      </c>
      <c r="G656" s="85">
        <v>0</v>
      </c>
      <c r="H656" s="85">
        <v>0</v>
      </c>
      <c r="I656" s="85">
        <v>0</v>
      </c>
      <c r="J656" s="85">
        <v>0</v>
      </c>
      <c r="K656" s="85">
        <v>0</v>
      </c>
      <c r="L656" s="85"/>
      <c r="M656" s="85"/>
      <c r="N656" s="85">
        <v>0</v>
      </c>
      <c r="O656" s="85">
        <v>0</v>
      </c>
      <c r="P656" s="85">
        <v>0</v>
      </c>
      <c r="Q656" s="85">
        <v>0</v>
      </c>
      <c r="R656" s="85">
        <v>0</v>
      </c>
      <c r="S656" s="85">
        <v>0</v>
      </c>
      <c r="T656" s="85">
        <v>0</v>
      </c>
      <c r="U656" s="85">
        <v>0</v>
      </c>
      <c r="V656" s="85">
        <v>0</v>
      </c>
      <c r="W656" s="85">
        <v>0</v>
      </c>
      <c r="X656" s="85">
        <v>0</v>
      </c>
      <c r="Y656" s="85">
        <v>0</v>
      </c>
      <c r="Z656" s="85">
        <v>0</v>
      </c>
      <c r="AA656" s="85">
        <v>0</v>
      </c>
      <c r="AB656" s="85">
        <v>0</v>
      </c>
      <c r="AC656" s="85">
        <v>0</v>
      </c>
      <c r="AD656" s="85"/>
    </row>
    <row r="657" spans="1:30">
      <c r="A657" s="82" t="s">
        <v>767</v>
      </c>
      <c r="B657" s="83" t="s">
        <v>596</v>
      </c>
      <c r="C657" s="85">
        <v>0</v>
      </c>
      <c r="D657" s="85">
        <v>0</v>
      </c>
      <c r="E657" s="85">
        <v>0</v>
      </c>
      <c r="F657" s="85">
        <v>0</v>
      </c>
      <c r="G657" s="85">
        <v>0</v>
      </c>
      <c r="H657" s="85">
        <v>0</v>
      </c>
      <c r="I657" s="85">
        <v>0</v>
      </c>
      <c r="J657" s="85">
        <v>0</v>
      </c>
      <c r="K657" s="85">
        <v>0</v>
      </c>
      <c r="L657" s="85"/>
      <c r="M657" s="85"/>
      <c r="N657" s="85">
        <v>0</v>
      </c>
      <c r="O657" s="85">
        <v>0</v>
      </c>
      <c r="P657" s="85">
        <v>0</v>
      </c>
      <c r="Q657" s="85">
        <v>0</v>
      </c>
      <c r="R657" s="85">
        <v>0</v>
      </c>
      <c r="S657" s="85">
        <v>0</v>
      </c>
      <c r="T657" s="85">
        <v>0</v>
      </c>
      <c r="U657" s="85">
        <v>0</v>
      </c>
      <c r="V657" s="85">
        <v>0</v>
      </c>
      <c r="W657" s="85">
        <v>0</v>
      </c>
      <c r="X657" s="85">
        <v>0</v>
      </c>
      <c r="Y657" s="85">
        <v>0</v>
      </c>
      <c r="Z657" s="85">
        <v>0</v>
      </c>
      <c r="AA657" s="85">
        <v>0</v>
      </c>
      <c r="AB657" s="85">
        <v>0</v>
      </c>
      <c r="AC657" s="85">
        <v>0</v>
      </c>
      <c r="AD657" s="85"/>
    </row>
    <row r="658" spans="1:30">
      <c r="A658" s="82" t="s">
        <v>767</v>
      </c>
      <c r="B658" s="83" t="s">
        <v>594</v>
      </c>
      <c r="C658" s="85">
        <v>0</v>
      </c>
      <c r="D658" s="85">
        <v>0</v>
      </c>
      <c r="E658" s="85">
        <v>0</v>
      </c>
      <c r="F658" s="85">
        <f>1424*0.055</f>
        <v>78.320000000000007</v>
      </c>
      <c r="G658" s="85">
        <f>2068*0.055</f>
        <v>113.74</v>
      </c>
      <c r="H658" s="85">
        <f>1275*0.055</f>
        <v>70.125</v>
      </c>
      <c r="I658" s="85">
        <f>1275*0.055</f>
        <v>70.125</v>
      </c>
      <c r="J658" s="85">
        <f>1.18*0.055</f>
        <v>6.4899999999999999E-2</v>
      </c>
      <c r="K658" s="85">
        <f>1.9*0.055</f>
        <v>0.1045</v>
      </c>
      <c r="L658" s="85"/>
      <c r="M658" s="85"/>
      <c r="N658" s="85">
        <f>0.41*0.055</f>
        <v>2.2549999999999997E-2</v>
      </c>
      <c r="O658" s="85">
        <f>0.99*0.055</f>
        <v>5.4449999999999998E-2</v>
      </c>
      <c r="P658" s="85">
        <f>0.37*0.055</f>
        <v>2.035E-2</v>
      </c>
      <c r="Q658" s="85">
        <f>3.04*0.055</f>
        <v>0.16720000000000002</v>
      </c>
      <c r="R658" s="85">
        <f>3.38*0.055</f>
        <v>0.18589999999999998</v>
      </c>
      <c r="S658" s="85">
        <f>3.06*0.055</f>
        <v>0.16830000000000001</v>
      </c>
      <c r="T658" s="85">
        <f>3*0.055</f>
        <v>0.16500000000000001</v>
      </c>
      <c r="U658" s="85">
        <f>2.23*0.055</f>
        <v>0.12265</v>
      </c>
      <c r="V658" s="85">
        <f>2.18*0.055</f>
        <v>0.11990000000000001</v>
      </c>
      <c r="W658" s="85">
        <f>2.09*0.055</f>
        <v>0.11495</v>
      </c>
      <c r="X658" s="85">
        <f>2.11*0.055</f>
        <v>0.11605</v>
      </c>
      <c r="Y658" s="85">
        <f>1.8*0.055</f>
        <v>9.9000000000000005E-2</v>
      </c>
      <c r="Z658" s="85">
        <f>1.2*0.055</f>
        <v>6.6000000000000003E-2</v>
      </c>
      <c r="AA658" s="85">
        <f>0.13*0.055</f>
        <v>7.1500000000000001E-3</v>
      </c>
      <c r="AB658" s="85">
        <f>0.34*0.055</f>
        <v>1.8700000000000001E-2</v>
      </c>
      <c r="AC658" s="88">
        <f>0.07*0.055</f>
        <v>3.8500000000000006E-3</v>
      </c>
      <c r="AD658" s="85"/>
    </row>
    <row r="659" spans="1:30">
      <c r="A659" s="82" t="s">
        <v>767</v>
      </c>
      <c r="B659" s="87" t="s">
        <v>643</v>
      </c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>
        <v>0</v>
      </c>
      <c r="O659" s="85">
        <v>0</v>
      </c>
      <c r="P659" s="85">
        <v>0</v>
      </c>
      <c r="Q659" s="85">
        <v>0</v>
      </c>
      <c r="R659" s="85">
        <v>0</v>
      </c>
      <c r="S659" s="85">
        <v>0</v>
      </c>
      <c r="T659" s="85">
        <v>0</v>
      </c>
      <c r="U659" s="85">
        <v>0</v>
      </c>
      <c r="V659" s="85">
        <v>0</v>
      </c>
      <c r="W659" s="85">
        <v>0</v>
      </c>
      <c r="X659" s="85">
        <v>0</v>
      </c>
      <c r="Y659" s="85">
        <v>0</v>
      </c>
      <c r="Z659" s="85">
        <v>0</v>
      </c>
      <c r="AA659" s="85">
        <v>0</v>
      </c>
      <c r="AB659" s="85">
        <v>0</v>
      </c>
      <c r="AC659" s="85">
        <v>0</v>
      </c>
      <c r="AD659" s="85"/>
    </row>
    <row r="660" spans="1:30">
      <c r="A660" s="82" t="s">
        <v>548</v>
      </c>
      <c r="B660" s="83" t="s">
        <v>597</v>
      </c>
      <c r="C660" s="85">
        <v>0</v>
      </c>
      <c r="D660" s="85">
        <v>0</v>
      </c>
      <c r="E660" s="85">
        <v>0</v>
      </c>
      <c r="F660" s="85">
        <v>0</v>
      </c>
      <c r="G660" s="85">
        <v>0</v>
      </c>
      <c r="H660" s="85">
        <v>0</v>
      </c>
      <c r="I660" s="85">
        <v>0</v>
      </c>
      <c r="J660" s="85">
        <v>0</v>
      </c>
      <c r="K660" s="85">
        <v>0</v>
      </c>
      <c r="L660" s="85">
        <v>0</v>
      </c>
      <c r="M660" s="85">
        <v>0</v>
      </c>
      <c r="N660" s="85">
        <f>0.8*0.02</f>
        <v>1.6E-2</v>
      </c>
      <c r="O660" s="85">
        <f>2.49*0.02</f>
        <v>4.9800000000000004E-2</v>
      </c>
      <c r="P660" s="85">
        <f>0.14*0.02</f>
        <v>2.8000000000000004E-3</v>
      </c>
      <c r="Q660" s="85">
        <f>0.68*0.02</f>
        <v>1.3600000000000001E-2</v>
      </c>
      <c r="R660" s="85">
        <f>4.06*0.02</f>
        <v>8.1199999999999994E-2</v>
      </c>
      <c r="S660" s="85">
        <f>2.93*0.02</f>
        <v>5.8600000000000006E-2</v>
      </c>
      <c r="T660" s="85">
        <v>0</v>
      </c>
      <c r="U660" s="85">
        <f>2.42*0.02</f>
        <v>4.8399999999999999E-2</v>
      </c>
      <c r="V660" s="85">
        <f>0.74*0.02</f>
        <v>1.4800000000000001E-2</v>
      </c>
      <c r="W660" s="85">
        <f>1.46*0.02</f>
        <v>2.92E-2</v>
      </c>
      <c r="X660" s="85">
        <f>4.5*0.02</f>
        <v>0.09</v>
      </c>
      <c r="Y660" s="85">
        <f>0.53*0.02</f>
        <v>1.06E-2</v>
      </c>
      <c r="Z660" s="85">
        <v>0</v>
      </c>
      <c r="AA660" s="85">
        <v>0</v>
      </c>
      <c r="AB660" s="85">
        <v>0</v>
      </c>
      <c r="AC660" s="85">
        <v>0</v>
      </c>
      <c r="AD660" s="85"/>
    </row>
    <row r="661" spans="1:30">
      <c r="A661" s="82" t="s">
        <v>548</v>
      </c>
      <c r="B661" s="83" t="s">
        <v>600</v>
      </c>
      <c r="C661" s="85">
        <v>0</v>
      </c>
      <c r="D661" s="85">
        <v>0</v>
      </c>
      <c r="E661" s="85">
        <v>0</v>
      </c>
      <c r="F661" s="85">
        <v>0</v>
      </c>
      <c r="G661" s="85">
        <v>0</v>
      </c>
      <c r="H661" s="85">
        <v>0</v>
      </c>
      <c r="I661" s="85">
        <v>0</v>
      </c>
      <c r="J661" s="85">
        <v>0</v>
      </c>
      <c r="K661" s="85">
        <v>0</v>
      </c>
      <c r="L661" s="85">
        <v>0</v>
      </c>
      <c r="M661" s="85">
        <v>0</v>
      </c>
      <c r="N661" s="85">
        <v>0</v>
      </c>
      <c r="O661" s="85">
        <v>0</v>
      </c>
      <c r="P661" s="85">
        <f>1.42*0.022</f>
        <v>3.1239999999999997E-2</v>
      </c>
      <c r="Q661" s="85">
        <f>0.32*0.022</f>
        <v>7.0399999999999994E-3</v>
      </c>
      <c r="R661" s="85">
        <f>0.45*0.022</f>
        <v>9.8999999999999991E-3</v>
      </c>
      <c r="S661" s="85">
        <f>0.98*0.022</f>
        <v>2.1559999999999999E-2</v>
      </c>
      <c r="T661" s="85">
        <f>0.1*0.022</f>
        <v>2.2000000000000001E-3</v>
      </c>
      <c r="U661" s="85">
        <f>0.1*0.022</f>
        <v>2.2000000000000001E-3</v>
      </c>
      <c r="V661" s="85">
        <f>0.09*0.022</f>
        <v>1.98E-3</v>
      </c>
      <c r="W661" s="85">
        <f>0.071*0.022</f>
        <v>1.5619999999999998E-3</v>
      </c>
      <c r="X661" s="85">
        <v>0</v>
      </c>
      <c r="Y661" s="85">
        <v>0</v>
      </c>
      <c r="Z661" s="85">
        <v>0</v>
      </c>
      <c r="AA661" s="85">
        <v>0</v>
      </c>
      <c r="AB661" s="85">
        <v>0</v>
      </c>
      <c r="AC661" s="85">
        <v>0</v>
      </c>
      <c r="AD661" s="85"/>
    </row>
    <row r="662" spans="1:30">
      <c r="A662" s="82" t="s">
        <v>548</v>
      </c>
      <c r="B662" s="83" t="s">
        <v>595</v>
      </c>
      <c r="C662" s="85">
        <v>0</v>
      </c>
      <c r="D662" s="85">
        <v>0</v>
      </c>
      <c r="E662" s="85">
        <f>1.6*0.11</f>
        <v>0.17600000000000002</v>
      </c>
      <c r="F662" s="85">
        <f>1.6*0.11</f>
        <v>0.17600000000000002</v>
      </c>
      <c r="G662" s="85">
        <v>0</v>
      </c>
      <c r="H662" s="85">
        <v>0</v>
      </c>
      <c r="I662" s="85">
        <v>0</v>
      </c>
      <c r="J662" s="85">
        <v>0</v>
      </c>
      <c r="K662" s="85">
        <v>0</v>
      </c>
      <c r="L662" s="85">
        <v>0</v>
      </c>
      <c r="M662" s="85">
        <v>0</v>
      </c>
      <c r="N662" s="85">
        <f>4.14*0.11</f>
        <v>0.45539999999999997</v>
      </c>
      <c r="O662" s="85">
        <v>0</v>
      </c>
      <c r="P662" s="85">
        <f>22.59*0.11</f>
        <v>2.4849000000000001</v>
      </c>
      <c r="Q662" s="85">
        <f>11.72*0.11</f>
        <v>1.2892000000000001</v>
      </c>
      <c r="R662" s="85">
        <f>30.01*0.11</f>
        <v>3.3011000000000004</v>
      </c>
      <c r="S662" s="85">
        <f>25.5*0.11</f>
        <v>2.8050000000000002</v>
      </c>
      <c r="T662" s="85">
        <f>60.65*0.11</f>
        <v>6.6715</v>
      </c>
      <c r="U662" s="85">
        <f>18.41*0.11</f>
        <v>2.0251000000000001</v>
      </c>
      <c r="V662" s="85">
        <v>0</v>
      </c>
      <c r="W662" s="85">
        <v>0</v>
      </c>
      <c r="X662" s="85">
        <v>0</v>
      </c>
      <c r="Y662" s="85">
        <v>0</v>
      </c>
      <c r="Z662" s="85">
        <v>0</v>
      </c>
      <c r="AA662" s="85">
        <v>0</v>
      </c>
      <c r="AB662" s="85">
        <v>0</v>
      </c>
      <c r="AC662" s="85">
        <v>0</v>
      </c>
      <c r="AD662" s="85"/>
    </row>
    <row r="663" spans="1:30">
      <c r="A663" s="82" t="s">
        <v>548</v>
      </c>
      <c r="B663" s="83" t="s">
        <v>700</v>
      </c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>
        <f>50*0.11</f>
        <v>5.5</v>
      </c>
      <c r="R663" s="85">
        <f>21.6*0.11</f>
        <v>2.3760000000000003</v>
      </c>
      <c r="S663" s="85">
        <f>24.17*0.11</f>
        <v>2.6587000000000001</v>
      </c>
      <c r="T663" s="85">
        <f>35.85*0.11</f>
        <v>3.9435000000000002</v>
      </c>
      <c r="U663" s="85">
        <f>66.43*0.11</f>
        <v>7.3073000000000006</v>
      </c>
      <c r="V663" s="85">
        <f>71.15*0.11</f>
        <v>7.8265000000000002</v>
      </c>
      <c r="W663" s="85">
        <f>79.38*0.11</f>
        <v>8.7317999999999998</v>
      </c>
      <c r="X663" s="85">
        <f>41.35*0.11</f>
        <v>4.5484999999999998</v>
      </c>
      <c r="Y663" s="85">
        <f>60.62*0.11</f>
        <v>6.6681999999999997</v>
      </c>
      <c r="Z663" s="85">
        <f>52.81*0.11</f>
        <v>5.8090999999999999</v>
      </c>
      <c r="AA663" s="85">
        <f>70.73*0.11</f>
        <v>7.7803000000000004</v>
      </c>
      <c r="AB663" s="85">
        <v>0</v>
      </c>
      <c r="AC663" s="85">
        <v>0</v>
      </c>
      <c r="AD663" s="85"/>
    </row>
    <row r="664" spans="1:30">
      <c r="A664" s="82" t="s">
        <v>548</v>
      </c>
      <c r="B664" s="83" t="s">
        <v>596</v>
      </c>
      <c r="C664" s="85">
        <v>0</v>
      </c>
      <c r="D664" s="85">
        <v>0</v>
      </c>
      <c r="E664" s="85">
        <v>0</v>
      </c>
      <c r="F664" s="85">
        <v>0</v>
      </c>
      <c r="G664" s="85">
        <v>0</v>
      </c>
      <c r="H664" s="85">
        <v>0</v>
      </c>
      <c r="I664" s="85">
        <v>0</v>
      </c>
      <c r="J664" s="85">
        <v>0</v>
      </c>
      <c r="K664" s="85">
        <v>0</v>
      </c>
      <c r="L664" s="85">
        <v>0</v>
      </c>
      <c r="M664" s="85">
        <v>0</v>
      </c>
      <c r="N664" s="85">
        <v>0</v>
      </c>
      <c r="O664" s="85">
        <v>0</v>
      </c>
      <c r="P664" s="85">
        <f>3.63*0.065</f>
        <v>0.23594999999999999</v>
      </c>
      <c r="Q664" s="85">
        <f>1.31*0.065</f>
        <v>8.5150000000000003E-2</v>
      </c>
      <c r="R664" s="85">
        <f>4.12*0.065</f>
        <v>0.26780000000000004</v>
      </c>
      <c r="S664" s="85">
        <f>0.59*0.065</f>
        <v>3.8350000000000002E-2</v>
      </c>
      <c r="T664" s="85">
        <f>0.06*0.065</f>
        <v>3.8999999999999998E-3</v>
      </c>
      <c r="U664" s="85">
        <f>0.05*0.065</f>
        <v>3.2500000000000003E-3</v>
      </c>
      <c r="V664" s="85">
        <f>0.52*0.065</f>
        <v>3.3800000000000004E-2</v>
      </c>
      <c r="W664" s="85">
        <f>0.043*0.065</f>
        <v>2.7949999999999997E-3</v>
      </c>
      <c r="X664" s="85">
        <v>0</v>
      </c>
      <c r="Y664" s="85">
        <v>0</v>
      </c>
      <c r="Z664" s="85">
        <v>0</v>
      </c>
      <c r="AA664" s="85">
        <v>0</v>
      </c>
      <c r="AB664" s="85">
        <v>0</v>
      </c>
      <c r="AC664" s="85">
        <v>0</v>
      </c>
      <c r="AD664" s="85"/>
    </row>
    <row r="665" spans="1:30">
      <c r="A665" s="82" t="s">
        <v>548</v>
      </c>
      <c r="B665" s="83" t="s">
        <v>594</v>
      </c>
      <c r="C665" s="85">
        <f>302.91*0.055</f>
        <v>16.660050000000002</v>
      </c>
      <c r="D665" s="85">
        <f>259.66*0.055</f>
        <v>14.281300000000002</v>
      </c>
      <c r="E665" s="85">
        <f>227.58*0.055</f>
        <v>12.516900000000001</v>
      </c>
      <c r="F665" s="85">
        <f>275.84*0.055</f>
        <v>15.171199999999999</v>
      </c>
      <c r="G665" s="85">
        <f>226.2*0.055</f>
        <v>12.440999999999999</v>
      </c>
      <c r="H665" s="85">
        <f>201.16*0.055</f>
        <v>11.063800000000001</v>
      </c>
      <c r="I665" s="85">
        <f>222.93*0.055</f>
        <v>12.261150000000001</v>
      </c>
      <c r="J665" s="85">
        <f>170.35*0.055</f>
        <v>9.3692499999999992</v>
      </c>
      <c r="K665" s="85">
        <f>294.77*0.055</f>
        <v>16.212350000000001</v>
      </c>
      <c r="L665" s="85">
        <f>323.35*0.055</f>
        <v>17.78425</v>
      </c>
      <c r="M665" s="85">
        <f>371.89*0.055</f>
        <v>20.453949999999999</v>
      </c>
      <c r="N665" s="85">
        <f>375.27*0.055</f>
        <v>20.639849999999999</v>
      </c>
      <c r="O665" s="85">
        <f>232.01*0.055</f>
        <v>12.76055</v>
      </c>
      <c r="P665" s="85">
        <f>472.51*0.055</f>
        <v>25.988050000000001</v>
      </c>
      <c r="Q665" s="85">
        <f>428.28*0.055</f>
        <v>23.555399999999999</v>
      </c>
      <c r="R665" s="85">
        <f>380.36*0.055</f>
        <v>20.919800000000002</v>
      </c>
      <c r="S665" s="85">
        <f>381.14*0.055</f>
        <v>20.962699999999998</v>
      </c>
      <c r="T665" s="85">
        <f>474.48*0.055</f>
        <v>26.096400000000003</v>
      </c>
      <c r="U665" s="85">
        <f>350.76*0.055</f>
        <v>19.291799999999999</v>
      </c>
      <c r="V665" s="85">
        <f>348.6*0.055</f>
        <v>19.173000000000002</v>
      </c>
      <c r="W665" s="85">
        <f>318.13*0.055</f>
        <v>17.497150000000001</v>
      </c>
      <c r="X665" s="85">
        <f>332.04*0.055</f>
        <v>18.2622</v>
      </c>
      <c r="Y665" s="85">
        <f>300.27*0.055</f>
        <v>16.514849999999999</v>
      </c>
      <c r="Z665" s="85">
        <f>297.1*0.055</f>
        <v>16.340500000000002</v>
      </c>
      <c r="AA665" s="85">
        <f>261.16*0.055</f>
        <v>14.363800000000001</v>
      </c>
      <c r="AB665" s="85">
        <f>205.48*0.055</f>
        <v>11.301399999999999</v>
      </c>
      <c r="AC665" s="85">
        <f>196.162*0.055</f>
        <v>10.78891</v>
      </c>
      <c r="AD665" s="85"/>
    </row>
    <row r="666" spans="1:30">
      <c r="A666" s="82" t="s">
        <v>548</v>
      </c>
      <c r="B666" s="87" t="s">
        <v>643</v>
      </c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>
        <v>0</v>
      </c>
      <c r="O666" s="85">
        <v>0</v>
      </c>
      <c r="P666" s="85">
        <v>0</v>
      </c>
      <c r="Q666" s="85">
        <v>0</v>
      </c>
      <c r="R666" s="85">
        <v>0</v>
      </c>
      <c r="S666" s="85">
        <v>0</v>
      </c>
      <c r="T666" s="85">
        <v>0</v>
      </c>
      <c r="U666" s="85">
        <v>0</v>
      </c>
      <c r="V666" s="85">
        <v>0</v>
      </c>
      <c r="W666" s="85">
        <v>0</v>
      </c>
      <c r="X666" s="85">
        <v>0</v>
      </c>
      <c r="Y666" s="85">
        <v>0</v>
      </c>
      <c r="Z666" s="85">
        <v>0</v>
      </c>
      <c r="AA666" s="85">
        <v>0</v>
      </c>
      <c r="AB666" s="85">
        <v>0</v>
      </c>
      <c r="AC666" s="85">
        <v>0</v>
      </c>
      <c r="AD666" s="85"/>
    </row>
    <row r="667" spans="1:30">
      <c r="A667" s="82" t="s">
        <v>552</v>
      </c>
      <c r="B667" s="83" t="s">
        <v>597</v>
      </c>
      <c r="C667" s="84" t="s">
        <v>680</v>
      </c>
      <c r="D667" s="84" t="s">
        <v>680</v>
      </c>
      <c r="E667" s="84" t="s">
        <v>680</v>
      </c>
      <c r="F667" s="85">
        <v>0</v>
      </c>
      <c r="G667" s="85">
        <v>0</v>
      </c>
      <c r="H667" s="85">
        <v>0</v>
      </c>
      <c r="I667" s="85">
        <v>0</v>
      </c>
      <c r="J667" s="85">
        <v>0</v>
      </c>
      <c r="K667" s="85">
        <v>0</v>
      </c>
      <c r="L667" s="85">
        <v>0</v>
      </c>
      <c r="M667" s="85">
        <v>0</v>
      </c>
      <c r="N667" s="85">
        <v>0</v>
      </c>
      <c r="O667" s="99">
        <v>0</v>
      </c>
      <c r="P667" s="99"/>
      <c r="Q667" s="85">
        <v>0</v>
      </c>
      <c r="R667" s="85">
        <v>0</v>
      </c>
      <c r="S667" s="85">
        <v>0</v>
      </c>
      <c r="T667" s="85">
        <v>0</v>
      </c>
      <c r="U667" s="85">
        <v>0</v>
      </c>
      <c r="V667" s="85">
        <v>0</v>
      </c>
      <c r="W667" s="85">
        <v>0</v>
      </c>
      <c r="X667" s="85">
        <v>0</v>
      </c>
      <c r="Y667" s="85">
        <v>0</v>
      </c>
      <c r="Z667" s="85">
        <v>0</v>
      </c>
      <c r="AA667" s="85">
        <v>0</v>
      </c>
      <c r="AB667" s="85">
        <v>0</v>
      </c>
      <c r="AC667" s="85">
        <v>0</v>
      </c>
      <c r="AD667" s="85"/>
    </row>
    <row r="668" spans="1:30">
      <c r="A668" s="82" t="s">
        <v>552</v>
      </c>
      <c r="B668" s="83" t="s">
        <v>600</v>
      </c>
      <c r="C668" s="84" t="s">
        <v>680</v>
      </c>
      <c r="D668" s="84" t="s">
        <v>680</v>
      </c>
      <c r="E668" s="84" t="s">
        <v>680</v>
      </c>
      <c r="F668" s="85">
        <v>0</v>
      </c>
      <c r="G668" s="85">
        <v>0</v>
      </c>
      <c r="H668" s="85">
        <v>0</v>
      </c>
      <c r="I668" s="85">
        <v>0</v>
      </c>
      <c r="J668" s="85">
        <v>0</v>
      </c>
      <c r="K668" s="85">
        <v>0</v>
      </c>
      <c r="L668" s="85">
        <v>0</v>
      </c>
      <c r="M668" s="85">
        <v>0</v>
      </c>
      <c r="N668" s="85">
        <v>0</v>
      </c>
      <c r="O668" s="99">
        <f>2.98*0.022</f>
        <v>6.5559999999999993E-2</v>
      </c>
      <c r="P668" s="99"/>
      <c r="Q668" s="85">
        <v>0</v>
      </c>
      <c r="R668" s="85">
        <f>0.2*0.022</f>
        <v>4.4000000000000003E-3</v>
      </c>
      <c r="S668" s="85">
        <f>0.1*0.022</f>
        <v>2.2000000000000001E-3</v>
      </c>
      <c r="T668" s="85">
        <f>0.24*0.022</f>
        <v>5.2799999999999991E-3</v>
      </c>
      <c r="U668" s="85">
        <v>0</v>
      </c>
      <c r="V668" s="85">
        <f>0.1*0.022</f>
        <v>2.2000000000000001E-3</v>
      </c>
      <c r="W668" s="85">
        <f>0.06*0.022</f>
        <v>1.3199999999999998E-3</v>
      </c>
      <c r="X668" s="85">
        <v>0</v>
      </c>
      <c r="Y668" s="85">
        <v>0</v>
      </c>
      <c r="Z668" s="85">
        <v>0</v>
      </c>
      <c r="AA668" s="85">
        <v>0</v>
      </c>
      <c r="AB668" s="85">
        <v>0</v>
      </c>
      <c r="AC668" s="85">
        <v>0</v>
      </c>
      <c r="AD668" s="85"/>
    </row>
    <row r="669" spans="1:30">
      <c r="A669" s="82" t="s">
        <v>552</v>
      </c>
      <c r="B669" s="83" t="s">
        <v>595</v>
      </c>
      <c r="C669" s="84" t="s">
        <v>680</v>
      </c>
      <c r="D669" s="84" t="s">
        <v>680</v>
      </c>
      <c r="E669" s="84" t="s">
        <v>680</v>
      </c>
      <c r="F669" s="85">
        <v>0</v>
      </c>
      <c r="G669" s="85">
        <v>0</v>
      </c>
      <c r="H669" s="85">
        <v>0</v>
      </c>
      <c r="I669" s="85">
        <v>0</v>
      </c>
      <c r="J669" s="85">
        <v>0</v>
      </c>
      <c r="K669" s="85">
        <v>0</v>
      </c>
      <c r="L669" s="85">
        <v>0</v>
      </c>
      <c r="M669" s="85">
        <v>0</v>
      </c>
      <c r="N669" s="85">
        <v>0</v>
      </c>
      <c r="O669" s="99">
        <v>0</v>
      </c>
      <c r="P669" s="99"/>
      <c r="Q669" s="85">
        <v>0</v>
      </c>
      <c r="R669" s="85">
        <v>0</v>
      </c>
      <c r="S669" s="85">
        <v>0</v>
      </c>
      <c r="T669" s="85">
        <v>0</v>
      </c>
      <c r="U669" s="85">
        <v>0</v>
      </c>
      <c r="V669" s="85">
        <v>0</v>
      </c>
      <c r="W669" s="85">
        <v>0</v>
      </c>
      <c r="X669" s="85">
        <v>0</v>
      </c>
      <c r="Y669" s="85">
        <v>0</v>
      </c>
      <c r="Z669" s="85">
        <v>0</v>
      </c>
      <c r="AA669" s="85">
        <v>0</v>
      </c>
      <c r="AB669" s="85">
        <v>0</v>
      </c>
      <c r="AC669" s="85">
        <v>0</v>
      </c>
      <c r="AD669" s="85"/>
    </row>
    <row r="670" spans="1:30">
      <c r="A670" s="82" t="s">
        <v>552</v>
      </c>
      <c r="B670" s="83" t="s">
        <v>596</v>
      </c>
      <c r="C670" s="84" t="s">
        <v>680</v>
      </c>
      <c r="D670" s="84" t="s">
        <v>680</v>
      </c>
      <c r="E670" s="84" t="s">
        <v>680</v>
      </c>
      <c r="F670" s="85">
        <v>0</v>
      </c>
      <c r="G670" s="85">
        <v>0</v>
      </c>
      <c r="H670" s="85">
        <v>0</v>
      </c>
      <c r="I670" s="85">
        <v>0</v>
      </c>
      <c r="J670" s="85">
        <v>0</v>
      </c>
      <c r="K670" s="85">
        <v>0</v>
      </c>
      <c r="L670" s="85">
        <v>0</v>
      </c>
      <c r="M670" s="85">
        <v>0</v>
      </c>
      <c r="N670" s="85">
        <v>6.5000000000000006E-3</v>
      </c>
      <c r="O670" s="99">
        <f>1.79*0.065</f>
        <v>0.11635000000000001</v>
      </c>
      <c r="P670" s="99"/>
      <c r="Q670" s="85">
        <f>0.6*0.065</f>
        <v>3.9E-2</v>
      </c>
      <c r="R670" s="85">
        <f>0.2*0.065</f>
        <v>1.3000000000000001E-2</v>
      </c>
      <c r="S670" s="85">
        <f>0.01*0.065</f>
        <v>6.5000000000000008E-4</v>
      </c>
      <c r="T670" s="85">
        <f>0.45*0.065</f>
        <v>2.9250000000000002E-2</v>
      </c>
      <c r="U670" s="85">
        <v>0</v>
      </c>
      <c r="V670" s="85">
        <f>0.1*0.065</f>
        <v>6.5000000000000006E-3</v>
      </c>
      <c r="W670" s="85">
        <f>0.03*0.065</f>
        <v>1.9499999999999999E-3</v>
      </c>
      <c r="X670" s="85">
        <v>0</v>
      </c>
      <c r="Y670" s="85">
        <v>0</v>
      </c>
      <c r="Z670" s="85">
        <v>0</v>
      </c>
      <c r="AA670" s="85">
        <v>0</v>
      </c>
      <c r="AB670" s="85">
        <v>0</v>
      </c>
      <c r="AC670" s="85">
        <v>0</v>
      </c>
      <c r="AD670" s="85"/>
    </row>
    <row r="671" spans="1:30">
      <c r="A671" s="82" t="s">
        <v>552</v>
      </c>
      <c r="B671" s="83" t="s">
        <v>594</v>
      </c>
      <c r="C671" s="84" t="s">
        <v>680</v>
      </c>
      <c r="D671" s="84" t="s">
        <v>680</v>
      </c>
      <c r="E671" s="84" t="s">
        <v>680</v>
      </c>
      <c r="F671" s="85">
        <f>87.38*0.055</f>
        <v>4.8058999999999994</v>
      </c>
      <c r="G671" s="85">
        <f>39.83*0.055</f>
        <v>2.1906499999999998</v>
      </c>
      <c r="H671" s="85">
        <f>70.51*0.055</f>
        <v>3.8780500000000004</v>
      </c>
      <c r="I671" s="85">
        <f>69.6*0.055</f>
        <v>3.8279999999999998</v>
      </c>
      <c r="J671" s="85">
        <f>69.6*0.055</f>
        <v>3.8279999999999998</v>
      </c>
      <c r="K671" s="85">
        <f>65.3*0.055</f>
        <v>3.5914999999999999</v>
      </c>
      <c r="L671" s="85">
        <f>68.83*0.055</f>
        <v>3.78565</v>
      </c>
      <c r="M671" s="85">
        <f>68.66*0.055</f>
        <v>3.7763</v>
      </c>
      <c r="N671" s="85">
        <v>3.9489999999999998</v>
      </c>
      <c r="O671" s="99">
        <f>88.43*0.055</f>
        <v>4.8636500000000007</v>
      </c>
      <c r="P671" s="99"/>
      <c r="Q671" s="85">
        <f>57*0.055</f>
        <v>3.1350000000000002</v>
      </c>
      <c r="R671" s="85">
        <f>60.8*0.055</f>
        <v>3.3439999999999999</v>
      </c>
      <c r="S671" s="85">
        <f>30.7*0.055</f>
        <v>1.6884999999999999</v>
      </c>
      <c r="T671" s="85">
        <f>55.02*0.055</f>
        <v>3.0261</v>
      </c>
      <c r="U671" s="85">
        <f>54.95*0.055</f>
        <v>3.0222500000000001</v>
      </c>
      <c r="V671" s="85">
        <f>52*0.055</f>
        <v>2.86</v>
      </c>
      <c r="W671" s="85">
        <f>42.12*0.055</f>
        <v>2.3165999999999998</v>
      </c>
      <c r="X671" s="85">
        <f>39*0.055</f>
        <v>2.145</v>
      </c>
      <c r="Y671" s="85">
        <f>38*0.055</f>
        <v>2.09</v>
      </c>
      <c r="Z671" s="85">
        <f>34*0.055</f>
        <v>1.87</v>
      </c>
      <c r="AA671" s="85">
        <f>(23.24-0.89)*0.055</f>
        <v>1.22925</v>
      </c>
      <c r="AB671" s="85">
        <f>19.46*0.055</f>
        <v>1.0703</v>
      </c>
      <c r="AC671" s="85">
        <f>15.76*0.055</f>
        <v>0.86680000000000001</v>
      </c>
      <c r="AD671" s="85"/>
    </row>
    <row r="672" spans="1:30">
      <c r="A672" s="82" t="s">
        <v>552</v>
      </c>
      <c r="B672" s="87" t="s">
        <v>643</v>
      </c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>
        <v>0</v>
      </c>
      <c r="O672" s="99">
        <v>0</v>
      </c>
      <c r="P672" s="99"/>
      <c r="Q672" s="85">
        <v>0</v>
      </c>
      <c r="R672" s="85">
        <v>0</v>
      </c>
      <c r="S672" s="85">
        <v>0</v>
      </c>
      <c r="T672" s="85">
        <v>0</v>
      </c>
      <c r="U672" s="85">
        <v>0</v>
      </c>
      <c r="V672" s="85">
        <v>0</v>
      </c>
      <c r="W672" s="85">
        <v>0</v>
      </c>
      <c r="X672" s="85">
        <v>0</v>
      </c>
      <c r="Y672" s="85">
        <v>0</v>
      </c>
      <c r="Z672" s="85">
        <v>0</v>
      </c>
      <c r="AA672" s="85">
        <v>0</v>
      </c>
      <c r="AB672" s="85">
        <v>0</v>
      </c>
      <c r="AC672" s="85">
        <v>0</v>
      </c>
      <c r="AD672" s="85"/>
    </row>
    <row r="673" spans="1:30">
      <c r="A673" s="82" t="s">
        <v>549</v>
      </c>
      <c r="B673" s="83" t="s">
        <v>597</v>
      </c>
      <c r="C673" s="85">
        <v>0</v>
      </c>
      <c r="D673" s="85">
        <v>0</v>
      </c>
      <c r="E673" s="85">
        <v>0</v>
      </c>
      <c r="F673" s="85">
        <v>0</v>
      </c>
      <c r="G673" s="85">
        <v>0</v>
      </c>
      <c r="H673" s="85">
        <v>0</v>
      </c>
      <c r="I673" s="85">
        <v>0</v>
      </c>
      <c r="J673" s="85">
        <v>0</v>
      </c>
      <c r="K673" s="85">
        <v>0</v>
      </c>
      <c r="L673" s="85">
        <v>0</v>
      </c>
      <c r="M673" s="85">
        <f>6*0.02</f>
        <v>0.12</v>
      </c>
      <c r="N673" s="85">
        <v>0</v>
      </c>
      <c r="O673" s="85">
        <v>0</v>
      </c>
      <c r="P673" s="85">
        <f>35.61*0.02</f>
        <v>0.71220000000000006</v>
      </c>
      <c r="Q673" s="85">
        <f>9.63*0.02</f>
        <v>0.19260000000000002</v>
      </c>
      <c r="R673" s="85">
        <f>8.54*0.02</f>
        <v>0.17079999999999998</v>
      </c>
      <c r="S673" s="85">
        <f>4.54*0.02</f>
        <v>9.0800000000000006E-2</v>
      </c>
      <c r="T673" s="85">
        <f>5.18*0.02</f>
        <v>0.1036</v>
      </c>
      <c r="U673" s="85">
        <f>10.36*0.02</f>
        <v>0.2072</v>
      </c>
      <c r="V673" s="85">
        <f>2.77*0.02</f>
        <v>5.5400000000000005E-2</v>
      </c>
      <c r="W673" s="85">
        <f>2.86*0.02</f>
        <v>5.7200000000000001E-2</v>
      </c>
      <c r="X673" s="85">
        <f>0.68*0.02</f>
        <v>1.3600000000000001E-2</v>
      </c>
      <c r="Y673" s="85">
        <f>4.18*0.02</f>
        <v>8.3599999999999994E-2</v>
      </c>
      <c r="Z673" s="85">
        <f>6*0.02</f>
        <v>0.12</v>
      </c>
      <c r="AA673" s="85">
        <f>6.4516*0.02</f>
        <v>0.12903200000000001</v>
      </c>
      <c r="AB673" s="85">
        <f>4.582*0.02</f>
        <v>9.1639999999999999E-2</v>
      </c>
      <c r="AC673" s="85">
        <f>3.74*0.02</f>
        <v>7.4800000000000005E-2</v>
      </c>
      <c r="AD673" s="85">
        <f>0.91*0.02</f>
        <v>1.8200000000000001E-2</v>
      </c>
    </row>
    <row r="674" spans="1:30">
      <c r="A674" s="82" t="s">
        <v>549</v>
      </c>
      <c r="B674" s="83" t="s">
        <v>600</v>
      </c>
      <c r="C674" s="85">
        <v>0</v>
      </c>
      <c r="D674" s="85">
        <v>0</v>
      </c>
      <c r="E674" s="85">
        <v>0</v>
      </c>
      <c r="F674" s="85">
        <v>0</v>
      </c>
      <c r="G674" s="85">
        <v>0</v>
      </c>
      <c r="H674" s="85">
        <v>0</v>
      </c>
      <c r="I674" s="85">
        <v>0</v>
      </c>
      <c r="J674" s="85">
        <v>0</v>
      </c>
      <c r="K674" s="85">
        <v>0</v>
      </c>
      <c r="L674" s="85">
        <v>0</v>
      </c>
      <c r="M674" s="85">
        <v>0</v>
      </c>
      <c r="N674" s="85">
        <v>0</v>
      </c>
      <c r="O674" s="85">
        <v>0</v>
      </c>
      <c r="P674" s="85">
        <v>0</v>
      </c>
      <c r="Q674" s="85">
        <f>10.42*0.022</f>
        <v>0.22923999999999997</v>
      </c>
      <c r="R674" s="85">
        <f>3.79*0.022</f>
        <v>8.3379999999999996E-2</v>
      </c>
      <c r="S674" s="85">
        <f>1.67*0.022</f>
        <v>3.6739999999999995E-2</v>
      </c>
      <c r="T674" s="85">
        <f>13.52*0.022</f>
        <v>0.29743999999999998</v>
      </c>
      <c r="U674" s="85">
        <f>4.92*0.022</f>
        <v>0.10823999999999999</v>
      </c>
      <c r="V674" s="85">
        <v>0</v>
      </c>
      <c r="W674" s="85">
        <v>0</v>
      </c>
      <c r="X674" s="85">
        <f>0.95*0.022</f>
        <v>2.0899999999999998E-2</v>
      </c>
      <c r="Y674" s="85">
        <v>0</v>
      </c>
      <c r="Z674" s="85">
        <v>0</v>
      </c>
      <c r="AA674" s="85">
        <v>0</v>
      </c>
      <c r="AB674" s="85">
        <v>0</v>
      </c>
      <c r="AC674" s="85">
        <v>0</v>
      </c>
      <c r="AD674" s="85">
        <v>0</v>
      </c>
    </row>
    <row r="675" spans="1:30">
      <c r="A675" s="82" t="s">
        <v>549</v>
      </c>
      <c r="B675" s="83" t="s">
        <v>361</v>
      </c>
      <c r="C675" s="84" t="s">
        <v>680</v>
      </c>
      <c r="D675" s="84" t="s">
        <v>680</v>
      </c>
      <c r="E675" s="84" t="s">
        <v>680</v>
      </c>
      <c r="F675" s="84" t="s">
        <v>680</v>
      </c>
      <c r="G675" s="84" t="s">
        <v>680</v>
      </c>
      <c r="H675" s="84" t="s">
        <v>680</v>
      </c>
      <c r="I675" s="84" t="s">
        <v>680</v>
      </c>
      <c r="J675" s="84" t="s">
        <v>680</v>
      </c>
      <c r="K675" s="84" t="s">
        <v>680</v>
      </c>
      <c r="L675" s="84" t="s">
        <v>680</v>
      </c>
      <c r="M675" s="85">
        <f>74.21*0.07</f>
        <v>5.1947000000000001</v>
      </c>
      <c r="N675" s="85">
        <v>0</v>
      </c>
      <c r="O675" s="85">
        <v>0</v>
      </c>
      <c r="P675" s="85">
        <v>0</v>
      </c>
      <c r="Q675" s="85">
        <v>0</v>
      </c>
      <c r="R675" s="85">
        <v>0</v>
      </c>
      <c r="S675" s="85">
        <v>0</v>
      </c>
      <c r="T675" s="85">
        <v>0</v>
      </c>
      <c r="U675" s="85">
        <v>0</v>
      </c>
      <c r="V675" s="85">
        <v>0</v>
      </c>
      <c r="W675" s="85">
        <v>0</v>
      </c>
      <c r="X675" s="85">
        <v>0</v>
      </c>
      <c r="Y675" s="85">
        <v>0</v>
      </c>
      <c r="Z675" s="85">
        <v>0</v>
      </c>
      <c r="AA675" s="85">
        <v>0</v>
      </c>
      <c r="AB675" s="85">
        <v>0</v>
      </c>
      <c r="AC675" s="85">
        <v>0</v>
      </c>
      <c r="AD675" s="85">
        <v>0</v>
      </c>
    </row>
    <row r="676" spans="1:30">
      <c r="A676" s="82" t="s">
        <v>549</v>
      </c>
      <c r="B676" s="83" t="s">
        <v>595</v>
      </c>
      <c r="C676" s="85">
        <v>0</v>
      </c>
      <c r="D676" s="85">
        <v>0</v>
      </c>
      <c r="E676" s="85">
        <v>0</v>
      </c>
      <c r="F676" s="85">
        <v>0</v>
      </c>
      <c r="G676" s="85">
        <v>0</v>
      </c>
      <c r="H676" s="85">
        <v>0</v>
      </c>
      <c r="I676" s="85">
        <v>0</v>
      </c>
      <c r="J676" s="85">
        <v>0</v>
      </c>
      <c r="K676" s="85">
        <v>0</v>
      </c>
      <c r="L676" s="85">
        <v>0</v>
      </c>
      <c r="M676" s="85">
        <v>0</v>
      </c>
      <c r="N676" s="85">
        <v>0</v>
      </c>
      <c r="O676" s="85">
        <v>0</v>
      </c>
      <c r="P676" s="85">
        <f>2.5*0.11</f>
        <v>0.27500000000000002</v>
      </c>
      <c r="Q676" s="85">
        <v>0</v>
      </c>
      <c r="R676" s="85">
        <f>1*0.11</f>
        <v>0.11</v>
      </c>
      <c r="S676" s="85">
        <f>7.5*0.11</f>
        <v>0.82499999999999996</v>
      </c>
      <c r="T676" s="85">
        <v>0</v>
      </c>
      <c r="U676" s="85">
        <f>5.38*0.11</f>
        <v>0.59179999999999999</v>
      </c>
      <c r="V676" s="85">
        <f>1.5*0.11</f>
        <v>0.16500000000000001</v>
      </c>
      <c r="W676" s="85">
        <f>1*0.11</f>
        <v>0.11</v>
      </c>
      <c r="X676" s="85">
        <f>6.75*0.11</f>
        <v>0.74250000000000005</v>
      </c>
      <c r="Y676" s="85">
        <v>0</v>
      </c>
      <c r="Z676" s="85">
        <v>0</v>
      </c>
      <c r="AA676" s="85">
        <v>0</v>
      </c>
      <c r="AB676" s="85">
        <v>0</v>
      </c>
      <c r="AC676" s="85">
        <v>0</v>
      </c>
      <c r="AD676" s="85">
        <v>0</v>
      </c>
    </row>
    <row r="677" spans="1:30">
      <c r="A677" s="82" t="s">
        <v>549</v>
      </c>
      <c r="B677" s="83" t="s">
        <v>700</v>
      </c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>
        <f>13.77*0.11</f>
        <v>1.5146999999999999</v>
      </c>
      <c r="S677" s="85">
        <f>15.69*0.11</f>
        <v>1.7259</v>
      </c>
      <c r="T677" s="85">
        <f>29.57*0.11</f>
        <v>3.2526999999999999</v>
      </c>
      <c r="U677" s="85">
        <f>22.56*0.11</f>
        <v>2.4815999999999998</v>
      </c>
      <c r="V677" s="85">
        <f>37.1*0.11</f>
        <v>4.0810000000000004</v>
      </c>
      <c r="W677" s="85">
        <f>28.75*0.11</f>
        <v>3.1625000000000001</v>
      </c>
      <c r="X677" s="85">
        <f>32.83*0.11</f>
        <v>3.6113</v>
      </c>
      <c r="Y677" s="85">
        <f>12.22*0.11</f>
        <v>1.3442000000000001</v>
      </c>
      <c r="Z677" s="85">
        <f>18*0.11</f>
        <v>1.98</v>
      </c>
      <c r="AA677" s="85">
        <f>33.26*0.11</f>
        <v>3.6585999999999999</v>
      </c>
      <c r="AB677" s="85">
        <f>2.543*0.11</f>
        <v>0.27973000000000003</v>
      </c>
      <c r="AC677" s="85">
        <f>23.22*0.11</f>
        <v>2.5541999999999998</v>
      </c>
      <c r="AD677" s="85">
        <f>13.44*0.11</f>
        <v>1.4783999999999999</v>
      </c>
    </row>
    <row r="678" spans="1:30">
      <c r="A678" s="82" t="s">
        <v>549</v>
      </c>
      <c r="B678" s="83" t="s">
        <v>596</v>
      </c>
      <c r="C678" s="85">
        <v>0</v>
      </c>
      <c r="D678" s="85">
        <v>0</v>
      </c>
      <c r="E678" s="85">
        <v>0</v>
      </c>
      <c r="F678" s="85">
        <v>0</v>
      </c>
      <c r="G678" s="85">
        <v>0</v>
      </c>
      <c r="H678" s="85">
        <v>0</v>
      </c>
      <c r="I678" s="85">
        <v>0</v>
      </c>
      <c r="J678" s="85">
        <v>0</v>
      </c>
      <c r="K678" s="85">
        <v>0</v>
      </c>
      <c r="L678" s="85">
        <v>0</v>
      </c>
      <c r="M678" s="85">
        <f>6.62*0.065</f>
        <v>0.43030000000000002</v>
      </c>
      <c r="N678" s="85">
        <v>0</v>
      </c>
      <c r="O678" s="85">
        <v>0</v>
      </c>
      <c r="P678" s="85">
        <f>26.31*0.065</f>
        <v>1.7101500000000001</v>
      </c>
      <c r="Q678" s="85">
        <f>23.19*0.065</f>
        <v>1.5073500000000002</v>
      </c>
      <c r="R678" s="85">
        <f>17.6*0.065</f>
        <v>1.1440000000000001</v>
      </c>
      <c r="S678" s="85">
        <f>17.47*0.065</f>
        <v>1.1355500000000001</v>
      </c>
      <c r="T678" s="85">
        <f>16.38*0.065</f>
        <v>1.0647</v>
      </c>
      <c r="U678" s="85">
        <f>3.76*0.065</f>
        <v>0.24440000000000001</v>
      </c>
      <c r="V678" s="85">
        <v>0</v>
      </c>
      <c r="W678" s="85">
        <v>0</v>
      </c>
      <c r="X678" s="85">
        <f>0.57*0.065</f>
        <v>3.705E-2</v>
      </c>
      <c r="Y678" s="85">
        <v>0</v>
      </c>
      <c r="Z678" s="85">
        <v>0</v>
      </c>
      <c r="AA678" s="85">
        <v>0</v>
      </c>
      <c r="AB678" s="85">
        <v>0</v>
      </c>
      <c r="AC678" s="85">
        <v>0</v>
      </c>
      <c r="AD678" s="85">
        <v>0</v>
      </c>
    </row>
    <row r="679" spans="1:30">
      <c r="A679" s="82" t="s">
        <v>549</v>
      </c>
      <c r="B679" s="83" t="s">
        <v>594</v>
      </c>
      <c r="C679" s="85">
        <v>0</v>
      </c>
      <c r="D679" s="85">
        <v>0</v>
      </c>
      <c r="E679" s="85">
        <v>0</v>
      </c>
      <c r="F679" s="85">
        <v>0</v>
      </c>
      <c r="G679" s="85">
        <v>0</v>
      </c>
      <c r="H679" s="85">
        <f>391.6*0.055</f>
        <v>21.538</v>
      </c>
      <c r="I679" s="85">
        <f>381.6*0.055</f>
        <v>20.988000000000003</v>
      </c>
      <c r="J679" s="85">
        <f>104.01*0.055</f>
        <v>5.7205500000000002</v>
      </c>
      <c r="K679" s="85">
        <f>121.2*0.055</f>
        <v>6.6660000000000004</v>
      </c>
      <c r="L679" s="85">
        <f>49.2*0.055</f>
        <v>2.706</v>
      </c>
      <c r="M679" s="85">
        <f>122.62*0.055</f>
        <v>6.7441000000000004</v>
      </c>
      <c r="N679" s="85">
        <f>145.91*0.055</f>
        <v>8.0250500000000002</v>
      </c>
      <c r="O679" s="85">
        <f>231.67*0.055</f>
        <v>12.741849999999999</v>
      </c>
      <c r="P679" s="85">
        <f>163.33*0.055</f>
        <v>8.9831500000000002</v>
      </c>
      <c r="Q679" s="85">
        <f>239.21*0.055</f>
        <v>13.156550000000001</v>
      </c>
      <c r="R679" s="85">
        <f>352.74*0.055</f>
        <v>19.400700000000001</v>
      </c>
      <c r="S679" s="85">
        <f>267.77*0.055</f>
        <v>14.727349999999999</v>
      </c>
      <c r="T679" s="85">
        <f>506.61*0.055</f>
        <v>27.86355</v>
      </c>
      <c r="U679" s="85">
        <f>278.36*0.055</f>
        <v>15.309800000000001</v>
      </c>
      <c r="V679" s="85">
        <f>320.16*0.055</f>
        <v>17.608800000000002</v>
      </c>
      <c r="W679" s="85">
        <f>287.72*0.055</f>
        <v>15.824600000000002</v>
      </c>
      <c r="X679" s="85">
        <f>220.73*0.055</f>
        <v>12.14015</v>
      </c>
      <c r="Y679" s="85">
        <f>230.07*0.055</f>
        <v>12.65385</v>
      </c>
      <c r="Z679" s="85">
        <f>234*0.055</f>
        <v>12.87</v>
      </c>
      <c r="AA679" s="85">
        <f>262.8404*0.055</f>
        <v>14.456221999999999</v>
      </c>
      <c r="AB679" s="85">
        <f>196.644*0.055</f>
        <v>10.81542</v>
      </c>
      <c r="AC679" s="85">
        <f>210.708*0.055</f>
        <v>11.588939999999999</v>
      </c>
      <c r="AD679" s="85">
        <f>177.66*0.055</f>
        <v>9.7713000000000001</v>
      </c>
    </row>
    <row r="680" spans="1:30">
      <c r="A680" s="82" t="s">
        <v>549</v>
      </c>
      <c r="B680" s="87" t="s">
        <v>643</v>
      </c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>
        <v>0</v>
      </c>
      <c r="O680" s="85">
        <v>0</v>
      </c>
      <c r="P680" s="85">
        <v>0</v>
      </c>
      <c r="Q680" s="85">
        <v>0</v>
      </c>
      <c r="R680" s="85">
        <v>0</v>
      </c>
      <c r="S680" s="85">
        <v>0</v>
      </c>
      <c r="T680" s="85">
        <v>0</v>
      </c>
      <c r="U680" s="85">
        <v>0</v>
      </c>
      <c r="V680" s="85">
        <v>0</v>
      </c>
      <c r="W680" s="85">
        <v>0</v>
      </c>
      <c r="X680" s="85">
        <v>0</v>
      </c>
      <c r="Y680" s="85">
        <v>0</v>
      </c>
      <c r="Z680" s="85">
        <v>0</v>
      </c>
      <c r="AA680" s="85">
        <v>0</v>
      </c>
      <c r="AB680" s="85">
        <v>0</v>
      </c>
      <c r="AC680" s="85">
        <v>0</v>
      </c>
      <c r="AD680" s="85">
        <v>0</v>
      </c>
    </row>
    <row r="681" spans="1:30">
      <c r="A681" s="82" t="s">
        <v>550</v>
      </c>
      <c r="B681" s="83" t="s">
        <v>597</v>
      </c>
      <c r="C681" s="85">
        <v>0</v>
      </c>
      <c r="D681" s="85">
        <v>0</v>
      </c>
      <c r="E681" s="85">
        <v>0</v>
      </c>
      <c r="F681" s="85">
        <v>0</v>
      </c>
      <c r="G681" s="85">
        <v>0</v>
      </c>
      <c r="H681" s="85">
        <v>0</v>
      </c>
      <c r="I681" s="85">
        <v>0</v>
      </c>
      <c r="J681" s="85">
        <v>0</v>
      </c>
      <c r="K681" s="84" t="s">
        <v>680</v>
      </c>
      <c r="L681" s="85">
        <v>0</v>
      </c>
      <c r="M681" s="85"/>
      <c r="N681" s="85">
        <v>0</v>
      </c>
      <c r="O681" s="85">
        <v>0</v>
      </c>
      <c r="P681" s="85">
        <v>0</v>
      </c>
      <c r="Q681" s="85">
        <v>0</v>
      </c>
      <c r="R681" s="85">
        <v>0</v>
      </c>
      <c r="S681" s="85">
        <v>0</v>
      </c>
      <c r="T681" s="85">
        <v>0</v>
      </c>
      <c r="U681" s="85">
        <v>0</v>
      </c>
      <c r="V681" s="85">
        <v>0</v>
      </c>
      <c r="W681" s="85">
        <f>2.976*0.02</f>
        <v>5.9520000000000003E-2</v>
      </c>
      <c r="X681" s="85">
        <f>1.29*0.02</f>
        <v>2.58E-2</v>
      </c>
      <c r="Y681" s="85">
        <v>0</v>
      </c>
      <c r="Z681" s="85">
        <v>0</v>
      </c>
      <c r="AA681" s="85">
        <v>0</v>
      </c>
      <c r="AB681" s="85">
        <f>0.84*0.02</f>
        <v>1.6799999999999999E-2</v>
      </c>
      <c r="AC681" s="85">
        <f>0.79*0.02</f>
        <v>1.5800000000000002E-2</v>
      </c>
      <c r="AD681" s="85"/>
    </row>
    <row r="682" spans="1:30">
      <c r="A682" s="82" t="s">
        <v>550</v>
      </c>
      <c r="B682" s="83" t="s">
        <v>600</v>
      </c>
      <c r="C682" s="85">
        <v>0</v>
      </c>
      <c r="D682" s="85">
        <v>0</v>
      </c>
      <c r="E682" s="85">
        <v>0</v>
      </c>
      <c r="F682" s="85">
        <v>0</v>
      </c>
      <c r="G682" s="85">
        <v>0</v>
      </c>
      <c r="H682" s="85">
        <v>0</v>
      </c>
      <c r="I682" s="85">
        <v>0</v>
      </c>
      <c r="J682" s="85">
        <v>0</v>
      </c>
      <c r="K682" s="84" t="s">
        <v>680</v>
      </c>
      <c r="L682" s="85">
        <v>0</v>
      </c>
      <c r="M682" s="85"/>
      <c r="N682" s="85">
        <v>0</v>
      </c>
      <c r="O682" s="85">
        <v>0</v>
      </c>
      <c r="P682" s="85">
        <v>0</v>
      </c>
      <c r="Q682" s="85">
        <f>4.04*0.022</f>
        <v>8.8880000000000001E-2</v>
      </c>
      <c r="R682" s="85">
        <f>1.43*0.022</f>
        <v>3.1459999999999995E-2</v>
      </c>
      <c r="S682" s="85">
        <f>3.72*0.022</f>
        <v>8.1839999999999996E-2</v>
      </c>
      <c r="T682" s="85">
        <f>1.97*0.022</f>
        <v>4.3339999999999997E-2</v>
      </c>
      <c r="U682" s="85">
        <f>2.14*0.022</f>
        <v>4.7079999999999997E-2</v>
      </c>
      <c r="V682" s="85">
        <f>1.02*0.022</f>
        <v>2.2439999999999998E-2</v>
      </c>
      <c r="W682" s="85">
        <f>0.275*0.022</f>
        <v>6.0499999999999998E-3</v>
      </c>
      <c r="X682" s="85">
        <f>0.272*0.022</f>
        <v>5.9839999999999997E-3</v>
      </c>
      <c r="Y682" s="88">
        <f>0.204*0.022</f>
        <v>4.4879999999999998E-3</v>
      </c>
      <c r="Z682" s="88">
        <f>0.34*0.022</f>
        <v>7.4799999999999997E-3</v>
      </c>
      <c r="AA682" s="88">
        <v>0</v>
      </c>
      <c r="AB682" s="85">
        <v>0</v>
      </c>
      <c r="AC682" s="85">
        <v>0</v>
      </c>
      <c r="AD682" s="88"/>
    </row>
    <row r="683" spans="1:30">
      <c r="A683" s="82" t="s">
        <v>550</v>
      </c>
      <c r="B683" s="83" t="s">
        <v>595</v>
      </c>
      <c r="C683" s="85">
        <v>0</v>
      </c>
      <c r="D683" s="85">
        <v>0</v>
      </c>
      <c r="E683" s="85">
        <v>0</v>
      </c>
      <c r="F683" s="85">
        <v>0</v>
      </c>
      <c r="G683" s="85">
        <v>0</v>
      </c>
      <c r="H683" s="85">
        <v>0</v>
      </c>
      <c r="I683" s="85">
        <v>0</v>
      </c>
      <c r="J683" s="85">
        <v>0</v>
      </c>
      <c r="K683" s="84" t="s">
        <v>680</v>
      </c>
      <c r="L683" s="85">
        <f>2.35*0.11</f>
        <v>0.25850000000000001</v>
      </c>
      <c r="M683" s="85"/>
      <c r="N683" s="85">
        <f>4.56*0.11</f>
        <v>0.50159999999999993</v>
      </c>
      <c r="O683" s="85">
        <f>213*0.11</f>
        <v>23.43</v>
      </c>
      <c r="P683" s="85">
        <f>6.7*0.11</f>
        <v>0.73699999999999999</v>
      </c>
      <c r="Q683" s="85">
        <f>10.06*0.11</f>
        <v>1.1066</v>
      </c>
      <c r="R683" s="85">
        <f>22.4*0.11</f>
        <v>2.464</v>
      </c>
      <c r="S683" s="85">
        <f>16.7*0.11</f>
        <v>1.837</v>
      </c>
      <c r="T683" s="85">
        <f>13.156*0.11</f>
        <v>1.44716</v>
      </c>
      <c r="U683" s="85">
        <f>9.95*0.11</f>
        <v>1.0945</v>
      </c>
      <c r="V683" s="85">
        <f>17.53*0.11</f>
        <v>1.9283000000000001</v>
      </c>
      <c r="W683" s="85">
        <f>17.623*0.11</f>
        <v>1.9385300000000001</v>
      </c>
      <c r="X683" s="85">
        <f>13.126*0.11</f>
        <v>1.4438599999999999</v>
      </c>
      <c r="Y683" s="85">
        <v>0</v>
      </c>
      <c r="Z683" s="85">
        <v>0</v>
      </c>
      <c r="AA683" s="85">
        <v>0</v>
      </c>
      <c r="AB683" s="85">
        <v>0</v>
      </c>
      <c r="AC683" s="85">
        <v>0</v>
      </c>
      <c r="AD683" s="85"/>
    </row>
    <row r="684" spans="1:30">
      <c r="A684" s="82" t="s">
        <v>550</v>
      </c>
      <c r="B684" s="83" t="s">
        <v>700</v>
      </c>
      <c r="C684" s="85"/>
      <c r="D684" s="85"/>
      <c r="E684" s="85"/>
      <c r="F684" s="85"/>
      <c r="G684" s="85"/>
      <c r="H684" s="85"/>
      <c r="I684" s="85"/>
      <c r="J684" s="85"/>
      <c r="K684" s="84"/>
      <c r="L684" s="85"/>
      <c r="M684" s="85"/>
      <c r="N684" s="85"/>
      <c r="O684" s="85"/>
      <c r="P684" s="85"/>
      <c r="Q684" s="85">
        <f>173.77*0.11</f>
        <v>19.114700000000003</v>
      </c>
      <c r="R684" s="85">
        <f>199.488*0.11</f>
        <v>21.943680000000001</v>
      </c>
      <c r="S684" s="85">
        <f>209.1*0.11</f>
        <v>23.001000000000001</v>
      </c>
      <c r="T684" s="85">
        <f>98.041*0.11</f>
        <v>10.784509999999999</v>
      </c>
      <c r="U684" s="85">
        <f>842.78*0.11</f>
        <v>92.705799999999996</v>
      </c>
      <c r="V684" s="85">
        <v>0</v>
      </c>
      <c r="W684" s="85">
        <f>295.58*0.11</f>
        <v>32.513799999999996</v>
      </c>
      <c r="X684" s="85">
        <f>217.668*0.11</f>
        <v>23.943480000000001</v>
      </c>
      <c r="Y684" s="85">
        <f>381.254*0.11</f>
        <v>41.937940000000005</v>
      </c>
      <c r="Z684" s="85">
        <f>266.22*0.11</f>
        <v>29.284200000000002</v>
      </c>
      <c r="AA684" s="85">
        <f>132.96*0.11</f>
        <v>14.6256</v>
      </c>
      <c r="AB684" s="85">
        <v>0</v>
      </c>
      <c r="AC684" s="85">
        <f>26.54*0.11</f>
        <v>2.9194</v>
      </c>
      <c r="AD684" s="85"/>
    </row>
    <row r="685" spans="1:30">
      <c r="A685" s="82" t="s">
        <v>550</v>
      </c>
      <c r="B685" s="83" t="s">
        <v>596</v>
      </c>
      <c r="C685" s="85">
        <v>0</v>
      </c>
      <c r="D685" s="85">
        <v>0</v>
      </c>
      <c r="E685" s="85">
        <v>0</v>
      </c>
      <c r="F685" s="85">
        <v>0</v>
      </c>
      <c r="G685" s="85">
        <v>0</v>
      </c>
      <c r="H685" s="85">
        <v>0</v>
      </c>
      <c r="I685" s="85">
        <v>0</v>
      </c>
      <c r="J685" s="85">
        <v>0</v>
      </c>
      <c r="K685" s="84" t="s">
        <v>680</v>
      </c>
      <c r="L685" s="85">
        <v>0</v>
      </c>
      <c r="M685" s="85"/>
      <c r="N685" s="85">
        <v>0</v>
      </c>
      <c r="O685" s="85">
        <v>0</v>
      </c>
      <c r="P685" s="85">
        <v>0</v>
      </c>
      <c r="Q685" s="85">
        <f>24.58*0.065</f>
        <v>1.5976999999999999</v>
      </c>
      <c r="R685" s="85">
        <f>11.69*0.065</f>
        <v>0.75985000000000003</v>
      </c>
      <c r="S685" s="85">
        <f>16.34*0.065</f>
        <v>1.0621</v>
      </c>
      <c r="T685" s="85">
        <f>10.146*0.065</f>
        <v>0.65949000000000002</v>
      </c>
      <c r="U685" s="85">
        <f>11.57*0.065</f>
        <v>0.75205</v>
      </c>
      <c r="V685" s="85">
        <f>4.31*0.065</f>
        <v>0.28015000000000001</v>
      </c>
      <c r="W685" s="85">
        <f>2.995*0.065</f>
        <v>0.19467500000000001</v>
      </c>
      <c r="X685" s="85">
        <f>6.035*0.065</f>
        <v>0.39227500000000004</v>
      </c>
      <c r="Y685" s="85">
        <f>3.738*0.065</f>
        <v>0.24297000000000002</v>
      </c>
      <c r="Z685" s="85">
        <f>1.782*0.065</f>
        <v>0.11583</v>
      </c>
      <c r="AA685" s="85">
        <f>2.41*0.065</f>
        <v>0.15665000000000001</v>
      </c>
      <c r="AB685" s="85">
        <v>0</v>
      </c>
      <c r="AC685" s="85">
        <f>0.93*0.065</f>
        <v>6.0450000000000004E-2</v>
      </c>
      <c r="AD685" s="85"/>
    </row>
    <row r="686" spans="1:30">
      <c r="A686" s="82" t="s">
        <v>550</v>
      </c>
      <c r="B686" s="83" t="s">
        <v>594</v>
      </c>
      <c r="C686" s="85">
        <f>174.28*0.055</f>
        <v>9.5853999999999999</v>
      </c>
      <c r="D686" s="85">
        <f>157.01*0.055</f>
        <v>8.6355500000000003</v>
      </c>
      <c r="E686" s="85">
        <f>157.06*0.055</f>
        <v>8.638300000000001</v>
      </c>
      <c r="F686" s="85">
        <f>14.75*0.055</f>
        <v>0.81125000000000003</v>
      </c>
      <c r="G686" s="85">
        <f>8.68*0.055</f>
        <v>0.47739999999999999</v>
      </c>
      <c r="H686" s="85">
        <f>158.89*0.055</f>
        <v>8.7389499999999991</v>
      </c>
      <c r="I686" s="85">
        <f>8.21*0.055</f>
        <v>0.45155000000000006</v>
      </c>
      <c r="J686" s="85">
        <f>126.69*0.055</f>
        <v>6.9679500000000001</v>
      </c>
      <c r="K686" s="84" t="s">
        <v>680</v>
      </c>
      <c r="L686" s="85">
        <f>265.42*0.055</f>
        <v>14.598100000000001</v>
      </c>
      <c r="M686" s="85"/>
      <c r="N686" s="85">
        <f>214.42*0.055</f>
        <v>11.793099999999999</v>
      </c>
      <c r="O686" s="85">
        <f>363*0.055</f>
        <v>19.965</v>
      </c>
      <c r="P686" s="85">
        <f>496*0.055</f>
        <v>27.28</v>
      </c>
      <c r="Q686" s="85">
        <f>444.89*0.055</f>
        <v>24.46895</v>
      </c>
      <c r="R686" s="85">
        <f>421.67*0.055</f>
        <v>23.191850000000002</v>
      </c>
      <c r="S686" s="85">
        <f>538.66*0.055</f>
        <v>29.626299999999997</v>
      </c>
      <c r="T686" s="85">
        <f>451.503*0.055</f>
        <v>24.832664999999999</v>
      </c>
      <c r="U686" s="85">
        <f>434.84*0.055</f>
        <v>23.9162</v>
      </c>
      <c r="V686" s="85">
        <f>359.69*0.055</f>
        <v>19.78295</v>
      </c>
      <c r="W686" s="85">
        <f>374.91*0.055</f>
        <v>20.620050000000003</v>
      </c>
      <c r="X686" s="85">
        <f>369.911*0.055</f>
        <v>20.345105</v>
      </c>
      <c r="Y686" s="85">
        <f>401.399*0.055</f>
        <v>22.076944999999998</v>
      </c>
      <c r="Z686" s="85">
        <f>358.518*0.055</f>
        <v>19.718489999999999</v>
      </c>
      <c r="AA686" s="85">
        <f>292.76*0.055</f>
        <v>16.101800000000001</v>
      </c>
      <c r="AB686" s="85">
        <f>223.75*0.055</f>
        <v>12.30625</v>
      </c>
      <c r="AC686" s="85">
        <f>169.39*0.055</f>
        <v>9.3164499999999997</v>
      </c>
      <c r="AD686" s="85"/>
    </row>
    <row r="687" spans="1:30">
      <c r="A687" s="82" t="s">
        <v>550</v>
      </c>
      <c r="B687" s="87" t="s">
        <v>643</v>
      </c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>
        <v>0</v>
      </c>
      <c r="O687" s="85">
        <v>0</v>
      </c>
      <c r="P687" s="85">
        <v>0</v>
      </c>
      <c r="Q687" s="85">
        <v>0</v>
      </c>
      <c r="R687" s="85">
        <v>0</v>
      </c>
      <c r="S687" s="85">
        <v>0</v>
      </c>
      <c r="T687" s="85">
        <v>0</v>
      </c>
      <c r="U687" s="85">
        <v>0</v>
      </c>
      <c r="V687" s="85">
        <v>0</v>
      </c>
      <c r="W687" s="85">
        <v>0</v>
      </c>
      <c r="X687" s="85">
        <v>0</v>
      </c>
      <c r="Y687" s="85">
        <v>0</v>
      </c>
      <c r="Z687" s="85">
        <v>0</v>
      </c>
      <c r="AA687" s="85">
        <v>0</v>
      </c>
      <c r="AB687" s="85">
        <v>0</v>
      </c>
      <c r="AC687" s="85">
        <v>0</v>
      </c>
      <c r="AD687" s="85"/>
    </row>
    <row r="688" spans="1:30">
      <c r="A688" s="82" t="s">
        <v>550</v>
      </c>
      <c r="B688" s="83" t="s">
        <v>405</v>
      </c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8">
        <f>0.02*0.025</f>
        <v>5.0000000000000001E-4</v>
      </c>
      <c r="R688" s="88">
        <f>0.02*0.025</f>
        <v>5.0000000000000001E-4</v>
      </c>
      <c r="S688" s="88">
        <v>0</v>
      </c>
      <c r="T688" s="85">
        <v>0</v>
      </c>
      <c r="U688" s="85">
        <v>0</v>
      </c>
      <c r="V688" s="85">
        <v>0</v>
      </c>
      <c r="W688" s="85">
        <v>0</v>
      </c>
      <c r="X688" s="85">
        <v>0</v>
      </c>
      <c r="Y688" s="85">
        <v>0</v>
      </c>
      <c r="Z688" s="85">
        <v>0</v>
      </c>
      <c r="AA688" s="85">
        <v>0</v>
      </c>
      <c r="AB688" s="85">
        <v>0</v>
      </c>
      <c r="AC688" s="85">
        <v>0</v>
      </c>
      <c r="AD688" s="85"/>
    </row>
    <row r="689" spans="1:30">
      <c r="A689" s="82" t="s">
        <v>550</v>
      </c>
      <c r="B689" s="83" t="s">
        <v>406</v>
      </c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8"/>
      <c r="R689" s="88">
        <f>0.003*0.033</f>
        <v>9.9000000000000008E-5</v>
      </c>
      <c r="S689" s="88">
        <v>0</v>
      </c>
      <c r="T689" s="85">
        <v>0</v>
      </c>
      <c r="U689" s="85">
        <v>0</v>
      </c>
      <c r="V689" s="85">
        <v>0</v>
      </c>
      <c r="W689" s="85">
        <v>0</v>
      </c>
      <c r="X689" s="85">
        <v>0</v>
      </c>
      <c r="Y689" s="85">
        <v>0</v>
      </c>
      <c r="Z689" s="85">
        <v>0</v>
      </c>
      <c r="AA689" s="85">
        <v>0</v>
      </c>
      <c r="AB689" s="85">
        <v>0</v>
      </c>
      <c r="AC689" s="85">
        <v>0</v>
      </c>
      <c r="AD689" s="85"/>
    </row>
    <row r="690" spans="1:30">
      <c r="A690" s="82" t="s">
        <v>551</v>
      </c>
      <c r="B690" s="83" t="s">
        <v>597</v>
      </c>
      <c r="C690" s="85">
        <v>0</v>
      </c>
      <c r="D690" s="85">
        <v>0</v>
      </c>
      <c r="E690" s="85">
        <f>3.22*0.02</f>
        <v>6.4399999999999999E-2</v>
      </c>
      <c r="F690" s="85">
        <f>1.21*0.02</f>
        <v>2.4199999999999999E-2</v>
      </c>
      <c r="G690" s="85">
        <f>65.76*0.02</f>
        <v>1.3152000000000001</v>
      </c>
      <c r="H690" s="85">
        <f>42.58*0.02</f>
        <v>0.85160000000000002</v>
      </c>
      <c r="I690" s="85">
        <f>75.86*0.02</f>
        <v>1.5172000000000001</v>
      </c>
      <c r="J690" s="85">
        <f>66.42*0.02</f>
        <v>1.3284</v>
      </c>
      <c r="K690" s="85">
        <f>28.63*0.02</f>
        <v>0.5726</v>
      </c>
      <c r="L690" s="85"/>
      <c r="M690" s="85">
        <f>70.63*0.02</f>
        <v>1.4125999999999999</v>
      </c>
      <c r="N690" s="85">
        <f>101.06*0.02</f>
        <v>2.0211999999999999</v>
      </c>
      <c r="O690" s="85">
        <f>122.02*0.02</f>
        <v>2.4403999999999999</v>
      </c>
      <c r="P690" s="85">
        <f>137.54*0.02</f>
        <v>2.7507999999999999</v>
      </c>
      <c r="Q690" s="85">
        <v>0</v>
      </c>
      <c r="R690" s="85">
        <v>0</v>
      </c>
      <c r="S690" s="85">
        <f>203.81*0.02</f>
        <v>4.0762</v>
      </c>
      <c r="T690" s="85">
        <f>221.64*0.02</f>
        <v>4.4327999999999994</v>
      </c>
      <c r="U690" s="85">
        <f>69.05*0.02</f>
        <v>1.381</v>
      </c>
      <c r="V690" s="85">
        <f>206.07*0.02</f>
        <v>4.1213999999999995</v>
      </c>
      <c r="W690" s="85">
        <f>227.35*0.02</f>
        <v>4.5469999999999997</v>
      </c>
      <c r="X690" s="85">
        <f>263.06*0.02</f>
        <v>5.2612000000000005</v>
      </c>
      <c r="Y690" s="85">
        <f>57.13*0.02</f>
        <v>1.1426000000000001</v>
      </c>
      <c r="Z690" s="85">
        <f>57.4*0.02</f>
        <v>1.1479999999999999</v>
      </c>
      <c r="AA690" s="85">
        <f>57.1*0.02</f>
        <v>1.1420000000000001</v>
      </c>
      <c r="AB690" s="85">
        <f>106.66*0.02</f>
        <v>2.1332</v>
      </c>
      <c r="AC690" s="85">
        <f>57.12*0.02</f>
        <v>1.1424000000000001</v>
      </c>
      <c r="AD690" s="85"/>
    </row>
    <row r="691" spans="1:30">
      <c r="A691" s="82" t="s">
        <v>551</v>
      </c>
      <c r="B691" s="83" t="s">
        <v>600</v>
      </c>
      <c r="C691" s="85">
        <v>0</v>
      </c>
      <c r="D691" s="85">
        <v>0</v>
      </c>
      <c r="E691" s="85">
        <f>0.93*0.022</f>
        <v>2.0459999999999999E-2</v>
      </c>
      <c r="F691" s="85">
        <v>0</v>
      </c>
      <c r="G691" s="85">
        <f>0.14*0.022</f>
        <v>3.0800000000000003E-3</v>
      </c>
      <c r="H691" s="85">
        <v>0</v>
      </c>
      <c r="I691" s="85">
        <v>0</v>
      </c>
      <c r="J691" s="85">
        <v>0</v>
      </c>
      <c r="K691" s="85">
        <v>0</v>
      </c>
      <c r="L691" s="85"/>
      <c r="M691" s="85">
        <v>0</v>
      </c>
      <c r="N691" s="85">
        <v>0</v>
      </c>
      <c r="O691" s="85">
        <v>0</v>
      </c>
      <c r="P691" s="85">
        <v>0</v>
      </c>
      <c r="Q691" s="85">
        <v>0</v>
      </c>
      <c r="R691" s="85">
        <v>0</v>
      </c>
      <c r="S691" s="85">
        <v>0</v>
      </c>
      <c r="T691" s="85">
        <v>0</v>
      </c>
      <c r="U691" s="85">
        <v>0</v>
      </c>
      <c r="V691" s="85">
        <v>0</v>
      </c>
      <c r="W691" s="85">
        <v>0</v>
      </c>
      <c r="X691" s="85">
        <v>0</v>
      </c>
      <c r="Y691" s="85">
        <v>0</v>
      </c>
      <c r="Z691" s="85">
        <v>0</v>
      </c>
      <c r="AA691" s="85">
        <v>0</v>
      </c>
      <c r="AB691" s="85">
        <v>0</v>
      </c>
      <c r="AC691" s="85">
        <v>0</v>
      </c>
      <c r="AD691" s="85"/>
    </row>
    <row r="692" spans="1:30">
      <c r="A692" s="82" t="s">
        <v>551</v>
      </c>
      <c r="B692" s="83" t="s">
        <v>595</v>
      </c>
      <c r="C692" s="85">
        <v>0</v>
      </c>
      <c r="D692" s="85">
        <v>0</v>
      </c>
      <c r="E692" s="85">
        <f>118.79*0.11</f>
        <v>13.0669</v>
      </c>
      <c r="F692" s="85">
        <f>23.75*0.11</f>
        <v>2.6124999999999998</v>
      </c>
      <c r="G692" s="85">
        <f>217.37*0.11</f>
        <v>23.910700000000002</v>
      </c>
      <c r="H692" s="85">
        <f>307.51*0.11</f>
        <v>33.826099999999997</v>
      </c>
      <c r="I692" s="85">
        <f>293.75*0.11</f>
        <v>32.3125</v>
      </c>
      <c r="J692" s="85">
        <f>322.1*0.11</f>
        <v>35.431000000000004</v>
      </c>
      <c r="K692" s="85">
        <f>372.63*0.11</f>
        <v>40.9893</v>
      </c>
      <c r="L692" s="85"/>
      <c r="M692" s="85">
        <f>407.83*0.11</f>
        <v>44.8613</v>
      </c>
      <c r="N692" s="85">
        <f>516.4*0.11</f>
        <v>56.803999999999995</v>
      </c>
      <c r="O692" s="85">
        <f>536.62*0.11</f>
        <v>59.028199999999998</v>
      </c>
      <c r="P692" s="85">
        <f>604.16*0.11</f>
        <v>66.457599999999999</v>
      </c>
      <c r="Q692" s="85">
        <v>0</v>
      </c>
      <c r="R692" s="85">
        <v>0</v>
      </c>
      <c r="S692" s="85">
        <f>502.5*0.11</f>
        <v>55.274999999999999</v>
      </c>
      <c r="T692" s="85">
        <f>533.79*0.11</f>
        <v>58.716899999999995</v>
      </c>
      <c r="U692" s="85">
        <f>408.66*0.11</f>
        <v>44.952600000000004</v>
      </c>
      <c r="V692" s="85">
        <f>959.64*0.11</f>
        <v>105.5604</v>
      </c>
      <c r="W692" s="85">
        <f>159.72*0.11</f>
        <v>17.569199999999999</v>
      </c>
      <c r="X692" s="85">
        <f>158.55*0.11</f>
        <v>17.4405</v>
      </c>
      <c r="Y692" s="85">
        <f>183.46*0.11</f>
        <v>20.180600000000002</v>
      </c>
      <c r="Z692" s="85">
        <f>144.5*0.11</f>
        <v>15.895</v>
      </c>
      <c r="AA692" s="85">
        <f>111.0143*0.11</f>
        <v>12.211573000000001</v>
      </c>
      <c r="AB692" s="85">
        <f>18.9*0.11</f>
        <v>2.0789999999999997</v>
      </c>
      <c r="AC692" s="85">
        <f>18.9*0.11</f>
        <v>2.0789999999999997</v>
      </c>
      <c r="AD692" s="85"/>
    </row>
    <row r="693" spans="1:30">
      <c r="A693" s="82" t="s">
        <v>551</v>
      </c>
      <c r="B693" s="83" t="s">
        <v>700</v>
      </c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>
        <v>0</v>
      </c>
      <c r="S693" s="85">
        <f>136.91*0.11</f>
        <v>15.0601</v>
      </c>
      <c r="T693" s="85">
        <f>50.19*0.11</f>
        <v>5.5209000000000001</v>
      </c>
      <c r="U693" s="85">
        <f>140.39*0.11</f>
        <v>15.442899999999998</v>
      </c>
      <c r="V693" s="85">
        <v>0</v>
      </c>
      <c r="W693" s="85">
        <v>0</v>
      </c>
      <c r="X693" s="85">
        <v>0</v>
      </c>
      <c r="Y693" s="85">
        <v>0</v>
      </c>
      <c r="Z693" s="85">
        <v>0</v>
      </c>
      <c r="AA693" s="85">
        <v>0</v>
      </c>
      <c r="AB693" s="85">
        <v>0</v>
      </c>
      <c r="AC693" s="85">
        <v>0</v>
      </c>
      <c r="AD693" s="85"/>
    </row>
    <row r="694" spans="1:30">
      <c r="A694" s="82" t="s">
        <v>551</v>
      </c>
      <c r="B694" s="83" t="s">
        <v>596</v>
      </c>
      <c r="C694" s="85">
        <v>0</v>
      </c>
      <c r="D694" s="85">
        <v>0</v>
      </c>
      <c r="E694" s="85">
        <v>0</v>
      </c>
      <c r="F694" s="85">
        <v>0</v>
      </c>
      <c r="G694" s="85">
        <v>0</v>
      </c>
      <c r="H694" s="85">
        <v>0</v>
      </c>
      <c r="I694" s="85">
        <v>0</v>
      </c>
      <c r="J694" s="85">
        <v>0</v>
      </c>
      <c r="K694" s="85">
        <v>0</v>
      </c>
      <c r="L694" s="85"/>
      <c r="M694" s="85">
        <v>0</v>
      </c>
      <c r="N694" s="85">
        <v>0</v>
      </c>
      <c r="O694" s="85">
        <f>0.002*0.065</f>
        <v>1.3000000000000002E-4</v>
      </c>
      <c r="P694" s="85">
        <v>0</v>
      </c>
      <c r="Q694" s="85">
        <v>0</v>
      </c>
      <c r="R694" s="85">
        <v>0</v>
      </c>
      <c r="S694" s="85">
        <v>0</v>
      </c>
      <c r="T694" s="85">
        <v>0</v>
      </c>
      <c r="U694" s="85">
        <v>0</v>
      </c>
      <c r="V694" s="85">
        <v>0</v>
      </c>
      <c r="W694" s="85">
        <v>0</v>
      </c>
      <c r="X694" s="85">
        <v>0</v>
      </c>
      <c r="Y694" s="85">
        <v>0</v>
      </c>
      <c r="Z694" s="85">
        <v>0</v>
      </c>
      <c r="AA694" s="85">
        <v>0</v>
      </c>
      <c r="AB694" s="85">
        <v>0</v>
      </c>
      <c r="AC694" s="85">
        <v>0</v>
      </c>
      <c r="AD694" s="85"/>
    </row>
    <row r="695" spans="1:30">
      <c r="A695" s="82" t="s">
        <v>551</v>
      </c>
      <c r="B695" s="83" t="s">
        <v>594</v>
      </c>
      <c r="C695" s="85">
        <v>0</v>
      </c>
      <c r="D695" s="85">
        <v>0</v>
      </c>
      <c r="E695" s="85">
        <f>1840.7*0.055</f>
        <v>101.2385</v>
      </c>
      <c r="F695" s="85">
        <f>77.33*0.055</f>
        <v>4.2531499999999998</v>
      </c>
      <c r="G695" s="85">
        <f>2075.55*0.055</f>
        <v>114.15525000000001</v>
      </c>
      <c r="H695" s="85">
        <f>2261.86*0.055</f>
        <v>124.40230000000001</v>
      </c>
      <c r="I695" s="85">
        <f>1741.71*0.055</f>
        <v>95.794049999999999</v>
      </c>
      <c r="J695" s="85">
        <f>1927.72*0.055</f>
        <v>106.02460000000001</v>
      </c>
      <c r="K695" s="85">
        <f>2693.49*0.055</f>
        <v>148.14194999999998</v>
      </c>
      <c r="L695" s="85"/>
      <c r="M695" s="85">
        <f>2935.22*0.055</f>
        <v>161.43709999999999</v>
      </c>
      <c r="N695" s="85">
        <f>2582.13*0.055</f>
        <v>142.01715000000002</v>
      </c>
      <c r="O695" s="85">
        <f>2156.48*0.055</f>
        <v>118.60640000000001</v>
      </c>
      <c r="P695" s="85">
        <f>2851.77*0.055</f>
        <v>156.84735000000001</v>
      </c>
      <c r="Q695" s="85">
        <v>0</v>
      </c>
      <c r="R695" s="85">
        <v>0</v>
      </c>
      <c r="S695" s="85">
        <f>1850.84*0.055</f>
        <v>101.7962</v>
      </c>
      <c r="T695" s="85">
        <f>2409.13*0.055</f>
        <v>132.50215</v>
      </c>
      <c r="U695" s="85">
        <f>1641.46*0.055</f>
        <v>90.280299999999997</v>
      </c>
      <c r="V695" s="85">
        <f>1860.03*0.055</f>
        <v>102.30165</v>
      </c>
      <c r="W695" s="85">
        <f>1837.44*0.055</f>
        <v>101.0592</v>
      </c>
      <c r="X695" s="85">
        <f>1685.12*0.055</f>
        <v>92.681599999999989</v>
      </c>
      <c r="Y695" s="85">
        <f>1653.69*0.055</f>
        <v>90.952950000000001</v>
      </c>
      <c r="Z695" s="85">
        <f>1615.61*0.055</f>
        <v>88.858549999999994</v>
      </c>
      <c r="AA695" s="85">
        <f>1643.24*0.055</f>
        <v>90.378200000000007</v>
      </c>
      <c r="AB695" s="85">
        <f>843.694*0.055</f>
        <v>46.403169999999996</v>
      </c>
      <c r="AC695" s="85">
        <f>1039.633*0.055</f>
        <v>57.179815000000005</v>
      </c>
      <c r="AD695" s="85"/>
    </row>
    <row r="696" spans="1:30">
      <c r="A696" s="82" t="s">
        <v>551</v>
      </c>
      <c r="B696" s="87" t="s">
        <v>643</v>
      </c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>
        <v>0</v>
      </c>
      <c r="O696" s="85">
        <v>0</v>
      </c>
      <c r="P696" s="85">
        <v>0</v>
      </c>
      <c r="Q696" s="85">
        <v>0</v>
      </c>
      <c r="R696" s="85">
        <v>0</v>
      </c>
      <c r="S696" s="85">
        <v>0</v>
      </c>
      <c r="T696" s="85">
        <v>0</v>
      </c>
      <c r="U696" s="85">
        <v>0</v>
      </c>
      <c r="V696" s="85">
        <v>0</v>
      </c>
      <c r="W696" s="85">
        <v>0</v>
      </c>
      <c r="X696" s="85">
        <v>0</v>
      </c>
      <c r="Y696" s="85">
        <v>0</v>
      </c>
      <c r="Z696" s="85">
        <v>0</v>
      </c>
      <c r="AA696" s="85">
        <v>0</v>
      </c>
      <c r="AB696" s="85">
        <v>0</v>
      </c>
      <c r="AC696" s="85">
        <v>0</v>
      </c>
      <c r="AD696" s="85"/>
    </row>
    <row r="697" spans="1:30">
      <c r="A697" s="82" t="s">
        <v>551</v>
      </c>
      <c r="B697" s="83" t="s">
        <v>405</v>
      </c>
      <c r="C697" s="85">
        <v>0</v>
      </c>
      <c r="D697" s="85">
        <v>0</v>
      </c>
      <c r="E697" s="85">
        <f>3.5*0.025</f>
        <v>8.7500000000000008E-2</v>
      </c>
      <c r="F697" s="85">
        <v>0</v>
      </c>
      <c r="G697" s="85">
        <f>2117.21*0.025</f>
        <v>52.930250000000001</v>
      </c>
      <c r="H697" s="85">
        <v>0</v>
      </c>
      <c r="I697" s="85">
        <v>0</v>
      </c>
      <c r="J697" s="85">
        <v>0</v>
      </c>
      <c r="K697" s="85">
        <f>4.2*0.025</f>
        <v>0.10500000000000001</v>
      </c>
      <c r="L697" s="85"/>
      <c r="M697" s="85">
        <v>0</v>
      </c>
      <c r="N697" s="85">
        <v>0</v>
      </c>
      <c r="O697" s="85">
        <f>2.1*0.025</f>
        <v>5.2500000000000005E-2</v>
      </c>
      <c r="P697" s="85">
        <f>1.79*0.025</f>
        <v>4.4750000000000005E-2</v>
      </c>
      <c r="Q697" s="85">
        <v>0</v>
      </c>
      <c r="R697" s="85">
        <v>0</v>
      </c>
      <c r="S697" s="85">
        <f>0.93*0.025</f>
        <v>2.3250000000000003E-2</v>
      </c>
      <c r="T697" s="85">
        <f>1.47*0.025</f>
        <v>3.6749999999999998E-2</v>
      </c>
      <c r="U697" s="85">
        <f>1.39*0.025</f>
        <v>3.4749999999999996E-2</v>
      </c>
      <c r="V697" s="85">
        <f>0.42*0.025</f>
        <v>1.0500000000000001E-2</v>
      </c>
      <c r="W697" s="85">
        <f>1.52*0.025</f>
        <v>3.8000000000000006E-2</v>
      </c>
      <c r="X697" s="85">
        <f>0.21*0.025</f>
        <v>5.2500000000000003E-3</v>
      </c>
      <c r="Y697" s="85">
        <f>0.31*0.025</f>
        <v>7.7499999999999999E-3</v>
      </c>
      <c r="Z697" s="85">
        <f>0.15*0.025</f>
        <v>3.7499999999999999E-3</v>
      </c>
      <c r="AA697" s="85">
        <f>0.3832*0.025</f>
        <v>9.58E-3</v>
      </c>
      <c r="AB697" s="85">
        <v>0</v>
      </c>
      <c r="AC697" s="85">
        <v>0</v>
      </c>
      <c r="AD697" s="85"/>
    </row>
    <row r="698" spans="1:30">
      <c r="A698" s="82" t="s">
        <v>551</v>
      </c>
      <c r="B698" s="83" t="s">
        <v>406</v>
      </c>
      <c r="C698" s="85">
        <v>0</v>
      </c>
      <c r="D698" s="85">
        <v>0</v>
      </c>
      <c r="E698" s="85">
        <v>0</v>
      </c>
      <c r="F698" s="85">
        <v>0</v>
      </c>
      <c r="G698" s="85">
        <v>0</v>
      </c>
      <c r="H698" s="85">
        <v>0</v>
      </c>
      <c r="I698" s="85">
        <v>0</v>
      </c>
      <c r="J698" s="85">
        <v>0</v>
      </c>
      <c r="K698" s="85">
        <v>0</v>
      </c>
      <c r="L698" s="85"/>
      <c r="M698" s="85">
        <v>0</v>
      </c>
      <c r="N698" s="85">
        <v>0</v>
      </c>
      <c r="O698" s="85">
        <f>2.13*0.033</f>
        <v>7.0290000000000005E-2</v>
      </c>
      <c r="P698" s="85">
        <f>1.75*0.033</f>
        <v>5.7750000000000003E-2</v>
      </c>
      <c r="Q698" s="85">
        <v>0</v>
      </c>
      <c r="R698" s="85">
        <v>0</v>
      </c>
      <c r="S698" s="85">
        <f>0.93*0.033</f>
        <v>3.0690000000000002E-2</v>
      </c>
      <c r="T698" s="85">
        <f>1.47*0.033</f>
        <v>4.8510000000000005E-2</v>
      </c>
      <c r="U698" s="85">
        <f>1.39*0.033</f>
        <v>4.5870000000000001E-2</v>
      </c>
      <c r="V698" s="85">
        <f>0.42*0.033</f>
        <v>1.3860000000000001E-2</v>
      </c>
      <c r="W698" s="85">
        <f>1.52*0.033</f>
        <v>5.0160000000000003E-2</v>
      </c>
      <c r="X698" s="85">
        <f>0.21*0.033</f>
        <v>6.9300000000000004E-3</v>
      </c>
      <c r="Y698" s="85">
        <f>0.31*0.033</f>
        <v>1.0230000000000001E-2</v>
      </c>
      <c r="Z698" s="85">
        <f>0.16*0.033</f>
        <v>5.28E-3</v>
      </c>
      <c r="AA698" s="85">
        <f>0.3832*0.033</f>
        <v>1.26456E-2</v>
      </c>
      <c r="AB698" s="85">
        <v>0</v>
      </c>
      <c r="AC698" s="85">
        <v>0</v>
      </c>
      <c r="AD698" s="85"/>
    </row>
    <row r="699" spans="1:30">
      <c r="A699" s="82" t="s">
        <v>554</v>
      </c>
      <c r="B699" s="83" t="s">
        <v>597</v>
      </c>
      <c r="C699" s="84" t="s">
        <v>680</v>
      </c>
      <c r="D699" s="84" t="s">
        <v>680</v>
      </c>
      <c r="E699" s="84" t="s">
        <v>680</v>
      </c>
      <c r="F699" s="84" t="s">
        <v>680</v>
      </c>
      <c r="G699" s="85">
        <v>0</v>
      </c>
      <c r="H699" s="85">
        <v>0</v>
      </c>
      <c r="I699" s="85">
        <v>0</v>
      </c>
      <c r="J699" s="85">
        <v>0</v>
      </c>
      <c r="K699" s="85">
        <v>0</v>
      </c>
      <c r="L699" s="85">
        <v>0</v>
      </c>
      <c r="M699" s="85">
        <v>0</v>
      </c>
      <c r="N699" s="85">
        <v>0</v>
      </c>
      <c r="O699" s="85">
        <v>0</v>
      </c>
      <c r="P699" s="85">
        <v>0</v>
      </c>
      <c r="Q699" s="85">
        <v>0</v>
      </c>
      <c r="R699" s="85">
        <v>0</v>
      </c>
      <c r="S699" s="85">
        <f>12.5*0.02</f>
        <v>0.25</v>
      </c>
      <c r="T699" s="85">
        <f>35.7*0.02</f>
        <v>0.71400000000000008</v>
      </c>
      <c r="U699" s="85">
        <f>30.5*0.02</f>
        <v>0.61</v>
      </c>
      <c r="V699" s="85">
        <f>40.98*0.02</f>
        <v>0.8196</v>
      </c>
      <c r="W699" s="85">
        <f>1.36*0.02</f>
        <v>2.7200000000000002E-2</v>
      </c>
      <c r="X699" s="85">
        <f>15.52*0.02</f>
        <v>0.31040000000000001</v>
      </c>
      <c r="Y699" s="85">
        <v>0</v>
      </c>
      <c r="Z699" s="85">
        <f>10.88*0.02</f>
        <v>0.21760000000000002</v>
      </c>
      <c r="AA699" s="85">
        <f>0.55*0.02</f>
        <v>1.1000000000000001E-2</v>
      </c>
      <c r="AB699" s="85">
        <v>0</v>
      </c>
      <c r="AC699" s="85">
        <v>0</v>
      </c>
      <c r="AD699" s="85"/>
    </row>
    <row r="700" spans="1:30">
      <c r="A700" s="82" t="s">
        <v>554</v>
      </c>
      <c r="B700" s="83" t="s">
        <v>600</v>
      </c>
      <c r="C700" s="84" t="s">
        <v>680</v>
      </c>
      <c r="D700" s="84" t="s">
        <v>680</v>
      </c>
      <c r="E700" s="84" t="s">
        <v>680</v>
      </c>
      <c r="F700" s="84" t="s">
        <v>680</v>
      </c>
      <c r="G700" s="85">
        <v>0</v>
      </c>
      <c r="H700" s="85">
        <v>0</v>
      </c>
      <c r="I700" s="85">
        <v>0</v>
      </c>
      <c r="J700" s="85">
        <v>0</v>
      </c>
      <c r="K700" s="85">
        <v>0</v>
      </c>
      <c r="L700" s="85">
        <v>0</v>
      </c>
      <c r="M700" s="85">
        <v>0</v>
      </c>
      <c r="N700" s="85">
        <v>0</v>
      </c>
      <c r="O700" s="85">
        <v>0</v>
      </c>
      <c r="P700" s="85">
        <v>0</v>
      </c>
      <c r="Q700" s="85">
        <v>0</v>
      </c>
      <c r="R700" s="85">
        <v>0</v>
      </c>
      <c r="S700" s="85">
        <v>0</v>
      </c>
      <c r="T700" s="85">
        <v>0</v>
      </c>
      <c r="U700" s="85">
        <v>0</v>
      </c>
      <c r="V700" s="85">
        <v>0</v>
      </c>
      <c r="W700" s="85">
        <v>0</v>
      </c>
      <c r="X700" s="85">
        <v>0</v>
      </c>
      <c r="Y700" s="85">
        <v>0</v>
      </c>
      <c r="Z700" s="85">
        <v>0</v>
      </c>
      <c r="AA700" s="85">
        <v>0</v>
      </c>
      <c r="AB700" s="85">
        <v>0</v>
      </c>
      <c r="AC700" s="85">
        <v>0</v>
      </c>
      <c r="AD700" s="85"/>
    </row>
    <row r="701" spans="1:30">
      <c r="A701" s="82" t="s">
        <v>554</v>
      </c>
      <c r="B701" s="83" t="s">
        <v>595</v>
      </c>
      <c r="C701" s="84" t="s">
        <v>680</v>
      </c>
      <c r="D701" s="84" t="s">
        <v>680</v>
      </c>
      <c r="E701" s="84" t="s">
        <v>680</v>
      </c>
      <c r="F701" s="84" t="s">
        <v>680</v>
      </c>
      <c r="G701" s="85">
        <v>0</v>
      </c>
      <c r="H701" s="85">
        <v>0</v>
      </c>
      <c r="I701" s="85">
        <v>0</v>
      </c>
      <c r="J701" s="85">
        <v>0</v>
      </c>
      <c r="K701" s="85">
        <v>0</v>
      </c>
      <c r="L701" s="85">
        <v>0</v>
      </c>
      <c r="M701" s="85">
        <v>0</v>
      </c>
      <c r="N701" s="85">
        <v>0</v>
      </c>
      <c r="O701" s="85">
        <v>0</v>
      </c>
      <c r="P701" s="85">
        <v>0</v>
      </c>
      <c r="Q701" s="85">
        <f>6.8*0.11</f>
        <v>0.748</v>
      </c>
      <c r="R701" s="85">
        <f>3.68*0.11</f>
        <v>0.40479999999999999</v>
      </c>
      <c r="S701" s="85">
        <f>12.45*0.11</f>
        <v>1.3694999999999999</v>
      </c>
      <c r="T701" s="85">
        <f>17.41*0.11</f>
        <v>1.9151</v>
      </c>
      <c r="U701" s="85">
        <f>15.71*0.11</f>
        <v>1.7281000000000002</v>
      </c>
      <c r="V701" s="85">
        <f>10.05*0.11</f>
        <v>1.1055000000000001</v>
      </c>
      <c r="W701" s="85">
        <f>21.96*0.11</f>
        <v>2.4156</v>
      </c>
      <c r="X701" s="85">
        <f>37.37*0.11</f>
        <v>4.1106999999999996</v>
      </c>
      <c r="Y701" s="85">
        <f>59.45*0.11</f>
        <v>6.5395000000000003</v>
      </c>
      <c r="Z701" s="85">
        <f>5.44*0.11</f>
        <v>0.59840000000000004</v>
      </c>
      <c r="AA701" s="85">
        <v>0</v>
      </c>
      <c r="AB701" s="85">
        <v>0</v>
      </c>
      <c r="AC701" s="85">
        <v>0</v>
      </c>
      <c r="AD701" s="85"/>
    </row>
    <row r="702" spans="1:30">
      <c r="A702" s="82" t="s">
        <v>554</v>
      </c>
      <c r="B702" s="83" t="s">
        <v>700</v>
      </c>
      <c r="C702" s="84"/>
      <c r="D702" s="84"/>
      <c r="E702" s="84"/>
      <c r="F702" s="84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>
        <f>58.8*0.11</f>
        <v>6.468</v>
      </c>
      <c r="T702" s="85">
        <v>0</v>
      </c>
      <c r="U702" s="85">
        <v>0</v>
      </c>
      <c r="V702" s="85">
        <v>0</v>
      </c>
      <c r="W702" s="85">
        <v>0</v>
      </c>
      <c r="X702" s="85">
        <v>0</v>
      </c>
      <c r="Y702" s="85">
        <v>0</v>
      </c>
      <c r="Z702" s="85">
        <v>0</v>
      </c>
      <c r="AA702" s="85">
        <f>380*0.11</f>
        <v>41.8</v>
      </c>
      <c r="AB702" s="85">
        <f>385*0.11</f>
        <v>42.35</v>
      </c>
      <c r="AC702" s="85">
        <v>0</v>
      </c>
      <c r="AD702" s="85"/>
    </row>
    <row r="703" spans="1:30">
      <c r="A703" s="82" t="s">
        <v>554</v>
      </c>
      <c r="B703" s="83" t="s">
        <v>596</v>
      </c>
      <c r="C703" s="84" t="s">
        <v>680</v>
      </c>
      <c r="D703" s="84" t="s">
        <v>680</v>
      </c>
      <c r="E703" s="84" t="s">
        <v>680</v>
      </c>
      <c r="F703" s="84" t="s">
        <v>680</v>
      </c>
      <c r="G703" s="85">
        <v>0</v>
      </c>
      <c r="H703" s="85">
        <v>0</v>
      </c>
      <c r="I703" s="85">
        <v>0</v>
      </c>
      <c r="J703" s="85">
        <v>0</v>
      </c>
      <c r="K703" s="85">
        <v>0</v>
      </c>
      <c r="L703" s="85">
        <v>0</v>
      </c>
      <c r="M703" s="85">
        <v>0</v>
      </c>
      <c r="N703" s="85">
        <v>0</v>
      </c>
      <c r="O703" s="85">
        <v>0</v>
      </c>
      <c r="P703" s="85">
        <f>85*0.065</f>
        <v>5.5250000000000004</v>
      </c>
      <c r="Q703" s="85">
        <f>178.8*0.065</f>
        <v>11.622000000000002</v>
      </c>
      <c r="R703" s="85">
        <f>192*0.065</f>
        <v>12.48</v>
      </c>
      <c r="S703" s="85">
        <f>206.4*0.065</f>
        <v>13.416</v>
      </c>
      <c r="T703" s="85">
        <f>132*0.065</f>
        <v>8.58</v>
      </c>
      <c r="U703" s="85">
        <f>47.63*0.065</f>
        <v>3.0959500000000002</v>
      </c>
      <c r="V703" s="85">
        <f>11.98*0.065</f>
        <v>0.77870000000000006</v>
      </c>
      <c r="W703" s="85">
        <f>48.77*0.065</f>
        <v>3.1700500000000003</v>
      </c>
      <c r="X703" s="85">
        <f>36*0.065</f>
        <v>2.34</v>
      </c>
      <c r="Y703" s="85">
        <f>36*0.065</f>
        <v>2.34</v>
      </c>
      <c r="Z703" s="85">
        <f>48*0.065</f>
        <v>3.12</v>
      </c>
      <c r="AA703" s="85">
        <v>0</v>
      </c>
      <c r="AB703" s="85">
        <v>0</v>
      </c>
      <c r="AC703" s="85">
        <v>0</v>
      </c>
      <c r="AD703" s="85"/>
    </row>
    <row r="704" spans="1:30">
      <c r="A704" s="82" t="s">
        <v>554</v>
      </c>
      <c r="B704" s="83" t="s">
        <v>594</v>
      </c>
      <c r="C704" s="84" t="s">
        <v>680</v>
      </c>
      <c r="D704" s="84" t="s">
        <v>680</v>
      </c>
      <c r="E704" s="84" t="s">
        <v>680</v>
      </c>
      <c r="F704" s="84" t="s">
        <v>680</v>
      </c>
      <c r="G704" s="85">
        <f>90.8*0.055</f>
        <v>4.9939999999999998</v>
      </c>
      <c r="H704" s="85">
        <f>90*0.055</f>
        <v>4.95</v>
      </c>
      <c r="I704" s="85">
        <f>87.7*0.055</f>
        <v>4.8235000000000001</v>
      </c>
      <c r="J704" s="85">
        <f>135.7*0.055</f>
        <v>7.4634999999999998</v>
      </c>
      <c r="K704" s="85">
        <f>227.6*0.055</f>
        <v>12.517999999999999</v>
      </c>
      <c r="L704" s="85">
        <f>230.63*0.055</f>
        <v>12.68465</v>
      </c>
      <c r="M704" s="85">
        <f>272.22*0.055</f>
        <v>14.972100000000001</v>
      </c>
      <c r="N704" s="85">
        <f>325.85*0.055</f>
        <v>17.921750000000003</v>
      </c>
      <c r="O704" s="85">
        <f>427.78*0.055</f>
        <v>23.527899999999999</v>
      </c>
      <c r="P704" s="85">
        <f>603.8*0.055</f>
        <v>33.208999999999996</v>
      </c>
      <c r="Q704" s="85">
        <f>1225*0.055</f>
        <v>67.375</v>
      </c>
      <c r="R704" s="85">
        <f>1446*0.055</f>
        <v>79.53</v>
      </c>
      <c r="S704" s="85">
        <f>1483.1*0.055</f>
        <v>81.570499999999996</v>
      </c>
      <c r="T704" s="85">
        <f>1497.4*0.055</f>
        <v>82.356999999999999</v>
      </c>
      <c r="U704" s="85">
        <f>1368.48*0.055</f>
        <v>75.266400000000004</v>
      </c>
      <c r="V704" s="85">
        <f>1495.35*0.055</f>
        <v>82.244249999999994</v>
      </c>
      <c r="W704" s="85">
        <f>1096.01*0.055</f>
        <v>60.280549999999998</v>
      </c>
      <c r="X704" s="85">
        <f>1066.1*0.055</f>
        <v>58.635499999999993</v>
      </c>
      <c r="Y704" s="85">
        <f>1084.66*0.055</f>
        <v>59.656300000000002</v>
      </c>
      <c r="Z704" s="85">
        <f>1179.62*0.055</f>
        <v>64.879099999999994</v>
      </c>
      <c r="AA704" s="85">
        <f>1263.81*0.055</f>
        <v>69.509550000000004</v>
      </c>
      <c r="AB704" s="85">
        <f>1026*0.055</f>
        <v>56.43</v>
      </c>
      <c r="AC704" s="85">
        <f>1027.1484*0.055</f>
        <v>56.493162000000005</v>
      </c>
      <c r="AD704" s="85"/>
    </row>
    <row r="705" spans="1:30">
      <c r="A705" s="82" t="s">
        <v>554</v>
      </c>
      <c r="B705" s="87" t="s">
        <v>643</v>
      </c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>
        <v>0</v>
      </c>
      <c r="O705" s="85">
        <v>0</v>
      </c>
      <c r="P705" s="85">
        <v>0</v>
      </c>
      <c r="Q705" s="85">
        <v>0</v>
      </c>
      <c r="R705" s="85">
        <v>0</v>
      </c>
      <c r="S705" s="85">
        <v>0</v>
      </c>
      <c r="T705" s="85">
        <v>0</v>
      </c>
      <c r="U705" s="85">
        <v>0</v>
      </c>
      <c r="V705" s="85">
        <v>0</v>
      </c>
      <c r="W705" s="85">
        <v>0</v>
      </c>
      <c r="X705" s="85">
        <v>0</v>
      </c>
      <c r="Y705" s="85">
        <v>0</v>
      </c>
      <c r="Z705" s="85">
        <v>0</v>
      </c>
      <c r="AA705" s="85">
        <v>0</v>
      </c>
      <c r="AB705" s="85">
        <v>0</v>
      </c>
      <c r="AC705" s="85">
        <v>0</v>
      </c>
      <c r="AD705" s="85"/>
    </row>
    <row r="706" spans="1:30">
      <c r="A706" s="82" t="s">
        <v>417</v>
      </c>
      <c r="B706" s="83" t="s">
        <v>597</v>
      </c>
      <c r="C706" s="84" t="s">
        <v>680</v>
      </c>
      <c r="D706" s="84" t="s">
        <v>680</v>
      </c>
      <c r="E706" s="84" t="s">
        <v>680</v>
      </c>
      <c r="F706" s="84" t="s">
        <v>680</v>
      </c>
      <c r="G706" s="85">
        <v>0</v>
      </c>
      <c r="H706" s="85">
        <v>0</v>
      </c>
      <c r="I706" s="85">
        <v>0</v>
      </c>
      <c r="J706" s="85">
        <v>0</v>
      </c>
      <c r="K706" s="85">
        <v>0</v>
      </c>
      <c r="L706" s="85">
        <v>0</v>
      </c>
      <c r="M706" s="85">
        <v>0</v>
      </c>
      <c r="N706" s="85">
        <v>0</v>
      </c>
      <c r="O706" s="85">
        <v>0</v>
      </c>
      <c r="P706" s="85">
        <v>0</v>
      </c>
      <c r="Q706" s="85">
        <v>0</v>
      </c>
      <c r="R706" s="85">
        <v>0</v>
      </c>
      <c r="S706" s="85">
        <v>0</v>
      </c>
      <c r="T706" s="85">
        <v>0</v>
      </c>
      <c r="U706" s="85">
        <v>0</v>
      </c>
      <c r="V706" s="85">
        <v>0</v>
      </c>
      <c r="W706" s="85">
        <v>0</v>
      </c>
      <c r="X706" s="85">
        <v>0</v>
      </c>
      <c r="Y706" s="85">
        <v>0</v>
      </c>
      <c r="Z706" s="85">
        <v>0</v>
      </c>
      <c r="AA706" s="85">
        <v>0</v>
      </c>
      <c r="AB706" s="85">
        <v>0</v>
      </c>
      <c r="AC706" s="85">
        <v>0</v>
      </c>
      <c r="AD706" s="85"/>
    </row>
    <row r="707" spans="1:30">
      <c r="A707" s="82" t="s">
        <v>417</v>
      </c>
      <c r="B707" s="83" t="s">
        <v>600</v>
      </c>
      <c r="C707" s="84" t="s">
        <v>680</v>
      </c>
      <c r="D707" s="84" t="s">
        <v>680</v>
      </c>
      <c r="E707" s="84" t="s">
        <v>680</v>
      </c>
      <c r="F707" s="84" t="s">
        <v>680</v>
      </c>
      <c r="G707" s="85">
        <v>0</v>
      </c>
      <c r="H707" s="85">
        <v>0</v>
      </c>
      <c r="I707" s="85">
        <v>0</v>
      </c>
      <c r="J707" s="85">
        <v>0</v>
      </c>
      <c r="K707" s="85">
        <v>0</v>
      </c>
      <c r="L707" s="85">
        <v>0</v>
      </c>
      <c r="M707" s="85">
        <v>0</v>
      </c>
      <c r="N707" s="85">
        <v>0</v>
      </c>
      <c r="O707" s="85">
        <v>0</v>
      </c>
      <c r="P707" s="85">
        <v>0</v>
      </c>
      <c r="Q707" s="85">
        <v>0</v>
      </c>
      <c r="R707" s="85">
        <v>0</v>
      </c>
      <c r="S707" s="85">
        <v>0</v>
      </c>
      <c r="T707" s="85">
        <v>0</v>
      </c>
      <c r="U707" s="85">
        <v>0</v>
      </c>
      <c r="V707" s="85">
        <v>0</v>
      </c>
      <c r="W707" s="85">
        <v>0</v>
      </c>
      <c r="X707" s="85">
        <v>0</v>
      </c>
      <c r="Y707" s="85">
        <v>0</v>
      </c>
      <c r="Z707" s="85">
        <v>0</v>
      </c>
      <c r="AA707" s="85">
        <v>0</v>
      </c>
      <c r="AB707" s="85">
        <v>0</v>
      </c>
      <c r="AC707" s="85">
        <v>0</v>
      </c>
      <c r="AD707" s="85"/>
    </row>
    <row r="708" spans="1:30">
      <c r="A708" s="82" t="s">
        <v>417</v>
      </c>
      <c r="B708" s="83" t="s">
        <v>595</v>
      </c>
      <c r="C708" s="84" t="s">
        <v>680</v>
      </c>
      <c r="D708" s="84" t="s">
        <v>680</v>
      </c>
      <c r="E708" s="84" t="s">
        <v>680</v>
      </c>
      <c r="F708" s="84" t="s">
        <v>680</v>
      </c>
      <c r="G708" s="85">
        <v>0</v>
      </c>
      <c r="H708" s="85">
        <v>0</v>
      </c>
      <c r="I708" s="85">
        <v>0</v>
      </c>
      <c r="J708" s="85">
        <v>0</v>
      </c>
      <c r="K708" s="85">
        <v>0</v>
      </c>
      <c r="L708" s="85">
        <v>0</v>
      </c>
      <c r="M708" s="85">
        <v>0</v>
      </c>
      <c r="N708" s="85">
        <v>0</v>
      </c>
      <c r="O708" s="85">
        <v>0</v>
      </c>
      <c r="P708" s="85">
        <v>0</v>
      </c>
      <c r="Q708" s="85">
        <v>0</v>
      </c>
      <c r="R708" s="85">
        <v>0</v>
      </c>
      <c r="S708" s="85">
        <v>0</v>
      </c>
      <c r="T708" s="85">
        <v>0</v>
      </c>
      <c r="U708" s="85">
        <v>0</v>
      </c>
      <c r="V708" s="85">
        <v>0</v>
      </c>
      <c r="W708" s="85">
        <v>0</v>
      </c>
      <c r="X708" s="85">
        <v>0</v>
      </c>
      <c r="Y708" s="85">
        <f>0.1*0.11</f>
        <v>1.1000000000000001E-2</v>
      </c>
      <c r="Z708" s="85">
        <v>0</v>
      </c>
      <c r="AA708" s="85">
        <v>0</v>
      </c>
      <c r="AB708" s="85">
        <v>0</v>
      </c>
      <c r="AC708" s="85">
        <v>0</v>
      </c>
      <c r="AD708" s="85"/>
    </row>
    <row r="709" spans="1:30">
      <c r="A709" s="82" t="s">
        <v>417</v>
      </c>
      <c r="B709" s="83" t="s">
        <v>596</v>
      </c>
      <c r="C709" s="84" t="s">
        <v>680</v>
      </c>
      <c r="D709" s="84" t="s">
        <v>680</v>
      </c>
      <c r="E709" s="84" t="s">
        <v>680</v>
      </c>
      <c r="F709" s="84" t="s">
        <v>680</v>
      </c>
      <c r="G709" s="85">
        <v>0</v>
      </c>
      <c r="H709" s="85">
        <v>0</v>
      </c>
      <c r="I709" s="85">
        <v>0</v>
      </c>
      <c r="J709" s="85">
        <v>0</v>
      </c>
      <c r="K709" s="85">
        <v>0</v>
      </c>
      <c r="L709" s="85">
        <v>0</v>
      </c>
      <c r="M709" s="85">
        <v>0</v>
      </c>
      <c r="N709" s="85">
        <v>0</v>
      </c>
      <c r="O709" s="85">
        <v>0</v>
      </c>
      <c r="P709" s="85">
        <v>0</v>
      </c>
      <c r="Q709" s="85">
        <v>0</v>
      </c>
      <c r="R709" s="85">
        <v>0</v>
      </c>
      <c r="S709" s="85">
        <v>0</v>
      </c>
      <c r="T709" s="85">
        <v>0</v>
      </c>
      <c r="U709" s="85">
        <v>0</v>
      </c>
      <c r="V709" s="85">
        <v>0</v>
      </c>
      <c r="W709" s="85">
        <v>0</v>
      </c>
      <c r="X709" s="85">
        <v>0</v>
      </c>
      <c r="Y709" s="85">
        <v>0</v>
      </c>
      <c r="Z709" s="85">
        <v>0</v>
      </c>
      <c r="AA709" s="85">
        <v>0</v>
      </c>
      <c r="AB709" s="85">
        <v>0</v>
      </c>
      <c r="AC709" s="85">
        <v>0</v>
      </c>
      <c r="AD709" s="85"/>
    </row>
    <row r="710" spans="1:30">
      <c r="A710" s="82" t="s">
        <v>417</v>
      </c>
      <c r="B710" s="83" t="s">
        <v>594</v>
      </c>
      <c r="C710" s="84" t="s">
        <v>680</v>
      </c>
      <c r="D710" s="84" t="s">
        <v>680</v>
      </c>
      <c r="E710" s="84" t="s">
        <v>680</v>
      </c>
      <c r="F710" s="84" t="s">
        <v>680</v>
      </c>
      <c r="G710" s="85">
        <v>0</v>
      </c>
      <c r="H710" s="85">
        <v>0</v>
      </c>
      <c r="I710" s="85">
        <v>0</v>
      </c>
      <c r="J710" s="85">
        <v>0</v>
      </c>
      <c r="K710" s="85">
        <v>0</v>
      </c>
      <c r="L710" s="85">
        <f>27.6*0.055</f>
        <v>1.518</v>
      </c>
      <c r="M710" s="85">
        <v>0</v>
      </c>
      <c r="N710" s="85">
        <v>0.66495000000000004</v>
      </c>
      <c r="O710" s="85">
        <f>38.6*0.055</f>
        <v>2.1230000000000002</v>
      </c>
      <c r="P710" s="85">
        <f>51.3*0.055</f>
        <v>2.8214999999999999</v>
      </c>
      <c r="Q710" s="85">
        <f>21.1*0.055</f>
        <v>1.1605000000000001</v>
      </c>
      <c r="R710" s="85">
        <f>12.9*0.055</f>
        <v>0.70950000000000002</v>
      </c>
      <c r="S710" s="85">
        <f>23.8*0.055</f>
        <v>1.3089999999999999</v>
      </c>
      <c r="T710" s="85">
        <f>34.2*0.055</f>
        <v>1.8810000000000002</v>
      </c>
      <c r="U710" s="85">
        <f>18.05*0.055</f>
        <v>0.99275000000000002</v>
      </c>
      <c r="V710" s="85">
        <f>13.8*0.055</f>
        <v>0.75900000000000001</v>
      </c>
      <c r="W710" s="85">
        <f>14.9*0.055</f>
        <v>0.81950000000000001</v>
      </c>
      <c r="X710" s="85">
        <f>3.4558*0.055</f>
        <v>0.19006899999999999</v>
      </c>
      <c r="Y710" s="85">
        <f>0.5*0.055</f>
        <v>2.75E-2</v>
      </c>
      <c r="Z710" s="85">
        <f>5.576*0.055</f>
        <v>0.30668000000000001</v>
      </c>
      <c r="AA710" s="85">
        <f>9.6832*0.055</f>
        <v>0.53257599999999994</v>
      </c>
      <c r="AB710" s="85">
        <f>10.1048*0.055</f>
        <v>0.55576399999999992</v>
      </c>
      <c r="AC710" s="85">
        <f>9.8464*0.055</f>
        <v>0.54155199999999992</v>
      </c>
      <c r="AD710" s="85"/>
    </row>
    <row r="711" spans="1:30">
      <c r="A711" s="82" t="s">
        <v>417</v>
      </c>
      <c r="B711" s="87" t="s">
        <v>643</v>
      </c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>
        <v>0</v>
      </c>
      <c r="O711" s="85">
        <v>0</v>
      </c>
      <c r="P711" s="85">
        <v>0</v>
      </c>
      <c r="Q711" s="85">
        <v>0</v>
      </c>
      <c r="R711" s="85">
        <v>0</v>
      </c>
      <c r="S711" s="85">
        <v>0</v>
      </c>
      <c r="T711" s="85">
        <v>0</v>
      </c>
      <c r="U711" s="85">
        <v>0</v>
      </c>
      <c r="V711" s="85">
        <v>0</v>
      </c>
      <c r="W711" s="85">
        <v>0</v>
      </c>
      <c r="X711" s="85">
        <v>0</v>
      </c>
      <c r="Y711" s="85">
        <v>0</v>
      </c>
      <c r="Z711" s="85">
        <v>0</v>
      </c>
      <c r="AA711" s="85">
        <v>0</v>
      </c>
      <c r="AB711" s="85">
        <v>0</v>
      </c>
      <c r="AC711" s="85">
        <v>0</v>
      </c>
      <c r="AD711" s="85"/>
    </row>
    <row r="712" spans="1:30">
      <c r="A712" s="82" t="s">
        <v>773</v>
      </c>
      <c r="B712" s="83" t="s">
        <v>597</v>
      </c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>
        <v>0</v>
      </c>
      <c r="N712" s="85">
        <v>0</v>
      </c>
      <c r="O712" s="85">
        <v>0</v>
      </c>
      <c r="P712" s="85">
        <v>0</v>
      </c>
      <c r="Q712" s="85">
        <f>3*0.02</f>
        <v>0.06</v>
      </c>
      <c r="R712" s="85">
        <v>0</v>
      </c>
      <c r="S712" s="85">
        <f>10.01*0.02</f>
        <v>0.20019999999999999</v>
      </c>
      <c r="T712" s="85">
        <f>5.8*0.02</f>
        <v>0.11599999999999999</v>
      </c>
      <c r="U712" s="85">
        <v>0</v>
      </c>
      <c r="V712" s="85">
        <v>0</v>
      </c>
      <c r="W712" s="85">
        <f>5.8*0.02</f>
        <v>0.11599999999999999</v>
      </c>
      <c r="X712" s="85">
        <v>0</v>
      </c>
      <c r="Y712" s="85">
        <v>0</v>
      </c>
      <c r="Z712" s="85">
        <v>0</v>
      </c>
      <c r="AA712" s="85">
        <v>0</v>
      </c>
      <c r="AB712" s="85">
        <v>0</v>
      </c>
      <c r="AC712" s="85">
        <v>0</v>
      </c>
      <c r="AD712" s="85"/>
    </row>
    <row r="713" spans="1:30">
      <c r="A713" s="82" t="s">
        <v>773</v>
      </c>
      <c r="B713" s="83" t="s">
        <v>600</v>
      </c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>
        <v>0</v>
      </c>
      <c r="N713" s="85">
        <v>0</v>
      </c>
      <c r="O713" s="85">
        <v>0</v>
      </c>
      <c r="P713" s="85">
        <v>0</v>
      </c>
      <c r="Q713" s="85">
        <v>0</v>
      </c>
      <c r="R713" s="85">
        <v>0</v>
      </c>
      <c r="S713" s="85">
        <v>0</v>
      </c>
      <c r="T713" s="85">
        <v>0</v>
      </c>
      <c r="U713" s="85">
        <v>0</v>
      </c>
      <c r="V713" s="85">
        <v>0</v>
      </c>
      <c r="W713" s="85">
        <v>0</v>
      </c>
      <c r="X713" s="85">
        <v>0</v>
      </c>
      <c r="Y713" s="85">
        <v>0</v>
      </c>
      <c r="Z713" s="85">
        <v>0</v>
      </c>
      <c r="AA713" s="85">
        <v>0</v>
      </c>
      <c r="AB713" s="85">
        <v>0</v>
      </c>
      <c r="AC713" s="85">
        <v>0</v>
      </c>
      <c r="AD713" s="85"/>
    </row>
    <row r="714" spans="1:30">
      <c r="A714" s="82" t="s">
        <v>773</v>
      </c>
      <c r="B714" s="83" t="s">
        <v>595</v>
      </c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>
        <v>0</v>
      </c>
      <c r="N714" s="85">
        <v>0</v>
      </c>
      <c r="O714" s="85">
        <v>0</v>
      </c>
      <c r="P714" s="85">
        <v>0</v>
      </c>
      <c r="Q714" s="85">
        <f>1.47*0.11</f>
        <v>0.16170000000000001</v>
      </c>
      <c r="R714" s="85">
        <v>0</v>
      </c>
      <c r="S714" s="85">
        <f>3.8*0.11</f>
        <v>0.41799999999999998</v>
      </c>
      <c r="T714" s="85">
        <v>0</v>
      </c>
      <c r="U714" s="85">
        <v>0</v>
      </c>
      <c r="V714" s="85">
        <f>5.1*0.11</f>
        <v>0.56099999999999994</v>
      </c>
      <c r="W714" s="85">
        <f>2*0.11</f>
        <v>0.22</v>
      </c>
      <c r="X714" s="85">
        <v>0</v>
      </c>
      <c r="Y714" s="85">
        <f>5.7*0.11</f>
        <v>0.627</v>
      </c>
      <c r="Z714" s="85">
        <f>0.07*0.11</f>
        <v>7.7000000000000011E-3</v>
      </c>
      <c r="AA714" s="85">
        <v>0</v>
      </c>
      <c r="AB714" s="85">
        <v>0</v>
      </c>
      <c r="AC714" s="85">
        <v>0</v>
      </c>
      <c r="AD714" s="85"/>
    </row>
    <row r="715" spans="1:30">
      <c r="A715" s="82" t="s">
        <v>773</v>
      </c>
      <c r="B715" s="83" t="s">
        <v>700</v>
      </c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>
        <f>7.2*0.11</f>
        <v>0.79200000000000004</v>
      </c>
      <c r="Y715" s="85">
        <v>0</v>
      </c>
      <c r="Z715" s="85">
        <v>0</v>
      </c>
      <c r="AA715" s="85">
        <v>0</v>
      </c>
      <c r="AB715" s="85">
        <v>0</v>
      </c>
      <c r="AC715" s="85">
        <v>0</v>
      </c>
      <c r="AD715" s="85"/>
    </row>
    <row r="716" spans="1:30">
      <c r="A716" s="82" t="s">
        <v>773</v>
      </c>
      <c r="B716" s="83" t="s">
        <v>596</v>
      </c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>
        <v>0</v>
      </c>
      <c r="N716" s="85">
        <v>0</v>
      </c>
      <c r="O716" s="85">
        <v>0</v>
      </c>
      <c r="P716" s="85">
        <v>0</v>
      </c>
      <c r="Q716" s="85">
        <f>1.98*0.065</f>
        <v>0.12870000000000001</v>
      </c>
      <c r="R716" s="85">
        <v>0</v>
      </c>
      <c r="S716" s="85">
        <f>7.25*0.065</f>
        <v>0.47125</v>
      </c>
      <c r="T716" s="85">
        <f>2.2*0.065</f>
        <v>0.14300000000000002</v>
      </c>
      <c r="U716" s="85">
        <v>0</v>
      </c>
      <c r="V716" s="85">
        <f>1.58*0.065</f>
        <v>0.10270000000000001</v>
      </c>
      <c r="W716" s="85">
        <f>2.2*0.065</f>
        <v>0.14300000000000002</v>
      </c>
      <c r="X716" s="85">
        <f>2.5*0.065</f>
        <v>0.16250000000000001</v>
      </c>
      <c r="Y716" s="85">
        <f>2.1*0.065</f>
        <v>0.13650000000000001</v>
      </c>
      <c r="Z716" s="85">
        <f>0.1*0.065</f>
        <v>6.5000000000000006E-3</v>
      </c>
      <c r="AA716" s="85">
        <v>0</v>
      </c>
      <c r="AB716" s="85">
        <v>0</v>
      </c>
      <c r="AC716" s="85">
        <v>0</v>
      </c>
      <c r="AD716" s="85"/>
    </row>
    <row r="717" spans="1:30">
      <c r="A717" s="82" t="s">
        <v>773</v>
      </c>
      <c r="B717" s="83" t="s">
        <v>594</v>
      </c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>
        <f>18.06*0.055</f>
        <v>0.99329999999999996</v>
      </c>
      <c r="N717" s="85">
        <f>19*0.055</f>
        <v>1.0449999999999999</v>
      </c>
      <c r="O717" s="85">
        <f>25.2*0.055</f>
        <v>1.3859999999999999</v>
      </c>
      <c r="P717" s="85">
        <f>31.4*0.055</f>
        <v>1.7269999999999999</v>
      </c>
      <c r="Q717" s="85">
        <f>62.34*0.055</f>
        <v>3.4287000000000001</v>
      </c>
      <c r="R717" s="85">
        <f>74.29*0.055</f>
        <v>4.0859500000000004</v>
      </c>
      <c r="S717" s="85">
        <f>79.8*0.055</f>
        <v>4.3890000000000002</v>
      </c>
      <c r="T717" s="85">
        <f>57.8*0.055</f>
        <v>3.1789999999999998</v>
      </c>
      <c r="U717" s="85">
        <f>56*0.055</f>
        <v>3.08</v>
      </c>
      <c r="V717" s="85">
        <f>47.6*0.055</f>
        <v>2.6179999999999999</v>
      </c>
      <c r="W717" s="85">
        <f>57*0.055</f>
        <v>3.1350000000000002</v>
      </c>
      <c r="X717" s="85">
        <f>32.9*0.055</f>
        <v>1.8094999999999999</v>
      </c>
      <c r="Y717" s="85">
        <f>30.85*0.055</f>
        <v>1.69675</v>
      </c>
      <c r="Z717" s="85">
        <f>37.86*0.055</f>
        <v>2.0823</v>
      </c>
      <c r="AA717" s="85">
        <f>34.4*0.055</f>
        <v>1.8919999999999999</v>
      </c>
      <c r="AB717" s="85">
        <f>31.05*0.055</f>
        <v>1.7077500000000001</v>
      </c>
      <c r="AC717" s="85">
        <f>27.75*0.055</f>
        <v>1.5262500000000001</v>
      </c>
      <c r="AD717" s="85"/>
    </row>
    <row r="718" spans="1:30">
      <c r="A718" s="82" t="s">
        <v>773</v>
      </c>
      <c r="B718" s="87" t="s">
        <v>643</v>
      </c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>
        <v>0</v>
      </c>
      <c r="N718" s="85">
        <v>0</v>
      </c>
      <c r="O718" s="85">
        <v>0</v>
      </c>
      <c r="P718" s="85">
        <v>0</v>
      </c>
      <c r="Q718" s="85">
        <v>0</v>
      </c>
      <c r="R718" s="85">
        <v>0</v>
      </c>
      <c r="S718" s="85">
        <v>0</v>
      </c>
      <c r="T718" s="85">
        <v>0</v>
      </c>
      <c r="U718" s="85">
        <v>0</v>
      </c>
      <c r="V718" s="85">
        <v>0</v>
      </c>
      <c r="W718" s="85">
        <v>0</v>
      </c>
      <c r="X718" s="85">
        <v>0</v>
      </c>
      <c r="Y718" s="85">
        <v>0</v>
      </c>
      <c r="Z718" s="85">
        <v>0</v>
      </c>
      <c r="AA718" s="85">
        <v>0</v>
      </c>
      <c r="AB718" s="85">
        <v>0</v>
      </c>
      <c r="AC718" s="85">
        <v>0</v>
      </c>
      <c r="AD718" s="85"/>
    </row>
    <row r="719" spans="1:30">
      <c r="A719" s="82" t="s">
        <v>559</v>
      </c>
      <c r="B719" s="83" t="s">
        <v>597</v>
      </c>
      <c r="C719" s="85">
        <v>0</v>
      </c>
      <c r="D719" s="85">
        <v>0</v>
      </c>
      <c r="E719" s="85">
        <v>0</v>
      </c>
      <c r="F719" s="85">
        <v>0</v>
      </c>
      <c r="G719" s="85">
        <v>0</v>
      </c>
      <c r="H719" s="85">
        <v>0</v>
      </c>
      <c r="I719" s="85">
        <v>0</v>
      </c>
      <c r="J719" s="85">
        <v>0</v>
      </c>
      <c r="K719" s="85">
        <v>0</v>
      </c>
      <c r="L719" s="85">
        <v>0</v>
      </c>
      <c r="M719" s="85">
        <v>0</v>
      </c>
      <c r="N719" s="85">
        <v>0</v>
      </c>
      <c r="O719" s="85">
        <v>0</v>
      </c>
      <c r="P719" s="85">
        <v>0</v>
      </c>
      <c r="Q719" s="85">
        <v>0</v>
      </c>
      <c r="R719" s="85">
        <v>0</v>
      </c>
      <c r="S719" s="85">
        <v>0</v>
      </c>
      <c r="T719" s="85">
        <v>0</v>
      </c>
      <c r="U719" s="85">
        <v>0</v>
      </c>
      <c r="V719" s="85">
        <v>0</v>
      </c>
      <c r="W719" s="85">
        <v>0</v>
      </c>
      <c r="X719" s="85">
        <v>0</v>
      </c>
      <c r="Y719" s="85">
        <v>0</v>
      </c>
      <c r="Z719" s="85">
        <v>0</v>
      </c>
      <c r="AA719" s="85">
        <v>0</v>
      </c>
      <c r="AB719" s="85">
        <v>0</v>
      </c>
      <c r="AC719" s="85">
        <v>0</v>
      </c>
      <c r="AD719" s="85"/>
    </row>
    <row r="720" spans="1:30">
      <c r="A720" s="82" t="s">
        <v>559</v>
      </c>
      <c r="B720" s="83" t="s">
        <v>600</v>
      </c>
      <c r="C720" s="85">
        <v>0</v>
      </c>
      <c r="D720" s="85">
        <v>0</v>
      </c>
      <c r="E720" s="85">
        <v>0</v>
      </c>
      <c r="F720" s="85">
        <v>0</v>
      </c>
      <c r="G720" s="85">
        <v>0</v>
      </c>
      <c r="H720" s="85">
        <v>0</v>
      </c>
      <c r="I720" s="85">
        <v>0</v>
      </c>
      <c r="J720" s="85">
        <v>0</v>
      </c>
      <c r="K720" s="85">
        <v>0</v>
      </c>
      <c r="L720" s="85">
        <v>0</v>
      </c>
      <c r="M720" s="85">
        <v>0</v>
      </c>
      <c r="N720" s="85">
        <v>0</v>
      </c>
      <c r="O720" s="85">
        <v>0</v>
      </c>
      <c r="P720" s="85">
        <v>0</v>
      </c>
      <c r="Q720" s="85">
        <v>0</v>
      </c>
      <c r="R720" s="85">
        <v>0</v>
      </c>
      <c r="S720" s="85">
        <v>0</v>
      </c>
      <c r="T720" s="85">
        <v>0</v>
      </c>
      <c r="U720" s="85">
        <v>0</v>
      </c>
      <c r="V720" s="85">
        <v>0</v>
      </c>
      <c r="W720" s="85">
        <v>0</v>
      </c>
      <c r="X720" s="85">
        <v>0</v>
      </c>
      <c r="Y720" s="85">
        <v>0</v>
      </c>
      <c r="Z720" s="85">
        <v>0</v>
      </c>
      <c r="AA720" s="85">
        <v>0</v>
      </c>
      <c r="AB720" s="85">
        <v>0</v>
      </c>
      <c r="AC720" s="85">
        <v>0</v>
      </c>
      <c r="AD720" s="85"/>
    </row>
    <row r="721" spans="1:30">
      <c r="A721" s="82" t="s">
        <v>559</v>
      </c>
      <c r="B721" s="83" t="s">
        <v>595</v>
      </c>
      <c r="C721" s="85">
        <v>0</v>
      </c>
      <c r="D721" s="85">
        <v>0</v>
      </c>
      <c r="E721" s="85">
        <v>0</v>
      </c>
      <c r="F721" s="85">
        <v>0</v>
      </c>
      <c r="G721" s="85">
        <v>0</v>
      </c>
      <c r="H721" s="85">
        <v>0</v>
      </c>
      <c r="I721" s="85">
        <v>0</v>
      </c>
      <c r="J721" s="85">
        <v>0</v>
      </c>
      <c r="K721" s="85">
        <v>0</v>
      </c>
      <c r="L721" s="85">
        <v>0</v>
      </c>
      <c r="M721" s="85">
        <v>0</v>
      </c>
      <c r="N721" s="85">
        <v>0</v>
      </c>
      <c r="O721" s="85">
        <v>0</v>
      </c>
      <c r="P721" s="85">
        <v>0</v>
      </c>
      <c r="Q721" s="85">
        <v>0</v>
      </c>
      <c r="R721" s="85">
        <v>0</v>
      </c>
      <c r="S721" s="85">
        <v>0</v>
      </c>
      <c r="T721" s="85">
        <v>0</v>
      </c>
      <c r="U721" s="85">
        <v>0</v>
      </c>
      <c r="V721" s="85">
        <v>0</v>
      </c>
      <c r="W721" s="85">
        <v>0</v>
      </c>
      <c r="X721" s="85">
        <v>0</v>
      </c>
      <c r="Y721" s="85">
        <v>0</v>
      </c>
      <c r="Z721" s="85">
        <v>0</v>
      </c>
      <c r="AA721" s="85">
        <v>0</v>
      </c>
      <c r="AB721" s="85">
        <v>0</v>
      </c>
      <c r="AC721" s="85">
        <v>0</v>
      </c>
      <c r="AD721" s="85"/>
    </row>
    <row r="722" spans="1:30">
      <c r="A722" s="82" t="s">
        <v>559</v>
      </c>
      <c r="B722" s="83" t="s">
        <v>596</v>
      </c>
      <c r="C722" s="85">
        <v>0</v>
      </c>
      <c r="D722" s="85">
        <v>0</v>
      </c>
      <c r="E722" s="85">
        <v>0</v>
      </c>
      <c r="F722" s="85">
        <v>0</v>
      </c>
      <c r="G722" s="85">
        <v>0</v>
      </c>
      <c r="H722" s="85">
        <v>0</v>
      </c>
      <c r="I722" s="85">
        <v>0</v>
      </c>
      <c r="J722" s="85">
        <v>0</v>
      </c>
      <c r="K722" s="85">
        <v>0</v>
      </c>
      <c r="L722" s="85">
        <v>0</v>
      </c>
      <c r="M722" s="85">
        <v>0</v>
      </c>
      <c r="N722" s="85">
        <v>0</v>
      </c>
      <c r="O722" s="85">
        <v>0</v>
      </c>
      <c r="P722" s="85">
        <v>0</v>
      </c>
      <c r="Q722" s="85">
        <v>0</v>
      </c>
      <c r="R722" s="85">
        <v>0</v>
      </c>
      <c r="S722" s="85">
        <v>0</v>
      </c>
      <c r="T722" s="85">
        <v>0</v>
      </c>
      <c r="U722" s="85">
        <v>0</v>
      </c>
      <c r="V722" s="85">
        <v>0</v>
      </c>
      <c r="W722" s="85">
        <v>0</v>
      </c>
      <c r="X722" s="85">
        <v>0</v>
      </c>
      <c r="Y722" s="85">
        <v>0</v>
      </c>
      <c r="Z722" s="85">
        <v>0</v>
      </c>
      <c r="AA722" s="85">
        <v>0</v>
      </c>
      <c r="AB722" s="85">
        <v>0</v>
      </c>
      <c r="AC722" s="85">
        <v>0</v>
      </c>
      <c r="AD722" s="85"/>
    </row>
    <row r="723" spans="1:30">
      <c r="A723" s="82" t="s">
        <v>559</v>
      </c>
      <c r="B723" s="83" t="s">
        <v>594</v>
      </c>
      <c r="C723" s="85">
        <f>2.88*0.055</f>
        <v>0.15839999999999999</v>
      </c>
      <c r="D723" s="85">
        <f>2.88*0.055</f>
        <v>0.15839999999999999</v>
      </c>
      <c r="E723" s="85">
        <f>2.69*0.055</f>
        <v>0.14795</v>
      </c>
      <c r="F723" s="85">
        <f>2.47*0.055</f>
        <v>0.13585</v>
      </c>
      <c r="G723" s="85">
        <f>2.72*0.055</f>
        <v>0.14960000000000001</v>
      </c>
      <c r="H723" s="85">
        <f>9.1*0.055</f>
        <v>0.50049999999999994</v>
      </c>
      <c r="I723" s="85">
        <f>11*0.055</f>
        <v>0.60499999999999998</v>
      </c>
      <c r="J723" s="85">
        <f>12.5*0.055</f>
        <v>0.6875</v>
      </c>
      <c r="K723" s="85">
        <f>7.65*0.055</f>
        <v>0.42075000000000001</v>
      </c>
      <c r="L723" s="85">
        <f>8.93*0.055</f>
        <v>0.49114999999999998</v>
      </c>
      <c r="M723" s="85">
        <f>3.33*0.055</f>
        <v>0.18315000000000001</v>
      </c>
      <c r="N723" s="85">
        <v>0.51864999999999994</v>
      </c>
      <c r="O723" s="85">
        <f>9.72*0.055</f>
        <v>0.53460000000000008</v>
      </c>
      <c r="P723" s="85">
        <f>7.43*0.055</f>
        <v>0.40865000000000001</v>
      </c>
      <c r="Q723" s="85">
        <f>7.64*0.055</f>
        <v>0.42019999999999996</v>
      </c>
      <c r="R723" s="85">
        <f>10.2*0.055</f>
        <v>0.56099999999999994</v>
      </c>
      <c r="S723" s="85">
        <f>8.83*0.055</f>
        <v>0.48565000000000003</v>
      </c>
      <c r="T723" s="85">
        <f>6.83*0.055</f>
        <v>0.37564999999999998</v>
      </c>
      <c r="U723" s="85">
        <f>5.81*0.055</f>
        <v>0.31955</v>
      </c>
      <c r="V723" s="85">
        <f>8.47*0.055</f>
        <v>0.46585000000000004</v>
      </c>
      <c r="W723" s="85">
        <f>6.62*0.055</f>
        <v>0.36410000000000003</v>
      </c>
      <c r="X723" s="85">
        <f>4.74*0.055</f>
        <v>0.26069999999999999</v>
      </c>
      <c r="Y723" s="85">
        <f>3.78*0.055</f>
        <v>0.2079</v>
      </c>
      <c r="Z723" s="85">
        <f>2.04*0.055</f>
        <v>0.11220000000000001</v>
      </c>
      <c r="AA723" s="85">
        <f>0.72*0.055</f>
        <v>3.9599999999999996E-2</v>
      </c>
      <c r="AB723" s="85">
        <f>0.61*0.055</f>
        <v>3.3549999999999996E-2</v>
      </c>
      <c r="AC723" s="85">
        <f>0.68*0.055</f>
        <v>3.7400000000000003E-2</v>
      </c>
      <c r="AD723" s="85"/>
    </row>
    <row r="724" spans="1:30">
      <c r="A724" s="82" t="s">
        <v>559</v>
      </c>
      <c r="B724" s="87" t="s">
        <v>643</v>
      </c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>
        <v>0</v>
      </c>
      <c r="O724" s="85">
        <v>0</v>
      </c>
      <c r="P724" s="85">
        <v>0</v>
      </c>
      <c r="Q724" s="85">
        <v>0</v>
      </c>
      <c r="R724" s="85">
        <v>0</v>
      </c>
      <c r="S724" s="85">
        <v>0</v>
      </c>
      <c r="T724" s="85">
        <v>0</v>
      </c>
      <c r="U724" s="85">
        <v>0</v>
      </c>
      <c r="V724" s="85">
        <v>0</v>
      </c>
      <c r="W724" s="85">
        <v>0</v>
      </c>
      <c r="X724" s="85">
        <v>0</v>
      </c>
      <c r="Y724" s="85">
        <v>0</v>
      </c>
      <c r="Z724" s="85">
        <v>0</v>
      </c>
      <c r="AA724" s="85">
        <v>0</v>
      </c>
      <c r="AB724" s="85">
        <v>0</v>
      </c>
      <c r="AC724" s="85">
        <v>0</v>
      </c>
      <c r="AD724" s="85"/>
    </row>
    <row r="725" spans="1:30">
      <c r="A725" s="82" t="s">
        <v>560</v>
      </c>
      <c r="B725" s="83" t="s">
        <v>597</v>
      </c>
      <c r="C725" s="85">
        <v>0</v>
      </c>
      <c r="D725" s="85">
        <v>0</v>
      </c>
      <c r="E725" s="85">
        <v>0</v>
      </c>
      <c r="F725" s="85">
        <v>0</v>
      </c>
      <c r="G725" s="85">
        <v>0</v>
      </c>
      <c r="H725" s="85">
        <v>0</v>
      </c>
      <c r="I725" s="85">
        <v>0</v>
      </c>
      <c r="J725" s="85">
        <v>0</v>
      </c>
      <c r="K725" s="85">
        <v>0</v>
      </c>
      <c r="L725" s="85">
        <v>0</v>
      </c>
      <c r="M725" s="85">
        <v>0</v>
      </c>
      <c r="N725" s="85">
        <v>0</v>
      </c>
      <c r="O725" s="85">
        <v>0</v>
      </c>
      <c r="P725" s="85">
        <v>0</v>
      </c>
      <c r="Q725" s="85">
        <v>0</v>
      </c>
      <c r="R725" s="85">
        <v>0</v>
      </c>
      <c r="S725" s="85">
        <v>0</v>
      </c>
      <c r="T725" s="85">
        <v>0</v>
      </c>
      <c r="U725" s="85">
        <f>0.27*0.02</f>
        <v>5.4000000000000003E-3</v>
      </c>
      <c r="V725" s="85">
        <v>0</v>
      </c>
      <c r="W725" s="85">
        <v>0</v>
      </c>
      <c r="X725" s="85">
        <v>0</v>
      </c>
      <c r="Y725" s="85">
        <v>0</v>
      </c>
      <c r="Z725" s="85">
        <v>0</v>
      </c>
      <c r="AA725" s="85">
        <v>0</v>
      </c>
      <c r="AB725" s="85">
        <v>0</v>
      </c>
      <c r="AC725" s="85">
        <v>0</v>
      </c>
      <c r="AD725" s="85"/>
    </row>
    <row r="726" spans="1:30">
      <c r="A726" s="82" t="s">
        <v>560</v>
      </c>
      <c r="B726" s="83" t="s">
        <v>600</v>
      </c>
      <c r="C726" s="85">
        <v>0</v>
      </c>
      <c r="D726" s="85">
        <v>0</v>
      </c>
      <c r="E726" s="85">
        <v>0</v>
      </c>
      <c r="F726" s="85">
        <v>0</v>
      </c>
      <c r="G726" s="85">
        <v>0</v>
      </c>
      <c r="H726" s="85">
        <v>0</v>
      </c>
      <c r="I726" s="85">
        <v>0</v>
      </c>
      <c r="J726" s="85">
        <v>0</v>
      </c>
      <c r="K726" s="85">
        <v>0</v>
      </c>
      <c r="L726" s="85">
        <v>0</v>
      </c>
      <c r="M726" s="85">
        <v>0</v>
      </c>
      <c r="N726" s="85">
        <v>0</v>
      </c>
      <c r="O726" s="85">
        <v>0</v>
      </c>
      <c r="P726" s="85">
        <v>0</v>
      </c>
      <c r="Q726" s="85">
        <v>0</v>
      </c>
      <c r="R726" s="85">
        <v>0</v>
      </c>
      <c r="S726" s="85">
        <v>0</v>
      </c>
      <c r="T726" s="85">
        <f>0.01*0.022</f>
        <v>2.1999999999999998E-4</v>
      </c>
      <c r="U726" s="85">
        <v>0</v>
      </c>
      <c r="V726" s="85">
        <v>0</v>
      </c>
      <c r="W726" s="85">
        <v>0</v>
      </c>
      <c r="X726" s="85">
        <v>0</v>
      </c>
      <c r="Y726" s="85">
        <v>0</v>
      </c>
      <c r="Z726" s="85">
        <v>0</v>
      </c>
      <c r="AA726" s="85">
        <v>0</v>
      </c>
      <c r="AB726" s="85">
        <v>0</v>
      </c>
      <c r="AC726" s="85">
        <v>0</v>
      </c>
      <c r="AD726" s="85"/>
    </row>
    <row r="727" spans="1:30">
      <c r="A727" s="82" t="s">
        <v>560</v>
      </c>
      <c r="B727" s="83" t="s">
        <v>595</v>
      </c>
      <c r="C727" s="85">
        <v>0</v>
      </c>
      <c r="D727" s="85">
        <v>0</v>
      </c>
      <c r="E727" s="85">
        <v>0</v>
      </c>
      <c r="F727" s="85">
        <v>0</v>
      </c>
      <c r="G727" s="85">
        <v>0</v>
      </c>
      <c r="H727" s="85">
        <v>0</v>
      </c>
      <c r="I727" s="85">
        <v>0</v>
      </c>
      <c r="J727" s="85">
        <v>0</v>
      </c>
      <c r="K727" s="85">
        <v>0</v>
      </c>
      <c r="L727" s="85">
        <v>0</v>
      </c>
      <c r="M727" s="85">
        <v>0</v>
      </c>
      <c r="N727" s="85">
        <v>0</v>
      </c>
      <c r="O727" s="85">
        <v>0</v>
      </c>
      <c r="P727" s="85">
        <v>0</v>
      </c>
      <c r="Q727" s="85">
        <v>0</v>
      </c>
      <c r="R727" s="85">
        <v>0</v>
      </c>
      <c r="S727" s="85">
        <v>0</v>
      </c>
      <c r="T727" s="85">
        <v>0</v>
      </c>
      <c r="U727" s="85">
        <v>0</v>
      </c>
      <c r="V727" s="85">
        <v>0</v>
      </c>
      <c r="W727" s="85">
        <v>0</v>
      </c>
      <c r="X727" s="85">
        <v>0</v>
      </c>
      <c r="Y727" s="85">
        <v>0</v>
      </c>
      <c r="Z727" s="85">
        <v>0</v>
      </c>
      <c r="AA727" s="85">
        <v>0</v>
      </c>
      <c r="AB727" s="85">
        <v>0</v>
      </c>
      <c r="AC727" s="85">
        <v>0</v>
      </c>
      <c r="AD727" s="85"/>
    </row>
    <row r="728" spans="1:30">
      <c r="A728" s="82" t="s">
        <v>560</v>
      </c>
      <c r="B728" s="83" t="s">
        <v>596</v>
      </c>
      <c r="C728" s="85">
        <v>0</v>
      </c>
      <c r="D728" s="85">
        <v>0</v>
      </c>
      <c r="E728" s="85">
        <v>0</v>
      </c>
      <c r="F728" s="85">
        <v>0</v>
      </c>
      <c r="G728" s="85">
        <v>0</v>
      </c>
      <c r="H728" s="85">
        <v>0</v>
      </c>
      <c r="I728" s="85">
        <v>0</v>
      </c>
      <c r="J728" s="85">
        <v>0</v>
      </c>
      <c r="K728" s="85">
        <v>0</v>
      </c>
      <c r="L728" s="85">
        <v>0</v>
      </c>
      <c r="M728" s="85">
        <v>0</v>
      </c>
      <c r="N728" s="85">
        <v>0</v>
      </c>
      <c r="O728" s="85">
        <v>0</v>
      </c>
      <c r="P728" s="85">
        <v>0</v>
      </c>
      <c r="Q728" s="85">
        <v>0</v>
      </c>
      <c r="R728" s="85">
        <v>0</v>
      </c>
      <c r="S728" s="85">
        <v>0</v>
      </c>
      <c r="T728" s="85">
        <f>0.01*0.065</f>
        <v>6.5000000000000008E-4</v>
      </c>
      <c r="U728" s="85">
        <v>0</v>
      </c>
      <c r="V728" s="85">
        <v>0</v>
      </c>
      <c r="W728" s="85">
        <v>0</v>
      </c>
      <c r="X728" s="85">
        <v>0</v>
      </c>
      <c r="Y728" s="85">
        <v>0</v>
      </c>
      <c r="Z728" s="85">
        <v>0</v>
      </c>
      <c r="AA728" s="85">
        <v>0</v>
      </c>
      <c r="AB728" s="85">
        <v>0</v>
      </c>
      <c r="AC728" s="85">
        <v>0</v>
      </c>
      <c r="AD728" s="85"/>
    </row>
    <row r="729" spans="1:30">
      <c r="A729" s="82" t="s">
        <v>560</v>
      </c>
      <c r="B729" s="83" t="s">
        <v>594</v>
      </c>
      <c r="C729" s="85">
        <f>4.85*0.055</f>
        <v>0.26674999999999999</v>
      </c>
      <c r="D729" s="85">
        <f>5.94*0.055</f>
        <v>0.32670000000000005</v>
      </c>
      <c r="E729" s="85">
        <f>5.69*0.055</f>
        <v>0.31295000000000001</v>
      </c>
      <c r="F729" s="85">
        <f>8.82*0.055</f>
        <v>0.48510000000000003</v>
      </c>
      <c r="G729" s="85">
        <f>10.12*0.055</f>
        <v>0.55659999999999998</v>
      </c>
      <c r="H729" s="85">
        <f>14.39*0.055</f>
        <v>0.79144999999999999</v>
      </c>
      <c r="I729" s="85">
        <f>5.07*0.055</f>
        <v>0.27885000000000004</v>
      </c>
      <c r="J729" s="85">
        <f>1.92*0.055</f>
        <v>0.1056</v>
      </c>
      <c r="K729" s="85">
        <f>0.69*0.055</f>
        <v>3.7949999999999998E-2</v>
      </c>
      <c r="L729" s="85">
        <f>1.87*0.055</f>
        <v>0.10285000000000001</v>
      </c>
      <c r="M729" s="85">
        <v>0</v>
      </c>
      <c r="N729" s="85">
        <v>7.3700000000000002E-2</v>
      </c>
      <c r="O729" s="85">
        <v>0</v>
      </c>
      <c r="P729" s="85">
        <f>2.04*0.055</f>
        <v>0.11220000000000001</v>
      </c>
      <c r="Q729" s="85">
        <f>7.55*0.055</f>
        <v>0.41525000000000001</v>
      </c>
      <c r="R729" s="85">
        <f>368.9*0.055</f>
        <v>20.2895</v>
      </c>
      <c r="S729" s="85">
        <f>19.45157*0.055</f>
        <v>1.0698363500000001</v>
      </c>
      <c r="T729" s="85">
        <f>13.59*0.055</f>
        <v>0.74744999999999995</v>
      </c>
      <c r="U729" s="85">
        <f>10.24*0.055</f>
        <v>0.56320000000000003</v>
      </c>
      <c r="V729" s="85">
        <f>15.13*0.055</f>
        <v>0.83215000000000006</v>
      </c>
      <c r="W729" s="85">
        <f>8.54*0.055</f>
        <v>0.46969999999999995</v>
      </c>
      <c r="X729" s="85">
        <f>11.89*0.055</f>
        <v>0.65395000000000003</v>
      </c>
      <c r="Y729" s="85">
        <f>11.62*0.055</f>
        <v>0.6391</v>
      </c>
      <c r="Z729" s="85">
        <f>11.05*0.055</f>
        <v>0.60775000000000001</v>
      </c>
      <c r="AA729" s="85">
        <f>5.62*0.055</f>
        <v>0.30909999999999999</v>
      </c>
      <c r="AB729" s="85">
        <f>0.48*0.055</f>
        <v>2.64E-2</v>
      </c>
      <c r="AC729" s="85">
        <f>4.28*0.055</f>
        <v>0.23540000000000003</v>
      </c>
      <c r="AD729" s="85"/>
    </row>
    <row r="730" spans="1:30">
      <c r="A730" s="82" t="s">
        <v>560</v>
      </c>
      <c r="B730" s="87" t="s">
        <v>643</v>
      </c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>
        <v>0</v>
      </c>
      <c r="O730" s="85">
        <v>0</v>
      </c>
      <c r="P730" s="85">
        <v>0</v>
      </c>
      <c r="Q730" s="85">
        <v>0</v>
      </c>
      <c r="R730" s="85">
        <v>0</v>
      </c>
      <c r="S730" s="85">
        <v>0</v>
      </c>
      <c r="T730" s="85">
        <v>0</v>
      </c>
      <c r="U730" s="85">
        <v>0</v>
      </c>
      <c r="V730" s="85">
        <v>0</v>
      </c>
      <c r="W730" s="85">
        <v>0</v>
      </c>
      <c r="X730" s="85">
        <v>0</v>
      </c>
      <c r="Y730" s="85">
        <v>0</v>
      </c>
      <c r="Z730" s="85">
        <v>0</v>
      </c>
      <c r="AA730" s="85">
        <v>0</v>
      </c>
      <c r="AB730" s="85">
        <v>0</v>
      </c>
      <c r="AC730" s="85">
        <v>0</v>
      </c>
      <c r="AD730" s="85"/>
    </row>
    <row r="731" spans="1:30">
      <c r="A731" s="82" t="s">
        <v>561</v>
      </c>
      <c r="B731" s="83" t="s">
        <v>597</v>
      </c>
      <c r="C731" s="85">
        <v>0</v>
      </c>
      <c r="D731" s="85">
        <v>0</v>
      </c>
      <c r="E731" s="85">
        <v>0</v>
      </c>
      <c r="F731" s="85">
        <v>0</v>
      </c>
      <c r="G731" s="85">
        <v>0</v>
      </c>
      <c r="H731" s="85">
        <v>0</v>
      </c>
      <c r="I731" s="85">
        <v>0</v>
      </c>
      <c r="J731" s="85">
        <v>0</v>
      </c>
      <c r="K731" s="85">
        <v>0</v>
      </c>
      <c r="L731" s="85">
        <v>0</v>
      </c>
      <c r="M731" s="85">
        <v>0</v>
      </c>
      <c r="N731" s="85">
        <v>0</v>
      </c>
      <c r="O731" s="85">
        <v>0</v>
      </c>
      <c r="P731" s="85">
        <v>0</v>
      </c>
      <c r="Q731" s="85">
        <v>0</v>
      </c>
      <c r="R731" s="85">
        <v>0</v>
      </c>
      <c r="S731" s="85">
        <v>0</v>
      </c>
      <c r="T731" s="85">
        <v>0</v>
      </c>
      <c r="U731" s="85">
        <v>0</v>
      </c>
      <c r="V731" s="85">
        <v>0</v>
      </c>
      <c r="W731" s="85">
        <v>0</v>
      </c>
      <c r="X731" s="85">
        <v>0</v>
      </c>
      <c r="Y731" s="85">
        <v>0</v>
      </c>
      <c r="Z731" s="85">
        <v>0</v>
      </c>
      <c r="AA731" s="85">
        <v>0</v>
      </c>
      <c r="AB731" s="85">
        <v>0</v>
      </c>
      <c r="AC731" s="85">
        <v>0</v>
      </c>
      <c r="AD731" s="85"/>
    </row>
    <row r="732" spans="1:30">
      <c r="A732" s="82" t="s">
        <v>561</v>
      </c>
      <c r="B732" s="83" t="s">
        <v>600</v>
      </c>
      <c r="C732" s="85">
        <v>0</v>
      </c>
      <c r="D732" s="85">
        <v>0</v>
      </c>
      <c r="E732" s="85">
        <v>0</v>
      </c>
      <c r="F732" s="85">
        <v>0</v>
      </c>
      <c r="G732" s="85">
        <v>0</v>
      </c>
      <c r="H732" s="85">
        <v>0</v>
      </c>
      <c r="I732" s="85">
        <v>0</v>
      </c>
      <c r="J732" s="85">
        <v>0</v>
      </c>
      <c r="K732" s="85">
        <v>0</v>
      </c>
      <c r="L732" s="85">
        <v>0</v>
      </c>
      <c r="M732" s="85">
        <v>0</v>
      </c>
      <c r="N732" s="85">
        <v>0</v>
      </c>
      <c r="O732" s="85">
        <v>0</v>
      </c>
      <c r="P732" s="85">
        <v>0</v>
      </c>
      <c r="Q732" s="85">
        <v>0</v>
      </c>
      <c r="R732" s="85">
        <v>0</v>
      </c>
      <c r="S732" s="85">
        <v>0</v>
      </c>
      <c r="T732" s="85">
        <v>0</v>
      </c>
      <c r="U732" s="85">
        <v>0</v>
      </c>
      <c r="V732" s="85">
        <v>0</v>
      </c>
      <c r="W732" s="85">
        <v>0</v>
      </c>
      <c r="X732" s="85">
        <v>0</v>
      </c>
      <c r="Y732" s="85">
        <v>0</v>
      </c>
      <c r="Z732" s="85">
        <v>0</v>
      </c>
      <c r="AA732" s="85">
        <v>0</v>
      </c>
      <c r="AB732" s="85">
        <v>0</v>
      </c>
      <c r="AC732" s="85">
        <v>0</v>
      </c>
      <c r="AD732" s="85"/>
    </row>
    <row r="733" spans="1:30">
      <c r="A733" s="82" t="s">
        <v>561</v>
      </c>
      <c r="B733" s="83" t="s">
        <v>595</v>
      </c>
      <c r="C733" s="85">
        <v>0</v>
      </c>
      <c r="D733" s="85">
        <v>0</v>
      </c>
      <c r="E733" s="85">
        <v>0</v>
      </c>
      <c r="F733" s="85">
        <v>0</v>
      </c>
      <c r="G733" s="85">
        <v>0</v>
      </c>
      <c r="H733" s="85">
        <v>0</v>
      </c>
      <c r="I733" s="85">
        <v>0</v>
      </c>
      <c r="J733" s="85">
        <v>0</v>
      </c>
      <c r="K733" s="85">
        <v>0</v>
      </c>
      <c r="L733" s="85">
        <v>0</v>
      </c>
      <c r="M733" s="85">
        <v>0</v>
      </c>
      <c r="N733" s="85">
        <v>0</v>
      </c>
      <c r="O733" s="85">
        <v>0</v>
      </c>
      <c r="P733" s="85">
        <v>0</v>
      </c>
      <c r="Q733" s="85">
        <v>0</v>
      </c>
      <c r="R733" s="85">
        <v>0</v>
      </c>
      <c r="S733" s="85">
        <v>0</v>
      </c>
      <c r="T733" s="85">
        <v>0</v>
      </c>
      <c r="U733" s="85">
        <v>0</v>
      </c>
      <c r="V733" s="85">
        <v>0</v>
      </c>
      <c r="W733" s="85">
        <v>0</v>
      </c>
      <c r="X733" s="85">
        <v>0</v>
      </c>
      <c r="Y733" s="85">
        <v>0</v>
      </c>
      <c r="Z733" s="85">
        <v>0</v>
      </c>
      <c r="AA733" s="85">
        <v>0</v>
      </c>
      <c r="AB733" s="85">
        <v>0</v>
      </c>
      <c r="AC733" s="85">
        <v>0</v>
      </c>
      <c r="AD733" s="85"/>
    </row>
    <row r="734" spans="1:30">
      <c r="A734" s="82" t="s">
        <v>561</v>
      </c>
      <c r="B734" s="83" t="s">
        <v>596</v>
      </c>
      <c r="C734" s="85">
        <v>0</v>
      </c>
      <c r="D734" s="85">
        <v>0</v>
      </c>
      <c r="E734" s="85">
        <v>0</v>
      </c>
      <c r="F734" s="85">
        <v>0</v>
      </c>
      <c r="G734" s="85">
        <v>0</v>
      </c>
      <c r="H734" s="85">
        <v>0</v>
      </c>
      <c r="I734" s="85">
        <v>0</v>
      </c>
      <c r="J734" s="85">
        <v>0</v>
      </c>
      <c r="K734" s="85">
        <v>0</v>
      </c>
      <c r="L734" s="85">
        <v>0</v>
      </c>
      <c r="M734" s="85">
        <v>0</v>
      </c>
      <c r="N734" s="85">
        <v>0</v>
      </c>
      <c r="O734" s="85">
        <v>0</v>
      </c>
      <c r="P734" s="85">
        <v>0</v>
      </c>
      <c r="Q734" s="85">
        <v>0</v>
      </c>
      <c r="R734" s="85">
        <v>0</v>
      </c>
      <c r="S734" s="85">
        <v>0</v>
      </c>
      <c r="T734" s="85">
        <v>0</v>
      </c>
      <c r="U734" s="85">
        <v>0</v>
      </c>
      <c r="V734" s="85">
        <v>0</v>
      </c>
      <c r="W734" s="85">
        <v>0</v>
      </c>
      <c r="X734" s="85">
        <v>0</v>
      </c>
      <c r="Y734" s="85">
        <v>0</v>
      </c>
      <c r="Z734" s="85">
        <v>0</v>
      </c>
      <c r="AA734" s="85">
        <v>0</v>
      </c>
      <c r="AB734" s="85">
        <v>0</v>
      </c>
      <c r="AC734" s="85">
        <v>0</v>
      </c>
      <c r="AD734" s="85"/>
    </row>
    <row r="735" spans="1:30">
      <c r="A735" s="82" t="s">
        <v>561</v>
      </c>
      <c r="B735" s="83" t="s">
        <v>594</v>
      </c>
      <c r="C735" s="85">
        <f>3.45*0.055</f>
        <v>0.18975</v>
      </c>
      <c r="D735" s="85">
        <f>0.5*0.055</f>
        <v>2.75E-2</v>
      </c>
      <c r="E735" s="85">
        <f>2.5*0.055</f>
        <v>0.13750000000000001</v>
      </c>
      <c r="F735" s="85">
        <f>3.45*0.055</f>
        <v>0.18975</v>
      </c>
      <c r="G735" s="85">
        <f>9.1*0.055</f>
        <v>0.50049999999999994</v>
      </c>
      <c r="H735" s="85">
        <f>0.38*0.055</f>
        <v>2.0900000000000002E-2</v>
      </c>
      <c r="I735" s="85">
        <f>0.31*0.055</f>
        <v>1.7049999999999999E-2</v>
      </c>
      <c r="J735" s="85">
        <f>7.45*0.055</f>
        <v>0.40975</v>
      </c>
      <c r="K735" s="85">
        <f>5.1*0.055</f>
        <v>0.28049999999999997</v>
      </c>
      <c r="L735" s="85">
        <f>14.75*0.055</f>
        <v>0.81125000000000003</v>
      </c>
      <c r="M735" s="85">
        <f>9.49*0.055</f>
        <v>0.52195000000000003</v>
      </c>
      <c r="N735" s="85">
        <v>0.1144</v>
      </c>
      <c r="O735" s="85">
        <f>0.55*0.055</f>
        <v>3.0250000000000003E-2</v>
      </c>
      <c r="P735" s="85">
        <f>1.91*0.055</f>
        <v>0.10504999999999999</v>
      </c>
      <c r="Q735" s="85">
        <f>7.45*0.055</f>
        <v>0.40975</v>
      </c>
      <c r="R735" s="85">
        <f>2.81*0.055</f>
        <v>0.15454999999999999</v>
      </c>
      <c r="S735" s="85">
        <f>5.389*0.055</f>
        <v>0.29639500000000002</v>
      </c>
      <c r="T735" s="85">
        <f>5*0.055</f>
        <v>0.27500000000000002</v>
      </c>
      <c r="U735" s="85">
        <f>3.3*0.055</f>
        <v>0.18149999999999999</v>
      </c>
      <c r="V735" s="85">
        <f>1.65*0.055</f>
        <v>9.0749999999999997E-2</v>
      </c>
      <c r="W735" s="85">
        <f>0.48*0.055</f>
        <v>2.64E-2</v>
      </c>
      <c r="X735" s="85">
        <f>0.56*0.055</f>
        <v>3.0800000000000004E-2</v>
      </c>
      <c r="Y735" s="85">
        <f>0.59*0.055</f>
        <v>3.245E-2</v>
      </c>
      <c r="Z735" s="85">
        <f>0.4*0.055</f>
        <v>2.2000000000000002E-2</v>
      </c>
      <c r="AA735" s="85">
        <f>0.41*0.055</f>
        <v>2.2549999999999997E-2</v>
      </c>
      <c r="AB735" s="85">
        <f>0.11*0.055</f>
        <v>6.0499999999999998E-3</v>
      </c>
      <c r="AC735" s="88">
        <f>0.03*0.055</f>
        <v>1.65E-3</v>
      </c>
      <c r="AD735" s="85"/>
    </row>
    <row r="736" spans="1:30">
      <c r="A736" s="82" t="s">
        <v>561</v>
      </c>
      <c r="B736" s="87" t="s">
        <v>643</v>
      </c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>
        <v>0</v>
      </c>
      <c r="O736" s="85">
        <v>0</v>
      </c>
      <c r="P736" s="85">
        <v>0</v>
      </c>
      <c r="Q736" s="85">
        <v>0</v>
      </c>
      <c r="R736" s="85">
        <v>0</v>
      </c>
      <c r="S736" s="85">
        <v>0</v>
      </c>
      <c r="T736" s="85">
        <v>0</v>
      </c>
      <c r="U736" s="85">
        <v>0</v>
      </c>
      <c r="V736" s="85">
        <v>0</v>
      </c>
      <c r="W736" s="85">
        <v>0</v>
      </c>
      <c r="X736" s="85">
        <v>0</v>
      </c>
      <c r="Y736" s="85">
        <v>0</v>
      </c>
      <c r="Z736" s="85">
        <v>0</v>
      </c>
      <c r="AA736" s="85">
        <v>0</v>
      </c>
      <c r="AB736" s="85">
        <v>0</v>
      </c>
      <c r="AC736" s="85">
        <v>0</v>
      </c>
      <c r="AD736" s="85"/>
    </row>
    <row r="737" spans="1:30">
      <c r="A737" s="82" t="s">
        <v>389</v>
      </c>
      <c r="B737" s="83" t="s">
        <v>597</v>
      </c>
      <c r="C737" s="84" t="s">
        <v>680</v>
      </c>
      <c r="D737" s="84" t="s">
        <v>680</v>
      </c>
      <c r="E737" s="84" t="s">
        <v>680</v>
      </c>
      <c r="F737" s="84" t="s">
        <v>680</v>
      </c>
      <c r="G737" s="85">
        <v>0</v>
      </c>
      <c r="H737" s="85">
        <v>0</v>
      </c>
      <c r="I737" s="85">
        <v>0</v>
      </c>
      <c r="J737" s="85">
        <v>0</v>
      </c>
      <c r="K737" s="85"/>
      <c r="L737" s="85"/>
      <c r="M737" s="85"/>
      <c r="N737" s="85">
        <v>0</v>
      </c>
      <c r="O737" s="85">
        <v>0</v>
      </c>
      <c r="P737" s="85">
        <v>0</v>
      </c>
      <c r="Q737" s="85">
        <v>0</v>
      </c>
      <c r="R737" s="85">
        <v>0</v>
      </c>
      <c r="S737" s="85">
        <v>0</v>
      </c>
      <c r="T737" s="85">
        <v>0</v>
      </c>
      <c r="U737" s="85">
        <v>0</v>
      </c>
      <c r="V737" s="85">
        <v>0</v>
      </c>
      <c r="W737" s="85">
        <v>0</v>
      </c>
      <c r="X737" s="85">
        <v>0</v>
      </c>
      <c r="Y737" s="85">
        <v>0</v>
      </c>
      <c r="Z737" s="85">
        <v>0</v>
      </c>
      <c r="AA737" s="85">
        <v>0</v>
      </c>
      <c r="AB737" s="85">
        <v>0</v>
      </c>
      <c r="AC737" s="85">
        <v>0</v>
      </c>
      <c r="AD737" s="85"/>
    </row>
    <row r="738" spans="1:30">
      <c r="A738" s="82" t="s">
        <v>389</v>
      </c>
      <c r="B738" s="83" t="s">
        <v>600</v>
      </c>
      <c r="C738" s="84" t="s">
        <v>680</v>
      </c>
      <c r="D738" s="84" t="s">
        <v>680</v>
      </c>
      <c r="E738" s="84" t="s">
        <v>680</v>
      </c>
      <c r="F738" s="84" t="s">
        <v>680</v>
      </c>
      <c r="G738" s="85">
        <v>0</v>
      </c>
      <c r="H738" s="85">
        <v>0</v>
      </c>
      <c r="I738" s="85">
        <v>0</v>
      </c>
      <c r="J738" s="85">
        <v>0</v>
      </c>
      <c r="K738" s="85"/>
      <c r="L738" s="85"/>
      <c r="M738" s="85"/>
      <c r="N738" s="85">
        <v>0</v>
      </c>
      <c r="O738" s="85">
        <v>0</v>
      </c>
      <c r="P738" s="85">
        <v>0</v>
      </c>
      <c r="Q738" s="85">
        <v>0</v>
      </c>
      <c r="R738" s="85">
        <v>0</v>
      </c>
      <c r="S738" s="85">
        <v>0</v>
      </c>
      <c r="T738" s="85">
        <v>0</v>
      </c>
      <c r="U738" s="85">
        <v>0</v>
      </c>
      <c r="V738" s="85">
        <v>0</v>
      </c>
      <c r="W738" s="85">
        <v>0</v>
      </c>
      <c r="X738" s="85">
        <v>0</v>
      </c>
      <c r="Y738" s="85">
        <v>0</v>
      </c>
      <c r="Z738" s="85">
        <v>0</v>
      </c>
      <c r="AA738" s="85">
        <v>0</v>
      </c>
      <c r="AB738" s="85">
        <v>0</v>
      </c>
      <c r="AC738" s="85">
        <v>0</v>
      </c>
      <c r="AD738" s="85"/>
    </row>
    <row r="739" spans="1:30">
      <c r="A739" s="82" t="s">
        <v>389</v>
      </c>
      <c r="B739" s="83" t="s">
        <v>595</v>
      </c>
      <c r="C739" s="84" t="s">
        <v>680</v>
      </c>
      <c r="D739" s="84" t="s">
        <v>680</v>
      </c>
      <c r="E739" s="84" t="s">
        <v>680</v>
      </c>
      <c r="F739" s="84" t="s">
        <v>680</v>
      </c>
      <c r="G739" s="85">
        <v>0</v>
      </c>
      <c r="H739" s="85">
        <v>0</v>
      </c>
      <c r="I739" s="85">
        <v>0</v>
      </c>
      <c r="J739" s="85">
        <v>0</v>
      </c>
      <c r="K739" s="85"/>
      <c r="L739" s="85"/>
      <c r="M739" s="85"/>
      <c r="N739" s="85">
        <v>0</v>
      </c>
      <c r="O739" s="85">
        <v>0</v>
      </c>
      <c r="P739" s="85">
        <v>0</v>
      </c>
      <c r="Q739" s="85">
        <v>0</v>
      </c>
      <c r="R739" s="85">
        <v>0</v>
      </c>
      <c r="S739" s="85">
        <v>0</v>
      </c>
      <c r="T739" s="85">
        <v>0</v>
      </c>
      <c r="U739" s="85">
        <v>0</v>
      </c>
      <c r="V739" s="85">
        <v>0</v>
      </c>
      <c r="W739" s="85">
        <v>0</v>
      </c>
      <c r="X739" s="85">
        <v>0</v>
      </c>
      <c r="Y739" s="85">
        <v>0</v>
      </c>
      <c r="Z739" s="85">
        <v>0</v>
      </c>
      <c r="AA739" s="85">
        <v>0</v>
      </c>
      <c r="AB739" s="85">
        <v>0</v>
      </c>
      <c r="AC739" s="85">
        <v>0</v>
      </c>
      <c r="AD739" s="85"/>
    </row>
    <row r="740" spans="1:30">
      <c r="A740" s="82" t="s">
        <v>389</v>
      </c>
      <c r="B740" s="83" t="s">
        <v>596</v>
      </c>
      <c r="C740" s="84" t="s">
        <v>680</v>
      </c>
      <c r="D740" s="84" t="s">
        <v>680</v>
      </c>
      <c r="E740" s="84" t="s">
        <v>680</v>
      </c>
      <c r="F740" s="84" t="s">
        <v>680</v>
      </c>
      <c r="G740" s="85">
        <v>0</v>
      </c>
      <c r="H740" s="85">
        <v>0</v>
      </c>
      <c r="I740" s="85">
        <v>0</v>
      </c>
      <c r="J740" s="85">
        <v>0</v>
      </c>
      <c r="K740" s="85"/>
      <c r="L740" s="85"/>
      <c r="M740" s="85"/>
      <c r="N740" s="85">
        <v>0</v>
      </c>
      <c r="O740" s="85">
        <v>0</v>
      </c>
      <c r="P740" s="85">
        <v>0</v>
      </c>
      <c r="Q740" s="85">
        <v>0</v>
      </c>
      <c r="R740" s="85">
        <v>0</v>
      </c>
      <c r="S740" s="85">
        <v>0</v>
      </c>
      <c r="T740" s="85">
        <v>0</v>
      </c>
      <c r="U740" s="85">
        <v>0</v>
      </c>
      <c r="V740" s="85">
        <v>0</v>
      </c>
      <c r="W740" s="85">
        <v>0</v>
      </c>
      <c r="X740" s="85">
        <v>0</v>
      </c>
      <c r="Y740" s="85">
        <v>0</v>
      </c>
      <c r="Z740" s="85">
        <v>0</v>
      </c>
      <c r="AA740" s="85">
        <v>0</v>
      </c>
      <c r="AB740" s="85">
        <v>0</v>
      </c>
      <c r="AC740" s="85">
        <v>0</v>
      </c>
      <c r="AD740" s="85"/>
    </row>
    <row r="741" spans="1:30">
      <c r="A741" s="82" t="s">
        <v>389</v>
      </c>
      <c r="B741" s="83" t="s">
        <v>594</v>
      </c>
      <c r="C741" s="84" t="s">
        <v>680</v>
      </c>
      <c r="D741" s="84" t="s">
        <v>680</v>
      </c>
      <c r="E741" s="84" t="s">
        <v>680</v>
      </c>
      <c r="F741" s="84" t="s">
        <v>680</v>
      </c>
      <c r="G741" s="85">
        <f>5.77*0.055</f>
        <v>0.31734999999999997</v>
      </c>
      <c r="H741" s="85">
        <f>1.07*0.055</f>
        <v>5.8850000000000006E-2</v>
      </c>
      <c r="I741" s="85">
        <f>4.88*0.055</f>
        <v>0.26839999999999997</v>
      </c>
      <c r="J741" s="85">
        <f>7.83*0.055</f>
        <v>0.43065000000000003</v>
      </c>
      <c r="K741" s="85"/>
      <c r="L741" s="85"/>
      <c r="M741" s="85"/>
      <c r="N741" s="85">
        <f>5.6*0.055</f>
        <v>0.308</v>
      </c>
      <c r="O741" s="85">
        <f>3.16*0.055</f>
        <v>0.17380000000000001</v>
      </c>
      <c r="P741" s="85">
        <f>2.8*0.055</f>
        <v>0.154</v>
      </c>
      <c r="Q741" s="85">
        <f>3.5*0.055</f>
        <v>0.1925</v>
      </c>
      <c r="R741" s="85">
        <f>5.7*0.055</f>
        <v>0.3135</v>
      </c>
      <c r="S741" s="85">
        <f>5.2*0.055</f>
        <v>0.28600000000000003</v>
      </c>
      <c r="T741" s="85">
        <f>2.31*0.055</f>
        <v>0.12705</v>
      </c>
      <c r="U741" s="85">
        <f>1.97*0.055</f>
        <v>0.10835</v>
      </c>
      <c r="V741" s="85">
        <f>1.496*0.055</f>
        <v>8.2280000000000006E-2</v>
      </c>
      <c r="W741" s="85">
        <f>1.265*0.055</f>
        <v>6.9574999999999998E-2</v>
      </c>
      <c r="X741" s="85">
        <f>1.05*0.055</f>
        <v>5.7750000000000003E-2</v>
      </c>
      <c r="Y741" s="85">
        <f>1.3464*0.055</f>
        <v>7.4052000000000007E-2</v>
      </c>
      <c r="Z741" s="85">
        <f>0.2312*0.055</f>
        <v>1.2716E-2</v>
      </c>
      <c r="AA741" s="85">
        <f>0.1904*0.055</f>
        <v>1.0472E-2</v>
      </c>
      <c r="AB741" s="85">
        <f>0.7752*0.055</f>
        <v>4.2636E-2</v>
      </c>
      <c r="AC741" s="85">
        <f>0.1224*0.055</f>
        <v>6.7320000000000001E-3</v>
      </c>
      <c r="AD741" s="85"/>
    </row>
    <row r="742" spans="1:30">
      <c r="A742" s="82" t="s">
        <v>389</v>
      </c>
      <c r="B742" s="87" t="s">
        <v>643</v>
      </c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>
        <v>0</v>
      </c>
      <c r="O742" s="85">
        <v>0</v>
      </c>
      <c r="P742" s="85">
        <v>0</v>
      </c>
      <c r="Q742" s="85">
        <v>0</v>
      </c>
      <c r="R742" s="85">
        <v>0</v>
      </c>
      <c r="S742" s="85">
        <v>0</v>
      </c>
      <c r="T742" s="85">
        <v>0</v>
      </c>
      <c r="U742" s="85">
        <v>0</v>
      </c>
      <c r="V742" s="85">
        <v>0</v>
      </c>
      <c r="W742" s="85">
        <v>0</v>
      </c>
      <c r="X742" s="85">
        <v>0</v>
      </c>
      <c r="Y742" s="85">
        <v>0</v>
      </c>
      <c r="Z742" s="85">
        <v>0</v>
      </c>
      <c r="AA742" s="85">
        <v>0</v>
      </c>
      <c r="AB742" s="85">
        <v>0</v>
      </c>
      <c r="AC742" s="85">
        <v>0</v>
      </c>
      <c r="AD742" s="85"/>
    </row>
    <row r="743" spans="1:30">
      <c r="A743" s="82" t="s">
        <v>774</v>
      </c>
      <c r="B743" s="83" t="s">
        <v>597</v>
      </c>
      <c r="C743" s="84" t="s">
        <v>680</v>
      </c>
      <c r="D743" s="84" t="s">
        <v>680</v>
      </c>
      <c r="E743" s="84" t="s">
        <v>680</v>
      </c>
      <c r="F743" s="84" t="s">
        <v>680</v>
      </c>
      <c r="G743" s="84" t="s">
        <v>680</v>
      </c>
      <c r="H743" s="84" t="s">
        <v>680</v>
      </c>
      <c r="I743" s="84" t="s">
        <v>680</v>
      </c>
      <c r="J743" s="84" t="s">
        <v>680</v>
      </c>
      <c r="K743" s="84" t="s">
        <v>680</v>
      </c>
      <c r="L743" s="84" t="s">
        <v>680</v>
      </c>
      <c r="M743" s="85">
        <v>0</v>
      </c>
      <c r="N743" s="85">
        <v>0</v>
      </c>
      <c r="O743" s="85">
        <v>0</v>
      </c>
      <c r="P743" s="85"/>
      <c r="Q743" s="85">
        <v>0</v>
      </c>
      <c r="R743" s="85">
        <v>0</v>
      </c>
      <c r="S743" s="85">
        <v>0</v>
      </c>
      <c r="T743" s="85">
        <v>0</v>
      </c>
      <c r="U743" s="85">
        <v>0</v>
      </c>
      <c r="V743" s="85">
        <v>0</v>
      </c>
      <c r="W743" s="85">
        <v>0</v>
      </c>
      <c r="X743" s="85">
        <v>0</v>
      </c>
      <c r="Y743" s="85">
        <v>0</v>
      </c>
      <c r="Z743" s="85">
        <v>0</v>
      </c>
      <c r="AA743" s="85">
        <v>0</v>
      </c>
      <c r="AB743" s="85">
        <v>0</v>
      </c>
      <c r="AC743" s="85">
        <v>0</v>
      </c>
      <c r="AD743" s="85"/>
    </row>
    <row r="744" spans="1:30">
      <c r="A744" s="82" t="s">
        <v>774</v>
      </c>
      <c r="B744" s="83" t="s">
        <v>600</v>
      </c>
      <c r="C744" s="84" t="s">
        <v>680</v>
      </c>
      <c r="D744" s="84" t="s">
        <v>680</v>
      </c>
      <c r="E744" s="84" t="s">
        <v>680</v>
      </c>
      <c r="F744" s="84" t="s">
        <v>680</v>
      </c>
      <c r="G744" s="84" t="s">
        <v>680</v>
      </c>
      <c r="H744" s="84" t="s">
        <v>680</v>
      </c>
      <c r="I744" s="84" t="s">
        <v>680</v>
      </c>
      <c r="J744" s="84" t="s">
        <v>680</v>
      </c>
      <c r="K744" s="84" t="s">
        <v>680</v>
      </c>
      <c r="L744" s="84" t="s">
        <v>680</v>
      </c>
      <c r="M744" s="85">
        <v>0</v>
      </c>
      <c r="N744" s="85">
        <v>0</v>
      </c>
      <c r="O744" s="85">
        <v>0</v>
      </c>
      <c r="P744" s="85"/>
      <c r="Q744" s="85">
        <v>0</v>
      </c>
      <c r="R744" s="85">
        <v>0</v>
      </c>
      <c r="S744" s="85">
        <v>0</v>
      </c>
      <c r="T744" s="85">
        <v>0</v>
      </c>
      <c r="U744" s="85">
        <v>0</v>
      </c>
      <c r="V744" s="85">
        <v>0</v>
      </c>
      <c r="W744" s="85">
        <v>0</v>
      </c>
      <c r="X744" s="85">
        <v>0</v>
      </c>
      <c r="Y744" s="85">
        <v>0</v>
      </c>
      <c r="Z744" s="85">
        <v>0</v>
      </c>
      <c r="AA744" s="85">
        <v>0</v>
      </c>
      <c r="AB744" s="85">
        <v>0</v>
      </c>
      <c r="AC744" s="85">
        <v>0</v>
      </c>
      <c r="AD744" s="85"/>
    </row>
    <row r="745" spans="1:30">
      <c r="A745" s="82" t="s">
        <v>774</v>
      </c>
      <c r="B745" s="83" t="s">
        <v>595</v>
      </c>
      <c r="C745" s="84" t="s">
        <v>680</v>
      </c>
      <c r="D745" s="84" t="s">
        <v>680</v>
      </c>
      <c r="E745" s="84" t="s">
        <v>680</v>
      </c>
      <c r="F745" s="84" t="s">
        <v>680</v>
      </c>
      <c r="G745" s="84" t="s">
        <v>680</v>
      </c>
      <c r="H745" s="84" t="s">
        <v>680</v>
      </c>
      <c r="I745" s="84" t="s">
        <v>680</v>
      </c>
      <c r="J745" s="84" t="s">
        <v>680</v>
      </c>
      <c r="K745" s="84" t="s">
        <v>680</v>
      </c>
      <c r="L745" s="84" t="s">
        <v>680</v>
      </c>
      <c r="M745" s="85">
        <v>0</v>
      </c>
      <c r="N745" s="85">
        <v>0</v>
      </c>
      <c r="O745" s="85">
        <v>0</v>
      </c>
      <c r="P745" s="85"/>
      <c r="Q745" s="85">
        <v>0</v>
      </c>
      <c r="R745" s="85">
        <v>0</v>
      </c>
      <c r="S745" s="85">
        <v>0</v>
      </c>
      <c r="T745" s="85">
        <v>0</v>
      </c>
      <c r="U745" s="85">
        <v>0</v>
      </c>
      <c r="V745" s="85">
        <v>0</v>
      </c>
      <c r="W745" s="85">
        <v>0</v>
      </c>
      <c r="X745" s="85">
        <v>0</v>
      </c>
      <c r="Y745" s="85">
        <v>0</v>
      </c>
      <c r="Z745" s="85">
        <v>0</v>
      </c>
      <c r="AA745" s="85">
        <v>0</v>
      </c>
      <c r="AB745" s="85">
        <v>0</v>
      </c>
      <c r="AC745" s="85">
        <v>0</v>
      </c>
      <c r="AD745" s="85"/>
    </row>
    <row r="746" spans="1:30">
      <c r="A746" s="82" t="s">
        <v>774</v>
      </c>
      <c r="B746" s="83" t="s">
        <v>596</v>
      </c>
      <c r="C746" s="84" t="s">
        <v>680</v>
      </c>
      <c r="D746" s="84" t="s">
        <v>680</v>
      </c>
      <c r="E746" s="84" t="s">
        <v>680</v>
      </c>
      <c r="F746" s="84" t="s">
        <v>680</v>
      </c>
      <c r="G746" s="84" t="s">
        <v>680</v>
      </c>
      <c r="H746" s="84" t="s">
        <v>680</v>
      </c>
      <c r="I746" s="84" t="s">
        <v>680</v>
      </c>
      <c r="J746" s="84" t="s">
        <v>680</v>
      </c>
      <c r="K746" s="84" t="s">
        <v>680</v>
      </c>
      <c r="L746" s="84" t="s">
        <v>680</v>
      </c>
      <c r="M746" s="85">
        <v>0</v>
      </c>
      <c r="N746" s="85">
        <v>0</v>
      </c>
      <c r="O746" s="85">
        <v>0</v>
      </c>
      <c r="P746" s="85"/>
      <c r="Q746" s="85">
        <v>0</v>
      </c>
      <c r="R746" s="85">
        <v>0</v>
      </c>
      <c r="S746" s="85">
        <v>0</v>
      </c>
      <c r="T746" s="85">
        <v>0</v>
      </c>
      <c r="U746" s="85">
        <v>0</v>
      </c>
      <c r="V746" s="85">
        <v>0</v>
      </c>
      <c r="W746" s="85">
        <v>0</v>
      </c>
      <c r="X746" s="85">
        <v>0</v>
      </c>
      <c r="Y746" s="85">
        <v>0</v>
      </c>
      <c r="Z746" s="85">
        <v>0</v>
      </c>
      <c r="AA746" s="85">
        <v>0</v>
      </c>
      <c r="AB746" s="85">
        <v>0</v>
      </c>
      <c r="AC746" s="85">
        <v>0</v>
      </c>
      <c r="AD746" s="85"/>
    </row>
    <row r="747" spans="1:30">
      <c r="A747" s="82" t="s">
        <v>774</v>
      </c>
      <c r="B747" s="83" t="s">
        <v>594</v>
      </c>
      <c r="C747" s="84" t="s">
        <v>680</v>
      </c>
      <c r="D747" s="84" t="s">
        <v>680</v>
      </c>
      <c r="E747" s="84" t="s">
        <v>680</v>
      </c>
      <c r="F747" s="84" t="s">
        <v>680</v>
      </c>
      <c r="G747" s="84" t="s">
        <v>680</v>
      </c>
      <c r="H747" s="84" t="s">
        <v>680</v>
      </c>
      <c r="I747" s="84" t="s">
        <v>680</v>
      </c>
      <c r="J747" s="84" t="s">
        <v>680</v>
      </c>
      <c r="K747" s="84" t="s">
        <v>680</v>
      </c>
      <c r="L747" s="84" t="s">
        <v>680</v>
      </c>
      <c r="M747" s="85">
        <v>0</v>
      </c>
      <c r="N747" s="85">
        <f>0.6*0.055</f>
        <v>3.3000000000000002E-2</v>
      </c>
      <c r="O747" s="85">
        <f>0.3*0.055</f>
        <v>1.6500000000000001E-2</v>
      </c>
      <c r="P747" s="85"/>
      <c r="Q747" s="85">
        <f>2.52*0.055</f>
        <v>0.1386</v>
      </c>
      <c r="R747" s="85">
        <f>2.9*0.055</f>
        <v>0.1595</v>
      </c>
      <c r="S747" s="85">
        <f>2.6*0.055</f>
        <v>0.14300000000000002</v>
      </c>
      <c r="T747" s="85">
        <f>2*0.055</f>
        <v>0.11</v>
      </c>
      <c r="U747" s="85">
        <f>1.9*0.055</f>
        <v>0.1045</v>
      </c>
      <c r="V747" s="85">
        <f>1.7*0.055</f>
        <v>9.35E-2</v>
      </c>
      <c r="W747" s="85">
        <f>1.6*0.055</f>
        <v>8.8000000000000009E-2</v>
      </c>
      <c r="X747" s="85">
        <f>1.5*0.055</f>
        <v>8.2500000000000004E-2</v>
      </c>
      <c r="Y747" s="85">
        <f>1.4*0.055</f>
        <v>7.6999999999999999E-2</v>
      </c>
      <c r="Z747" s="85">
        <f>1.3*0.055</f>
        <v>7.1500000000000008E-2</v>
      </c>
      <c r="AA747" s="85">
        <f>1.26*0.055</f>
        <v>6.93E-2</v>
      </c>
      <c r="AB747" s="85">
        <f>1*0.055</f>
        <v>5.5E-2</v>
      </c>
      <c r="AC747" s="85">
        <f>1*0.055</f>
        <v>5.5E-2</v>
      </c>
      <c r="AD747" s="85"/>
    </row>
    <row r="748" spans="1:30">
      <c r="A748" s="82" t="s">
        <v>774</v>
      </c>
      <c r="B748" s="87" t="s">
        <v>643</v>
      </c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>
        <v>0</v>
      </c>
      <c r="O748" s="85">
        <v>0</v>
      </c>
      <c r="P748" s="85"/>
      <c r="Q748" s="85">
        <v>0</v>
      </c>
      <c r="R748" s="85">
        <v>0</v>
      </c>
      <c r="S748" s="85">
        <v>0</v>
      </c>
      <c r="T748" s="85">
        <v>0</v>
      </c>
      <c r="U748" s="85">
        <v>0</v>
      </c>
      <c r="V748" s="85">
        <v>0</v>
      </c>
      <c r="W748" s="85">
        <v>0</v>
      </c>
      <c r="X748" s="85">
        <v>0</v>
      </c>
      <c r="Y748" s="85">
        <v>0</v>
      </c>
      <c r="Z748" s="85">
        <v>0</v>
      </c>
      <c r="AA748" s="85">
        <v>0</v>
      </c>
      <c r="AB748" s="85">
        <v>0</v>
      </c>
      <c r="AC748" s="85">
        <v>0</v>
      </c>
      <c r="AD748" s="85"/>
    </row>
    <row r="749" spans="1:30">
      <c r="A749" s="82" t="s">
        <v>681</v>
      </c>
      <c r="B749" s="83" t="s">
        <v>597</v>
      </c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>
        <f>5*0.02</f>
        <v>0.1</v>
      </c>
      <c r="Q749" s="85">
        <f>2.5*0.02</f>
        <v>0.05</v>
      </c>
      <c r="R749" s="85">
        <f>16.5*0.02</f>
        <v>0.33</v>
      </c>
      <c r="S749" s="85">
        <f>14*0.02</f>
        <v>0.28000000000000003</v>
      </c>
      <c r="T749" s="85">
        <f>16*0.02</f>
        <v>0.32</v>
      </c>
      <c r="U749" s="85">
        <v>0</v>
      </c>
      <c r="V749" s="85">
        <f>76.94*0.02</f>
        <v>1.5387999999999999</v>
      </c>
      <c r="W749" s="85">
        <v>0</v>
      </c>
      <c r="X749" s="85">
        <f>14.96*0.02</f>
        <v>0.29920000000000002</v>
      </c>
      <c r="Y749" s="85">
        <v>0</v>
      </c>
      <c r="Z749" s="85">
        <v>0</v>
      </c>
      <c r="AA749" s="85">
        <v>0</v>
      </c>
      <c r="AB749" s="85">
        <v>0</v>
      </c>
      <c r="AC749" s="85">
        <v>0</v>
      </c>
      <c r="AD749" s="85"/>
    </row>
    <row r="750" spans="1:30">
      <c r="A750" s="82" t="s">
        <v>681</v>
      </c>
      <c r="B750" s="83" t="s">
        <v>600</v>
      </c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>
        <v>0</v>
      </c>
      <c r="Q750" s="85">
        <v>0</v>
      </c>
      <c r="R750" s="85">
        <v>0</v>
      </c>
      <c r="S750" s="85">
        <v>0</v>
      </c>
      <c r="T750" s="85">
        <v>0</v>
      </c>
      <c r="U750" s="85">
        <v>0</v>
      </c>
      <c r="V750" s="85">
        <v>0</v>
      </c>
      <c r="W750" s="85">
        <v>0</v>
      </c>
      <c r="X750" s="85">
        <v>0</v>
      </c>
      <c r="Y750" s="85">
        <v>0</v>
      </c>
      <c r="Z750" s="85">
        <v>0</v>
      </c>
      <c r="AA750" s="85">
        <v>0</v>
      </c>
      <c r="AB750" s="85">
        <v>0</v>
      </c>
      <c r="AC750" s="85">
        <v>0</v>
      </c>
      <c r="AD750" s="85"/>
    </row>
    <row r="751" spans="1:30">
      <c r="A751" s="82" t="s">
        <v>681</v>
      </c>
      <c r="B751" s="83" t="s">
        <v>595</v>
      </c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>
        <f>1674*0.11</f>
        <v>184.14000000000001</v>
      </c>
      <c r="Q751" s="85">
        <f>3000*0.11</f>
        <v>330</v>
      </c>
      <c r="R751" s="85">
        <f>3200*0.11</f>
        <v>352</v>
      </c>
      <c r="S751" s="85">
        <f>3557*0.11</f>
        <v>391.27</v>
      </c>
      <c r="T751" s="85">
        <f>3912*0.11</f>
        <v>430.32</v>
      </c>
      <c r="U751" s="85">
        <f>2696*0.11</f>
        <v>296.56</v>
      </c>
      <c r="V751" s="85">
        <f>2302*0.11</f>
        <v>253.22</v>
      </c>
      <c r="W751" s="85">
        <f>2025*0.11</f>
        <v>222.75</v>
      </c>
      <c r="X751" s="85">
        <f>1750*0.11</f>
        <v>192.5</v>
      </c>
      <c r="Y751" s="85">
        <f>1750*0.11</f>
        <v>192.5</v>
      </c>
      <c r="Z751" s="85">
        <v>0</v>
      </c>
      <c r="AA751" s="85">
        <v>0</v>
      </c>
      <c r="AB751" s="85">
        <v>0</v>
      </c>
      <c r="AC751" s="85">
        <v>0</v>
      </c>
      <c r="AD751" s="85"/>
    </row>
    <row r="752" spans="1:30">
      <c r="A752" s="82" t="s">
        <v>681</v>
      </c>
      <c r="B752" s="83" t="s">
        <v>596</v>
      </c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>
        <f>647*0.065</f>
        <v>42.055</v>
      </c>
      <c r="Q752" s="85">
        <f>1765*0.065</f>
        <v>114.72500000000001</v>
      </c>
      <c r="R752" s="85">
        <f>1800*0.065</f>
        <v>117</v>
      </c>
      <c r="S752" s="85">
        <f>2150*0.065</f>
        <v>139.75</v>
      </c>
      <c r="T752" s="85">
        <f>2365*0.065</f>
        <v>153.72499999999999</v>
      </c>
      <c r="U752" s="85">
        <f>389*0.065</f>
        <v>25.285</v>
      </c>
      <c r="V752" s="85">
        <v>0</v>
      </c>
      <c r="W752" s="85">
        <v>0</v>
      </c>
      <c r="X752" s="85">
        <v>0</v>
      </c>
      <c r="Y752" s="85">
        <v>0</v>
      </c>
      <c r="Z752" s="85">
        <v>0</v>
      </c>
      <c r="AA752" s="85">
        <v>0</v>
      </c>
      <c r="AB752" s="85">
        <v>0</v>
      </c>
      <c r="AC752" s="85">
        <v>0</v>
      </c>
      <c r="AD752" s="85"/>
    </row>
    <row r="753" spans="1:30">
      <c r="A753" s="82" t="s">
        <v>681</v>
      </c>
      <c r="B753" s="83" t="s">
        <v>594</v>
      </c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>
        <f>17532.32*0.055</f>
        <v>964.27760000000001</v>
      </c>
      <c r="Q753" s="85">
        <f>16677*0.055</f>
        <v>917.23500000000001</v>
      </c>
      <c r="R753" s="85">
        <f>20050*0.055</f>
        <v>1102.75</v>
      </c>
      <c r="S753" s="85">
        <f>22105*0.055</f>
        <v>1215.7750000000001</v>
      </c>
      <c r="T753" s="85">
        <f>24315*0.055</f>
        <v>1337.325</v>
      </c>
      <c r="U753" s="85">
        <f>20216*0.055</f>
        <v>1111.8800000000001</v>
      </c>
      <c r="V753" s="85">
        <f>20397.66*0.055</f>
        <v>1121.8713</v>
      </c>
      <c r="W753" s="85">
        <f>19685.37*0.055</f>
        <v>1082.69535</v>
      </c>
      <c r="X753" s="85">
        <f>16096.08*0.055</f>
        <v>885.28440000000001</v>
      </c>
      <c r="Y753" s="85">
        <f>15776.47*0.055</f>
        <v>867.70584999999994</v>
      </c>
      <c r="Z753" s="85">
        <f>(17502.51-172.45)*0.055</f>
        <v>953.15329999999983</v>
      </c>
      <c r="AA753" s="85">
        <f>17330.06*0.055</f>
        <v>953.15330000000006</v>
      </c>
      <c r="AB753" s="85">
        <f>16009.09*0.055</f>
        <v>880.49995000000001</v>
      </c>
      <c r="AC753" s="85">
        <f>15998.01*0.055</f>
        <v>879.89054999999996</v>
      </c>
      <c r="AD753" s="85"/>
    </row>
    <row r="754" spans="1:30">
      <c r="A754" s="82" t="s">
        <v>681</v>
      </c>
      <c r="B754" s="87" t="s">
        <v>643</v>
      </c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>
        <v>0</v>
      </c>
      <c r="Q754" s="85">
        <v>0</v>
      </c>
      <c r="R754" s="85">
        <v>0</v>
      </c>
      <c r="S754" s="85">
        <v>0</v>
      </c>
      <c r="T754" s="85">
        <v>0</v>
      </c>
      <c r="U754" s="85">
        <v>0</v>
      </c>
      <c r="V754" s="85">
        <v>0</v>
      </c>
      <c r="W754" s="85">
        <v>0</v>
      </c>
      <c r="X754" s="85">
        <v>0</v>
      </c>
      <c r="Y754" s="85">
        <v>0</v>
      </c>
      <c r="Z754" s="85">
        <v>0</v>
      </c>
      <c r="AA754" s="85">
        <v>0</v>
      </c>
      <c r="AB754" s="85">
        <v>0</v>
      </c>
      <c r="AC754" s="85">
        <v>0</v>
      </c>
      <c r="AD754" s="85"/>
    </row>
    <row r="755" spans="1:30">
      <c r="A755" s="82" t="s">
        <v>681</v>
      </c>
      <c r="B755" s="87" t="s">
        <v>271</v>
      </c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>
        <v>0</v>
      </c>
      <c r="Q755" s="85">
        <f>200*0.01</f>
        <v>2</v>
      </c>
      <c r="R755" s="85">
        <f>240*0.01</f>
        <v>2.4</v>
      </c>
      <c r="S755" s="85">
        <f>268*0.01</f>
        <v>2.68</v>
      </c>
      <c r="T755" s="85">
        <v>0</v>
      </c>
      <c r="U755" s="85">
        <v>0</v>
      </c>
      <c r="V755" s="85">
        <v>0</v>
      </c>
      <c r="W755" s="85">
        <v>0</v>
      </c>
      <c r="X755" s="85">
        <v>0</v>
      </c>
      <c r="Y755" s="85">
        <v>0</v>
      </c>
      <c r="Z755" s="85">
        <v>0</v>
      </c>
      <c r="AA755" s="85">
        <v>0</v>
      </c>
      <c r="AB755" s="85">
        <v>0</v>
      </c>
      <c r="AC755" s="85">
        <v>0</v>
      </c>
      <c r="AD755" s="85"/>
    </row>
    <row r="756" spans="1:30">
      <c r="A756" s="82" t="s">
        <v>555</v>
      </c>
      <c r="B756" s="83" t="s">
        <v>597</v>
      </c>
      <c r="C756" s="85">
        <v>0</v>
      </c>
      <c r="D756" s="85">
        <v>0</v>
      </c>
      <c r="E756" s="85">
        <v>0</v>
      </c>
      <c r="F756" s="85">
        <v>0</v>
      </c>
      <c r="G756" s="85">
        <v>0</v>
      </c>
      <c r="H756" s="85">
        <v>0</v>
      </c>
      <c r="I756" s="85">
        <v>0</v>
      </c>
      <c r="J756" s="85">
        <v>0</v>
      </c>
      <c r="K756" s="85">
        <v>0</v>
      </c>
      <c r="L756" s="85">
        <v>0</v>
      </c>
      <c r="M756" s="85">
        <v>0</v>
      </c>
      <c r="N756" s="85">
        <v>0</v>
      </c>
      <c r="O756" s="85">
        <v>0</v>
      </c>
      <c r="P756" s="85">
        <v>0</v>
      </c>
      <c r="Q756" s="85">
        <v>0</v>
      </c>
      <c r="R756" s="85">
        <v>0</v>
      </c>
      <c r="S756" s="85">
        <v>0</v>
      </c>
      <c r="T756" s="85">
        <v>0</v>
      </c>
      <c r="U756" s="85">
        <v>0</v>
      </c>
      <c r="V756" s="85">
        <v>0</v>
      </c>
      <c r="W756" s="85">
        <v>0</v>
      </c>
      <c r="X756" s="85">
        <v>0</v>
      </c>
      <c r="Y756" s="85">
        <v>0</v>
      </c>
      <c r="Z756" s="85">
        <v>0</v>
      </c>
      <c r="AA756" s="85">
        <v>0</v>
      </c>
      <c r="AB756" s="85">
        <v>0</v>
      </c>
      <c r="AC756" s="85">
        <v>0</v>
      </c>
      <c r="AD756" s="85"/>
    </row>
    <row r="757" spans="1:30">
      <c r="A757" s="82" t="s">
        <v>555</v>
      </c>
      <c r="B757" s="83" t="s">
        <v>600</v>
      </c>
      <c r="C757" s="85">
        <v>0</v>
      </c>
      <c r="D757" s="85">
        <v>0</v>
      </c>
      <c r="E757" s="85">
        <v>0</v>
      </c>
      <c r="F757" s="85">
        <v>0</v>
      </c>
      <c r="G757" s="85">
        <v>0</v>
      </c>
      <c r="H757" s="85">
        <v>0</v>
      </c>
      <c r="I757" s="85">
        <v>0</v>
      </c>
      <c r="J757" s="85">
        <v>0</v>
      </c>
      <c r="K757" s="85">
        <v>0</v>
      </c>
      <c r="L757" s="85">
        <v>0</v>
      </c>
      <c r="M757" s="85">
        <v>0</v>
      </c>
      <c r="N757" s="85">
        <v>0</v>
      </c>
      <c r="O757" s="85">
        <v>0</v>
      </c>
      <c r="P757" s="85">
        <v>0</v>
      </c>
      <c r="Q757" s="85">
        <v>0</v>
      </c>
      <c r="R757" s="85">
        <v>0</v>
      </c>
      <c r="S757" s="85">
        <v>0</v>
      </c>
      <c r="T757" s="85">
        <v>0</v>
      </c>
      <c r="U757" s="85">
        <v>0</v>
      </c>
      <c r="V757" s="85">
        <v>0</v>
      </c>
      <c r="W757" s="85">
        <v>0</v>
      </c>
      <c r="X757" s="85">
        <v>0</v>
      </c>
      <c r="Y757" s="85">
        <v>0</v>
      </c>
      <c r="Z757" s="85">
        <v>0</v>
      </c>
      <c r="AA757" s="85">
        <v>0</v>
      </c>
      <c r="AB757" s="85">
        <v>0</v>
      </c>
      <c r="AC757" s="85">
        <v>0</v>
      </c>
      <c r="AD757" s="85"/>
    </row>
    <row r="758" spans="1:30">
      <c r="A758" s="82" t="s">
        <v>555</v>
      </c>
      <c r="B758" s="83" t="s">
        <v>595</v>
      </c>
      <c r="C758" s="85">
        <v>0</v>
      </c>
      <c r="D758" s="85">
        <v>0</v>
      </c>
      <c r="E758" s="85">
        <v>0</v>
      </c>
      <c r="F758" s="85">
        <v>0</v>
      </c>
      <c r="G758" s="85">
        <v>0</v>
      </c>
      <c r="H758" s="85">
        <v>0</v>
      </c>
      <c r="I758" s="85">
        <v>0</v>
      </c>
      <c r="J758" s="85">
        <v>0</v>
      </c>
      <c r="K758" s="85">
        <v>0</v>
      </c>
      <c r="L758" s="85">
        <v>0</v>
      </c>
      <c r="M758" s="85">
        <v>0</v>
      </c>
      <c r="N758" s="85">
        <v>0</v>
      </c>
      <c r="O758" s="85">
        <v>0</v>
      </c>
      <c r="P758" s="85">
        <v>0</v>
      </c>
      <c r="Q758" s="85">
        <v>0</v>
      </c>
      <c r="R758" s="85">
        <v>0</v>
      </c>
      <c r="S758" s="85">
        <v>0</v>
      </c>
      <c r="T758" s="85">
        <v>0</v>
      </c>
      <c r="U758" s="85">
        <v>0</v>
      </c>
      <c r="V758" s="85">
        <v>0</v>
      </c>
      <c r="W758" s="85">
        <v>0</v>
      </c>
      <c r="X758" s="85">
        <v>0</v>
      </c>
      <c r="Y758" s="85">
        <v>0</v>
      </c>
      <c r="Z758" s="85">
        <v>0</v>
      </c>
      <c r="AA758" s="85">
        <v>0</v>
      </c>
      <c r="AB758" s="85">
        <v>0</v>
      </c>
      <c r="AC758" s="85">
        <v>0</v>
      </c>
      <c r="AD758" s="85"/>
    </row>
    <row r="759" spans="1:30">
      <c r="A759" s="82" t="s">
        <v>555</v>
      </c>
      <c r="B759" s="83" t="s">
        <v>596</v>
      </c>
      <c r="C759" s="85">
        <v>0</v>
      </c>
      <c r="D759" s="85">
        <v>0</v>
      </c>
      <c r="E759" s="85">
        <v>0</v>
      </c>
      <c r="F759" s="85">
        <v>0</v>
      </c>
      <c r="G759" s="85">
        <v>0</v>
      </c>
      <c r="H759" s="85">
        <v>0</v>
      </c>
      <c r="I759" s="85">
        <v>0</v>
      </c>
      <c r="J759" s="85">
        <v>0</v>
      </c>
      <c r="K759" s="85">
        <v>0</v>
      </c>
      <c r="L759" s="85">
        <v>0</v>
      </c>
      <c r="M759" s="85">
        <v>0</v>
      </c>
      <c r="N759" s="85">
        <v>0</v>
      </c>
      <c r="O759" s="85">
        <v>0</v>
      </c>
      <c r="P759" s="85">
        <v>0</v>
      </c>
      <c r="Q759" s="85">
        <v>0</v>
      </c>
      <c r="R759" s="85">
        <v>0</v>
      </c>
      <c r="S759" s="85">
        <v>0</v>
      </c>
      <c r="T759" s="85">
        <v>0</v>
      </c>
      <c r="U759" s="85">
        <v>0</v>
      </c>
      <c r="V759" s="85">
        <v>0</v>
      </c>
      <c r="W759" s="85">
        <v>0</v>
      </c>
      <c r="X759" s="85">
        <v>0</v>
      </c>
      <c r="Y759" s="85">
        <v>0</v>
      </c>
      <c r="Z759" s="85">
        <v>0</v>
      </c>
      <c r="AA759" s="85">
        <v>0</v>
      </c>
      <c r="AB759" s="85">
        <v>0</v>
      </c>
      <c r="AC759" s="85">
        <v>0</v>
      </c>
      <c r="AD759" s="85"/>
    </row>
    <row r="760" spans="1:30">
      <c r="A760" s="82" t="s">
        <v>555</v>
      </c>
      <c r="B760" s="83" t="s">
        <v>594</v>
      </c>
      <c r="C760" s="85">
        <f>195*0.055</f>
        <v>10.725</v>
      </c>
      <c r="D760" s="85">
        <f>181.88*0.055</f>
        <v>10.003399999999999</v>
      </c>
      <c r="E760" s="85">
        <f>120.14*0.055</f>
        <v>6.6077000000000004</v>
      </c>
      <c r="F760" s="85">
        <f>157.44*0.055</f>
        <v>8.6592000000000002</v>
      </c>
      <c r="G760" s="85">
        <v>0</v>
      </c>
      <c r="H760" s="85">
        <f>391*0.055</f>
        <v>21.504999999999999</v>
      </c>
      <c r="I760" s="85">
        <f>400*0.055</f>
        <v>22</v>
      </c>
      <c r="J760" s="85">
        <f>416*0.055</f>
        <v>22.88</v>
      </c>
      <c r="K760" s="85">
        <f>435*0.055</f>
        <v>23.925000000000001</v>
      </c>
      <c r="L760" s="85">
        <f>471*0.055</f>
        <v>25.905000000000001</v>
      </c>
      <c r="M760" s="85">
        <f>502*0.055</f>
        <v>27.61</v>
      </c>
      <c r="N760" s="85">
        <f>540*0.055</f>
        <v>29.7</v>
      </c>
      <c r="O760" s="85">
        <f>575*0.055</f>
        <v>31.625</v>
      </c>
      <c r="P760" s="85">
        <f>598*0.055</f>
        <v>32.89</v>
      </c>
      <c r="Q760" s="85">
        <f>632*0.055</f>
        <v>34.76</v>
      </c>
      <c r="R760" s="85">
        <f>682.56*0.055</f>
        <v>37.540799999999997</v>
      </c>
      <c r="S760" s="85">
        <f>657*0.055</f>
        <v>36.134999999999998</v>
      </c>
      <c r="T760" s="85">
        <f>657*0.055</f>
        <v>36.134999999999998</v>
      </c>
      <c r="U760" s="85">
        <f>140*0.055</f>
        <v>7.7</v>
      </c>
      <c r="V760" s="85">
        <f>376*0.055</f>
        <v>20.68</v>
      </c>
      <c r="W760" s="85">
        <f>375*0.055</f>
        <v>20.625</v>
      </c>
      <c r="X760" s="85">
        <f>340*0.055</f>
        <v>18.7</v>
      </c>
      <c r="Y760" s="85">
        <f>325*0.055</f>
        <v>17.875</v>
      </c>
      <c r="Z760" s="85">
        <f>275*0.055</f>
        <v>15.125</v>
      </c>
      <c r="AA760" s="85">
        <f>259*0.055</f>
        <v>14.244999999999999</v>
      </c>
      <c r="AB760" s="85">
        <f>240*0.055</f>
        <v>13.2</v>
      </c>
      <c r="AC760" s="85">
        <f>216*0.055</f>
        <v>11.88</v>
      </c>
      <c r="AD760" s="85"/>
    </row>
    <row r="761" spans="1:30">
      <c r="A761" s="82" t="s">
        <v>555</v>
      </c>
      <c r="B761" s="87" t="s">
        <v>643</v>
      </c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>
        <v>0</v>
      </c>
      <c r="O761" s="85">
        <v>0</v>
      </c>
      <c r="P761" s="85">
        <v>0</v>
      </c>
      <c r="Q761" s="85">
        <v>0</v>
      </c>
      <c r="R761" s="85">
        <v>0</v>
      </c>
      <c r="S761" s="85">
        <v>0</v>
      </c>
      <c r="T761" s="85">
        <v>0</v>
      </c>
      <c r="U761" s="85">
        <v>0</v>
      </c>
      <c r="V761" s="85">
        <v>0</v>
      </c>
      <c r="W761" s="85">
        <v>0</v>
      </c>
      <c r="X761" s="85">
        <v>0</v>
      </c>
      <c r="Y761" s="85">
        <v>0</v>
      </c>
      <c r="Z761" s="85">
        <v>0</v>
      </c>
      <c r="AA761" s="85">
        <v>0</v>
      </c>
      <c r="AB761" s="85">
        <v>0</v>
      </c>
      <c r="AC761" s="85">
        <v>0</v>
      </c>
      <c r="AD761" s="85"/>
    </row>
    <row r="762" spans="1:30">
      <c r="A762" s="82" t="s">
        <v>360</v>
      </c>
      <c r="B762" s="83" t="s">
        <v>597</v>
      </c>
      <c r="C762" s="84" t="s">
        <v>680</v>
      </c>
      <c r="D762" s="84" t="s">
        <v>680</v>
      </c>
      <c r="E762" s="84" t="s">
        <v>680</v>
      </c>
      <c r="F762" s="84" t="s">
        <v>680</v>
      </c>
      <c r="G762" s="84" t="s">
        <v>680</v>
      </c>
      <c r="H762" s="85">
        <v>0</v>
      </c>
      <c r="I762" s="85">
        <v>0</v>
      </c>
      <c r="J762" s="85">
        <v>0</v>
      </c>
      <c r="K762" s="85">
        <v>0</v>
      </c>
      <c r="L762" s="85">
        <f>0.53*0.02</f>
        <v>1.06E-2</v>
      </c>
      <c r="M762" s="85">
        <v>0</v>
      </c>
      <c r="N762" s="85">
        <v>0</v>
      </c>
      <c r="O762" s="85">
        <f>0.57*0.02</f>
        <v>1.1399999999999999E-2</v>
      </c>
      <c r="P762" s="85">
        <v>0</v>
      </c>
      <c r="Q762" s="85">
        <v>0</v>
      </c>
      <c r="R762" s="85">
        <f>2.11*0.02</f>
        <v>4.2200000000000001E-2</v>
      </c>
      <c r="S762" s="85">
        <v>0</v>
      </c>
      <c r="T762" s="85">
        <v>0</v>
      </c>
      <c r="U762" s="85">
        <v>0</v>
      </c>
      <c r="V762" s="85">
        <v>0</v>
      </c>
      <c r="W762" s="85">
        <f>0.9*0.02</f>
        <v>1.8000000000000002E-2</v>
      </c>
      <c r="X762" s="85">
        <f>0.9*0.02</f>
        <v>1.8000000000000002E-2</v>
      </c>
      <c r="Y762" s="85">
        <f>0.9*0.02</f>
        <v>1.8000000000000002E-2</v>
      </c>
      <c r="Z762" s="85">
        <v>0</v>
      </c>
      <c r="AA762" s="85">
        <f>0.9*0.02</f>
        <v>1.8000000000000002E-2</v>
      </c>
      <c r="AB762" s="85">
        <v>0</v>
      </c>
      <c r="AC762" s="85">
        <v>0</v>
      </c>
      <c r="AD762" s="85"/>
    </row>
    <row r="763" spans="1:30">
      <c r="A763" s="82" t="s">
        <v>360</v>
      </c>
      <c r="B763" s="83" t="s">
        <v>600</v>
      </c>
      <c r="C763" s="84" t="s">
        <v>680</v>
      </c>
      <c r="D763" s="84" t="s">
        <v>680</v>
      </c>
      <c r="E763" s="84" t="s">
        <v>680</v>
      </c>
      <c r="F763" s="84" t="s">
        <v>680</v>
      </c>
      <c r="G763" s="84" t="s">
        <v>680</v>
      </c>
      <c r="H763" s="85">
        <v>0</v>
      </c>
      <c r="I763" s="85">
        <f>0.51*0.022</f>
        <v>1.1219999999999999E-2</v>
      </c>
      <c r="J763" s="85">
        <v>0</v>
      </c>
      <c r="K763" s="85">
        <v>0</v>
      </c>
      <c r="L763" s="85">
        <f>0.24*0.022</f>
        <v>5.2799999999999991E-3</v>
      </c>
      <c r="M763" s="85">
        <v>0</v>
      </c>
      <c r="N763" s="85">
        <v>0</v>
      </c>
      <c r="O763" s="85">
        <v>0</v>
      </c>
      <c r="P763" s="94">
        <f>(0.02*0.022)+(0.0034*0.022)</f>
        <v>5.1479999999999994E-4</v>
      </c>
      <c r="Q763" s="94">
        <v>0</v>
      </c>
      <c r="R763" s="94">
        <v>0</v>
      </c>
      <c r="S763" s="94">
        <v>0</v>
      </c>
      <c r="T763" s="94">
        <v>0</v>
      </c>
      <c r="U763" s="94">
        <v>0</v>
      </c>
      <c r="V763" s="94">
        <v>0</v>
      </c>
      <c r="W763" s="94">
        <v>0</v>
      </c>
      <c r="X763" s="94">
        <v>0</v>
      </c>
      <c r="Y763" s="94">
        <v>0</v>
      </c>
      <c r="Z763" s="94">
        <v>0</v>
      </c>
      <c r="AA763" s="94">
        <v>0</v>
      </c>
      <c r="AB763" s="94">
        <v>0</v>
      </c>
      <c r="AC763" s="94">
        <v>0</v>
      </c>
      <c r="AD763" s="94"/>
    </row>
    <row r="764" spans="1:30">
      <c r="A764" s="82" t="s">
        <v>360</v>
      </c>
      <c r="B764" s="83" t="s">
        <v>595</v>
      </c>
      <c r="C764" s="84" t="s">
        <v>680</v>
      </c>
      <c r="D764" s="84" t="s">
        <v>680</v>
      </c>
      <c r="E764" s="84" t="s">
        <v>680</v>
      </c>
      <c r="F764" s="84" t="s">
        <v>680</v>
      </c>
      <c r="G764" s="84" t="s">
        <v>680</v>
      </c>
      <c r="H764" s="85">
        <v>0</v>
      </c>
      <c r="I764" s="85">
        <v>0</v>
      </c>
      <c r="J764" s="85">
        <v>0</v>
      </c>
      <c r="K764" s="85">
        <v>0</v>
      </c>
      <c r="L764" s="85">
        <v>0</v>
      </c>
      <c r="M764" s="85">
        <v>0</v>
      </c>
      <c r="N764" s="85">
        <v>2.64E-2</v>
      </c>
      <c r="O764" s="85">
        <v>0</v>
      </c>
      <c r="P764" s="94">
        <f>5.1*0.11</f>
        <v>0.56099999999999994</v>
      </c>
      <c r="Q764" s="94">
        <v>0</v>
      </c>
      <c r="R764" s="94">
        <v>0</v>
      </c>
      <c r="S764" s="94">
        <f>3.81*0.11</f>
        <v>0.41910000000000003</v>
      </c>
      <c r="T764" s="94">
        <f>5.17*0.11</f>
        <v>0.56869999999999998</v>
      </c>
      <c r="U764" s="94">
        <f>1.904*0.11</f>
        <v>0.20943999999999999</v>
      </c>
      <c r="V764" s="94">
        <f>3.264*0.11</f>
        <v>0.35903999999999997</v>
      </c>
      <c r="W764" s="94">
        <f>3.808*0.11</f>
        <v>0.41887999999999997</v>
      </c>
      <c r="X764" s="94">
        <f>4.08*0.11</f>
        <v>0.44880000000000003</v>
      </c>
      <c r="Y764" s="94">
        <f>4.08*0.11</f>
        <v>0.44880000000000003</v>
      </c>
      <c r="Z764" s="94">
        <f>2.176*0.11</f>
        <v>0.23936000000000002</v>
      </c>
      <c r="AA764" s="94">
        <f>1.63*0.11</f>
        <v>0.17929999999999999</v>
      </c>
      <c r="AB764" s="94">
        <v>0</v>
      </c>
      <c r="AC764" s="94">
        <v>0</v>
      </c>
      <c r="AD764" s="94"/>
    </row>
    <row r="765" spans="1:30">
      <c r="A765" s="82" t="s">
        <v>360</v>
      </c>
      <c r="B765" s="83" t="s">
        <v>596</v>
      </c>
      <c r="C765" s="84" t="s">
        <v>680</v>
      </c>
      <c r="D765" s="84" t="s">
        <v>680</v>
      </c>
      <c r="E765" s="84" t="s">
        <v>680</v>
      </c>
      <c r="F765" s="84" t="s">
        <v>680</v>
      </c>
      <c r="G765" s="84" t="s">
        <v>680</v>
      </c>
      <c r="H765" s="85">
        <v>0</v>
      </c>
      <c r="I765" s="85">
        <v>0</v>
      </c>
      <c r="J765" s="85">
        <v>0</v>
      </c>
      <c r="K765" s="85">
        <v>0</v>
      </c>
      <c r="L765" s="85">
        <f>79.23*0.065</f>
        <v>5.1499500000000005</v>
      </c>
      <c r="M765" s="85">
        <f>89*0.065</f>
        <v>5.7850000000000001</v>
      </c>
      <c r="N765" s="85">
        <v>0.65065000000000006</v>
      </c>
      <c r="O765" s="85">
        <f>7.39*0.065</f>
        <v>0.48035</v>
      </c>
      <c r="P765" s="94">
        <f>(2.32*0.065)+(2.3165*0.065)</f>
        <v>0.30137249999999999</v>
      </c>
      <c r="Q765" s="94">
        <f>12.6936*0.065</f>
        <v>0.82508400000000004</v>
      </c>
      <c r="R765" s="94">
        <f>5.41*0.065</f>
        <v>0.35165000000000002</v>
      </c>
      <c r="S765" s="94">
        <f>9.35*0.065</f>
        <v>0.60775000000000001</v>
      </c>
      <c r="T765" s="94">
        <f>16.56*0.065</f>
        <v>1.0764</v>
      </c>
      <c r="U765" s="94">
        <f>4.633*0.065</f>
        <v>0.301145</v>
      </c>
      <c r="V765" s="94">
        <f>5.282*0.065</f>
        <v>0.34333000000000002</v>
      </c>
      <c r="W765" s="94">
        <f>2.851*0.065</f>
        <v>0.18531500000000001</v>
      </c>
      <c r="X765" s="94">
        <v>0</v>
      </c>
      <c r="Y765" s="94">
        <f>2.316*0.065</f>
        <v>0.15054000000000001</v>
      </c>
      <c r="Z765" s="94">
        <f>1.668*0.065</f>
        <v>0.10842</v>
      </c>
      <c r="AA765" s="94">
        <f>3.24*0.065</f>
        <v>0.21060000000000001</v>
      </c>
      <c r="AB765" s="94">
        <v>0</v>
      </c>
      <c r="AC765" s="94">
        <f>1.39*0.065</f>
        <v>9.035E-2</v>
      </c>
      <c r="AD765" s="94"/>
    </row>
    <row r="766" spans="1:30">
      <c r="A766" s="82" t="s">
        <v>360</v>
      </c>
      <c r="B766" s="83" t="s">
        <v>594</v>
      </c>
      <c r="C766" s="84" t="s">
        <v>680</v>
      </c>
      <c r="D766" s="84" t="s">
        <v>680</v>
      </c>
      <c r="E766" s="84" t="s">
        <v>680</v>
      </c>
      <c r="F766" s="84" t="s">
        <v>680</v>
      </c>
      <c r="G766" s="84" t="s">
        <v>680</v>
      </c>
      <c r="H766" s="85">
        <f>95*0.055</f>
        <v>5.2249999999999996</v>
      </c>
      <c r="I766" s="85">
        <f>120*0.055</f>
        <v>6.6</v>
      </c>
      <c r="J766" s="85">
        <f>120.4*0.055</f>
        <v>6.6220000000000008</v>
      </c>
      <c r="K766" s="85">
        <v>0</v>
      </c>
      <c r="L766" s="85">
        <f>173.7*0.055</f>
        <v>9.5534999999999997</v>
      </c>
      <c r="M766" s="85">
        <f>252.77*0.055</f>
        <v>13.90235</v>
      </c>
      <c r="N766" s="85">
        <v>8.9507000000000012</v>
      </c>
      <c r="O766" s="85">
        <f>(177.16-19.58)*0.055</f>
        <v>8.6669</v>
      </c>
      <c r="P766" s="94">
        <f>(121.08*0.055)+(0.0053*0.055)+(3.1075*0.055)</f>
        <v>6.8306040000000001</v>
      </c>
      <c r="Q766" s="94">
        <f>(131.13+17.028)*0.055</f>
        <v>8.1486900000000002</v>
      </c>
      <c r="R766" s="94">
        <f>(134.25-0.41)*0.055</f>
        <v>7.3612000000000002</v>
      </c>
      <c r="S766" s="94">
        <f>(212.09-2.79)*0.055</f>
        <v>11.5115</v>
      </c>
      <c r="T766" s="94">
        <f>(170.85-1.77)*0.055</f>
        <v>9.2993999999999986</v>
      </c>
      <c r="U766" s="94">
        <f>137.21*0.055</f>
        <v>7.5465500000000008</v>
      </c>
      <c r="V766" s="94">
        <f>133.22*0.055</f>
        <v>7.3270999999999997</v>
      </c>
      <c r="W766" s="94">
        <f>114.522*0.055</f>
        <v>6.2987100000000007</v>
      </c>
      <c r="X766" s="94">
        <f>107.823*0.055</f>
        <v>5.9302649999999995</v>
      </c>
      <c r="Y766" s="94">
        <f>109.882*0.055</f>
        <v>6.0435100000000004</v>
      </c>
      <c r="Z766" s="94">
        <f>113.784*0.055</f>
        <v>6.2581200000000008</v>
      </c>
      <c r="AA766" s="94">
        <f>108.73*0.055</f>
        <v>5.9801500000000001</v>
      </c>
      <c r="AB766" s="94">
        <f>95.581*0.055</f>
        <v>5.2569550000000005</v>
      </c>
      <c r="AC766" s="94">
        <f>81.465*0.055</f>
        <v>4.480575</v>
      </c>
      <c r="AD766" s="94"/>
    </row>
    <row r="767" spans="1:30">
      <c r="A767" s="82" t="s">
        <v>360</v>
      </c>
      <c r="B767" s="87" t="s">
        <v>643</v>
      </c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>
        <v>0</v>
      </c>
      <c r="O767" s="85">
        <v>0</v>
      </c>
      <c r="P767" s="85">
        <v>0</v>
      </c>
      <c r="Q767" s="85">
        <v>0</v>
      </c>
      <c r="R767" s="85">
        <v>0</v>
      </c>
      <c r="S767" s="85">
        <v>0</v>
      </c>
      <c r="T767" s="85">
        <v>0</v>
      </c>
      <c r="U767" s="85">
        <v>0</v>
      </c>
      <c r="V767" s="85">
        <v>0</v>
      </c>
      <c r="W767" s="85">
        <v>0</v>
      </c>
      <c r="X767" s="85">
        <v>0</v>
      </c>
      <c r="Y767" s="85">
        <v>0</v>
      </c>
      <c r="Z767" s="85">
        <v>0</v>
      </c>
      <c r="AA767" s="85">
        <v>0</v>
      </c>
      <c r="AB767" s="85">
        <v>0</v>
      </c>
      <c r="AC767" s="85">
        <v>0</v>
      </c>
      <c r="AD767" s="85"/>
    </row>
    <row r="768" spans="1:30">
      <c r="A768" s="82" t="s">
        <v>556</v>
      </c>
      <c r="B768" s="83" t="s">
        <v>597</v>
      </c>
      <c r="C768" s="85">
        <v>0</v>
      </c>
      <c r="D768" s="85">
        <v>0</v>
      </c>
      <c r="E768" s="85">
        <v>0</v>
      </c>
      <c r="F768" s="85">
        <v>0</v>
      </c>
      <c r="G768" s="85">
        <v>0</v>
      </c>
      <c r="H768" s="85">
        <v>0</v>
      </c>
      <c r="I768" s="85">
        <v>0</v>
      </c>
      <c r="J768" s="85">
        <v>0</v>
      </c>
      <c r="K768" s="85">
        <v>0</v>
      </c>
      <c r="L768" s="85">
        <v>0</v>
      </c>
      <c r="M768" s="85"/>
      <c r="N768" s="85">
        <v>0</v>
      </c>
      <c r="O768" s="85">
        <v>0</v>
      </c>
      <c r="P768" s="85">
        <v>0</v>
      </c>
      <c r="Q768" s="85">
        <v>0</v>
      </c>
      <c r="R768" s="85">
        <v>0</v>
      </c>
      <c r="S768" s="85">
        <v>0</v>
      </c>
      <c r="T768" s="85">
        <v>0</v>
      </c>
      <c r="U768" s="85">
        <v>0</v>
      </c>
      <c r="V768" s="85">
        <v>0</v>
      </c>
      <c r="W768" s="85">
        <v>0</v>
      </c>
      <c r="X768" s="85">
        <v>0</v>
      </c>
      <c r="Y768" s="85">
        <v>0</v>
      </c>
      <c r="Z768" s="85">
        <v>0</v>
      </c>
      <c r="AA768" s="85">
        <v>0</v>
      </c>
      <c r="AB768" s="85">
        <v>0</v>
      </c>
      <c r="AC768" s="85">
        <v>0</v>
      </c>
      <c r="AD768" s="85"/>
    </row>
    <row r="769" spans="1:30">
      <c r="A769" s="82" t="s">
        <v>556</v>
      </c>
      <c r="B769" s="83" t="s">
        <v>600</v>
      </c>
      <c r="C769" s="85">
        <v>0</v>
      </c>
      <c r="D769" s="85">
        <v>0</v>
      </c>
      <c r="E769" s="85">
        <v>0</v>
      </c>
      <c r="F769" s="85">
        <v>0</v>
      </c>
      <c r="G769" s="85">
        <v>0</v>
      </c>
      <c r="H769" s="85">
        <v>0</v>
      </c>
      <c r="I769" s="85">
        <v>0</v>
      </c>
      <c r="J769" s="85">
        <v>0</v>
      </c>
      <c r="K769" s="85">
        <v>0</v>
      </c>
      <c r="L769" s="85">
        <v>0</v>
      </c>
      <c r="M769" s="85"/>
      <c r="N769" s="85">
        <v>0</v>
      </c>
      <c r="O769" s="85">
        <v>0</v>
      </c>
      <c r="P769" s="85">
        <v>0</v>
      </c>
      <c r="Q769" s="85">
        <v>0</v>
      </c>
      <c r="R769" s="85">
        <v>0</v>
      </c>
      <c r="S769" s="85">
        <v>0</v>
      </c>
      <c r="T769" s="85">
        <v>0</v>
      </c>
      <c r="U769" s="85">
        <v>0</v>
      </c>
      <c r="V769" s="85">
        <v>0</v>
      </c>
      <c r="W769" s="85">
        <v>0</v>
      </c>
      <c r="X769" s="85">
        <v>0</v>
      </c>
      <c r="Y769" s="85">
        <v>0</v>
      </c>
      <c r="Z769" s="85">
        <v>0</v>
      </c>
      <c r="AA769" s="85">
        <v>0</v>
      </c>
      <c r="AB769" s="85">
        <v>0</v>
      </c>
      <c r="AC769" s="85">
        <v>0</v>
      </c>
      <c r="AD769" s="85"/>
    </row>
    <row r="770" spans="1:30">
      <c r="A770" s="82" t="s">
        <v>556</v>
      </c>
      <c r="B770" s="83" t="s">
        <v>595</v>
      </c>
      <c r="C770" s="85">
        <v>0</v>
      </c>
      <c r="D770" s="85">
        <v>0</v>
      </c>
      <c r="E770" s="85">
        <v>0</v>
      </c>
      <c r="F770" s="85">
        <v>0</v>
      </c>
      <c r="G770" s="85">
        <v>0</v>
      </c>
      <c r="H770" s="85">
        <v>0</v>
      </c>
      <c r="I770" s="85">
        <v>0</v>
      </c>
      <c r="J770" s="85">
        <v>0</v>
      </c>
      <c r="K770" s="85">
        <f>0.16*0.11</f>
        <v>1.7600000000000001E-2</v>
      </c>
      <c r="L770" s="85">
        <v>3.0800000000000001E-2</v>
      </c>
      <c r="M770" s="85"/>
      <c r="N770" s="85">
        <v>0</v>
      </c>
      <c r="O770" s="85">
        <f>0.4*0.11</f>
        <v>4.4000000000000004E-2</v>
      </c>
      <c r="P770" s="85">
        <f>0.42*0.11</f>
        <v>4.6199999999999998E-2</v>
      </c>
      <c r="Q770" s="85">
        <f>0.42*0.11</f>
        <v>4.6199999999999998E-2</v>
      </c>
      <c r="R770" s="85">
        <v>0</v>
      </c>
      <c r="S770" s="85">
        <f>0.15*0.11</f>
        <v>1.6500000000000001E-2</v>
      </c>
      <c r="T770" s="85">
        <v>0</v>
      </c>
      <c r="U770" s="85">
        <v>0</v>
      </c>
      <c r="V770" s="85">
        <v>0</v>
      </c>
      <c r="W770" s="85">
        <v>0</v>
      </c>
      <c r="X770" s="85">
        <v>0</v>
      </c>
      <c r="Y770" s="85">
        <v>0</v>
      </c>
      <c r="Z770" s="85">
        <v>0</v>
      </c>
      <c r="AA770" s="85">
        <v>0</v>
      </c>
      <c r="AB770" s="85">
        <v>0</v>
      </c>
      <c r="AC770" s="85">
        <v>0</v>
      </c>
      <c r="AD770" s="85"/>
    </row>
    <row r="771" spans="1:30">
      <c r="A771" s="82" t="s">
        <v>556</v>
      </c>
      <c r="B771" s="83" t="s">
        <v>596</v>
      </c>
      <c r="C771" s="85">
        <v>0</v>
      </c>
      <c r="D771" s="85">
        <v>0</v>
      </c>
      <c r="E771" s="85">
        <v>0</v>
      </c>
      <c r="F771" s="85">
        <v>0</v>
      </c>
      <c r="G771" s="85">
        <v>0</v>
      </c>
      <c r="H771" s="85">
        <v>0</v>
      </c>
      <c r="I771" s="85">
        <v>0</v>
      </c>
      <c r="J771" s="85">
        <v>0</v>
      </c>
      <c r="K771" s="85">
        <v>0</v>
      </c>
      <c r="L771" s="85">
        <v>8.4499999999999992E-3</v>
      </c>
      <c r="M771" s="85"/>
      <c r="N771" s="85">
        <v>1.3650000000000001E-2</v>
      </c>
      <c r="O771" s="85">
        <f>0.21*0.065</f>
        <v>1.3650000000000001E-2</v>
      </c>
      <c r="P771" s="85">
        <f>0.2*0.065</f>
        <v>1.3000000000000001E-2</v>
      </c>
      <c r="Q771" s="85">
        <f>0.2*0.065</f>
        <v>1.3000000000000001E-2</v>
      </c>
      <c r="R771" s="85">
        <v>0</v>
      </c>
      <c r="S771" s="85">
        <v>0</v>
      </c>
      <c r="T771" s="85">
        <v>0</v>
      </c>
      <c r="U771" s="85">
        <v>0</v>
      </c>
      <c r="V771" s="85">
        <v>0</v>
      </c>
      <c r="W771" s="85">
        <v>0</v>
      </c>
      <c r="X771" s="85">
        <v>0</v>
      </c>
      <c r="Y771" s="85">
        <v>0</v>
      </c>
      <c r="Z771" s="85">
        <v>0</v>
      </c>
      <c r="AA771" s="85">
        <v>0</v>
      </c>
      <c r="AB771" s="85">
        <v>0</v>
      </c>
      <c r="AC771" s="85">
        <v>0</v>
      </c>
      <c r="AD771" s="85"/>
    </row>
    <row r="772" spans="1:30">
      <c r="A772" s="82" t="s">
        <v>556</v>
      </c>
      <c r="B772" s="83" t="s">
        <v>594</v>
      </c>
      <c r="C772" s="85">
        <f>2.54*0.055</f>
        <v>0.13969999999999999</v>
      </c>
      <c r="D772" s="85">
        <f>2.91*0.055</f>
        <v>0.16005</v>
      </c>
      <c r="E772" s="85">
        <f>8.16*0.055</f>
        <v>0.44880000000000003</v>
      </c>
      <c r="F772" s="85">
        <f>12.78*0.055</f>
        <v>0.70289999999999997</v>
      </c>
      <c r="G772" s="85">
        <f>8.7*0.055</f>
        <v>0.47849999999999998</v>
      </c>
      <c r="H772" s="85">
        <f>1.2286*0.055</f>
        <v>6.7572999999999994E-2</v>
      </c>
      <c r="I772" s="85">
        <f>2.63*0.055</f>
        <v>0.14465</v>
      </c>
      <c r="J772" s="85">
        <f>12.45*0.055</f>
        <v>0.68474999999999997</v>
      </c>
      <c r="K772" s="85">
        <f>8.9*0.055</f>
        <v>0.48950000000000005</v>
      </c>
      <c r="L772" s="85">
        <v>0.46310000000000001</v>
      </c>
      <c r="M772" s="85"/>
      <c r="N772" s="85">
        <v>0.57585000000000008</v>
      </c>
      <c r="O772" s="85">
        <f>41.88*0.055</f>
        <v>2.3034000000000003</v>
      </c>
      <c r="P772" s="85">
        <f>9.76*0.055</f>
        <v>0.53679999999999994</v>
      </c>
      <c r="Q772" s="85">
        <f>25.4*0.055</f>
        <v>1.397</v>
      </c>
      <c r="R772" s="85">
        <f>23.95*0.055</f>
        <v>1.31725</v>
      </c>
      <c r="S772" s="85">
        <f>(18.63-2.04)*0.055</f>
        <v>0.91244999999999998</v>
      </c>
      <c r="T772" s="85">
        <f>10.085*0.055</f>
        <v>0.55467500000000003</v>
      </c>
      <c r="U772" s="94">
        <f>10.085*0.055</f>
        <v>0.55467500000000003</v>
      </c>
      <c r="V772" s="94">
        <f>7.83*0.055</f>
        <v>0.43065000000000003</v>
      </c>
      <c r="W772" s="94">
        <f>5.93*0.055</f>
        <v>0.32615</v>
      </c>
      <c r="X772" s="94">
        <f>6.09*0.055</f>
        <v>0.33494999999999997</v>
      </c>
      <c r="Y772" s="94">
        <f>5.99*0.055</f>
        <v>0.32945000000000002</v>
      </c>
      <c r="Z772" s="94">
        <f>1.2*0.055</f>
        <v>6.6000000000000003E-2</v>
      </c>
      <c r="AA772" s="94">
        <v>0</v>
      </c>
      <c r="AB772" s="85">
        <v>0</v>
      </c>
      <c r="AC772" s="85">
        <v>0</v>
      </c>
      <c r="AD772" s="94"/>
    </row>
    <row r="773" spans="1:30">
      <c r="A773" s="82" t="s">
        <v>556</v>
      </c>
      <c r="B773" s="87" t="s">
        <v>643</v>
      </c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>
        <v>0</v>
      </c>
      <c r="O773" s="85">
        <v>0</v>
      </c>
      <c r="P773" s="85">
        <v>0</v>
      </c>
      <c r="Q773" s="85">
        <v>0</v>
      </c>
      <c r="R773" s="85">
        <v>0</v>
      </c>
      <c r="S773" s="85">
        <v>0</v>
      </c>
      <c r="T773" s="85">
        <v>0</v>
      </c>
      <c r="U773" s="85">
        <v>0</v>
      </c>
      <c r="V773" s="85">
        <v>0</v>
      </c>
      <c r="W773" s="85">
        <v>0</v>
      </c>
      <c r="X773" s="85">
        <v>0</v>
      </c>
      <c r="Y773" s="85">
        <v>0</v>
      </c>
      <c r="Z773" s="85">
        <v>0</v>
      </c>
      <c r="AA773" s="85">
        <v>0</v>
      </c>
      <c r="AB773" s="85">
        <v>0</v>
      </c>
      <c r="AC773" s="85">
        <v>0</v>
      </c>
      <c r="AD773" s="85"/>
    </row>
    <row r="774" spans="1:30">
      <c r="A774" s="82" t="s">
        <v>775</v>
      </c>
      <c r="B774" s="83" t="s">
        <v>597</v>
      </c>
      <c r="C774" s="88">
        <v>0</v>
      </c>
      <c r="D774" s="88">
        <v>0</v>
      </c>
      <c r="E774" s="88">
        <v>0</v>
      </c>
      <c r="F774" s="88">
        <v>0</v>
      </c>
      <c r="G774" s="88">
        <v>0</v>
      </c>
      <c r="H774" s="88">
        <v>0</v>
      </c>
      <c r="I774" s="88">
        <v>0</v>
      </c>
      <c r="J774" s="88">
        <v>0</v>
      </c>
      <c r="K774" s="85"/>
      <c r="L774" s="85">
        <v>0</v>
      </c>
      <c r="M774" s="85"/>
      <c r="N774" s="85">
        <v>0</v>
      </c>
      <c r="O774" s="85">
        <v>0</v>
      </c>
      <c r="P774" s="85">
        <v>0</v>
      </c>
      <c r="Q774" s="85"/>
      <c r="R774" s="85">
        <v>0</v>
      </c>
      <c r="S774" s="85">
        <v>0</v>
      </c>
      <c r="T774" s="85">
        <v>0</v>
      </c>
      <c r="U774" s="85">
        <v>0</v>
      </c>
      <c r="V774" s="85">
        <v>0</v>
      </c>
      <c r="W774" s="85">
        <v>0</v>
      </c>
      <c r="X774" s="85">
        <v>0</v>
      </c>
      <c r="Y774" s="85">
        <v>0</v>
      </c>
      <c r="Z774" s="85">
        <v>0</v>
      </c>
      <c r="AA774" s="85">
        <v>0</v>
      </c>
      <c r="AB774" s="85">
        <v>0</v>
      </c>
      <c r="AC774" s="85">
        <v>0</v>
      </c>
      <c r="AD774" s="85"/>
    </row>
    <row r="775" spans="1:30">
      <c r="A775" s="82" t="s">
        <v>775</v>
      </c>
      <c r="B775" s="83" t="s">
        <v>600</v>
      </c>
      <c r="C775" s="85">
        <v>0</v>
      </c>
      <c r="D775" s="85">
        <v>0</v>
      </c>
      <c r="E775" s="85">
        <v>0</v>
      </c>
      <c r="F775" s="85">
        <v>0</v>
      </c>
      <c r="G775" s="85">
        <v>0</v>
      </c>
      <c r="H775" s="85">
        <v>0</v>
      </c>
      <c r="I775" s="85">
        <v>0</v>
      </c>
      <c r="J775" s="85">
        <v>0</v>
      </c>
      <c r="K775" s="85"/>
      <c r="L775" s="85">
        <v>0</v>
      </c>
      <c r="M775" s="85"/>
      <c r="N775" s="85">
        <v>0</v>
      </c>
      <c r="O775" s="85">
        <v>0</v>
      </c>
      <c r="P775" s="85">
        <v>0</v>
      </c>
      <c r="Q775" s="85"/>
      <c r="R775" s="85">
        <v>0</v>
      </c>
      <c r="S775" s="85">
        <v>0</v>
      </c>
      <c r="T775" s="85">
        <v>0</v>
      </c>
      <c r="U775" s="85">
        <v>0</v>
      </c>
      <c r="V775" s="85">
        <v>0</v>
      </c>
      <c r="W775" s="85">
        <v>0</v>
      </c>
      <c r="X775" s="85">
        <v>0</v>
      </c>
      <c r="Y775" s="85">
        <v>0</v>
      </c>
      <c r="Z775" s="85">
        <v>0</v>
      </c>
      <c r="AA775" s="85">
        <v>0</v>
      </c>
      <c r="AB775" s="85">
        <v>0</v>
      </c>
      <c r="AC775" s="85">
        <v>0</v>
      </c>
      <c r="AD775" s="85"/>
    </row>
    <row r="776" spans="1:30">
      <c r="A776" s="82" t="s">
        <v>775</v>
      </c>
      <c r="B776" s="83" t="s">
        <v>595</v>
      </c>
      <c r="C776" s="88">
        <v>0</v>
      </c>
      <c r="D776" s="88">
        <v>0</v>
      </c>
      <c r="E776" s="88">
        <v>0</v>
      </c>
      <c r="F776" s="88">
        <v>0</v>
      </c>
      <c r="G776" s="88">
        <v>0</v>
      </c>
      <c r="H776" s="88">
        <v>0</v>
      </c>
      <c r="I776" s="88">
        <v>0</v>
      </c>
      <c r="J776" s="88">
        <v>0</v>
      </c>
      <c r="K776" s="85"/>
      <c r="L776" s="85">
        <v>0</v>
      </c>
      <c r="M776" s="85"/>
      <c r="N776" s="85">
        <v>0</v>
      </c>
      <c r="O776" s="85">
        <v>0</v>
      </c>
      <c r="P776" s="85">
        <v>0</v>
      </c>
      <c r="Q776" s="85"/>
      <c r="R776" s="85">
        <v>0</v>
      </c>
      <c r="S776" s="85">
        <v>0</v>
      </c>
      <c r="T776" s="85">
        <v>0</v>
      </c>
      <c r="U776" s="85">
        <v>0</v>
      </c>
      <c r="V776" s="85">
        <v>0</v>
      </c>
      <c r="W776" s="85">
        <v>0</v>
      </c>
      <c r="X776" s="85">
        <v>0</v>
      </c>
      <c r="Y776" s="85">
        <v>0</v>
      </c>
      <c r="Z776" s="85">
        <v>0</v>
      </c>
      <c r="AA776" s="85">
        <v>0</v>
      </c>
      <c r="AB776" s="85">
        <v>0</v>
      </c>
      <c r="AC776" s="85">
        <v>0</v>
      </c>
      <c r="AD776" s="85"/>
    </row>
    <row r="777" spans="1:30">
      <c r="A777" s="82" t="s">
        <v>775</v>
      </c>
      <c r="B777" s="83" t="s">
        <v>596</v>
      </c>
      <c r="C777" s="88">
        <v>0</v>
      </c>
      <c r="D777" s="88">
        <v>0</v>
      </c>
      <c r="E777" s="88">
        <v>0</v>
      </c>
      <c r="F777" s="88">
        <v>0</v>
      </c>
      <c r="G777" s="88">
        <v>0</v>
      </c>
      <c r="H777" s="88">
        <v>0</v>
      </c>
      <c r="I777" s="88">
        <v>0</v>
      </c>
      <c r="J777" s="88">
        <v>0</v>
      </c>
      <c r="K777" s="85"/>
      <c r="L777" s="85">
        <v>0</v>
      </c>
      <c r="M777" s="85"/>
      <c r="N777" s="85">
        <v>0</v>
      </c>
      <c r="O777" s="85">
        <v>0</v>
      </c>
      <c r="P777" s="85">
        <v>0</v>
      </c>
      <c r="Q777" s="85"/>
      <c r="R777" s="85">
        <v>0</v>
      </c>
      <c r="S777" s="85">
        <v>0</v>
      </c>
      <c r="T777" s="85">
        <v>0</v>
      </c>
      <c r="U777" s="85">
        <v>0</v>
      </c>
      <c r="V777" s="85">
        <v>0</v>
      </c>
      <c r="W777" s="85">
        <v>0</v>
      </c>
      <c r="X777" s="85">
        <v>0</v>
      </c>
      <c r="Y777" s="85">
        <v>0</v>
      </c>
      <c r="Z777" s="85">
        <v>0</v>
      </c>
      <c r="AA777" s="85">
        <v>0</v>
      </c>
      <c r="AB777" s="85">
        <v>0</v>
      </c>
      <c r="AC777" s="85">
        <v>0</v>
      </c>
      <c r="AD777" s="85"/>
    </row>
    <row r="778" spans="1:30">
      <c r="A778" s="82" t="s">
        <v>775</v>
      </c>
      <c r="B778" s="83" t="s">
        <v>594</v>
      </c>
      <c r="C778" s="88">
        <f>26.92*0.055</f>
        <v>1.4806000000000001</v>
      </c>
      <c r="D778" s="88">
        <f>39.02*0.055</f>
        <v>2.1461000000000001</v>
      </c>
      <c r="E778" s="88">
        <f>39.51*0.055</f>
        <v>2.1730499999999999</v>
      </c>
      <c r="F778" s="88">
        <f>34*0.055</f>
        <v>1.87</v>
      </c>
      <c r="G778" s="88">
        <f>32*0.055</f>
        <v>1.76</v>
      </c>
      <c r="H778" s="88">
        <f>29.8*0.055</f>
        <v>1.639</v>
      </c>
      <c r="I778" s="88">
        <f>34.14*0.055</f>
        <v>1.8777000000000001</v>
      </c>
      <c r="J778" s="88">
        <f>39.7*0.055</f>
        <v>2.1835</v>
      </c>
      <c r="K778" s="85"/>
      <c r="L778" s="85">
        <f>29.8*0.055</f>
        <v>1.639</v>
      </c>
      <c r="M778" s="85"/>
      <c r="N778" s="85">
        <f>25*0.055</f>
        <v>1.375</v>
      </c>
      <c r="O778" s="85">
        <f>28*0.055</f>
        <v>1.54</v>
      </c>
      <c r="P778" s="85">
        <f>26*0.055</f>
        <v>1.43</v>
      </c>
      <c r="Q778" s="85"/>
      <c r="R778" s="85">
        <f>32.73*0.055</f>
        <v>1.8001499999999999</v>
      </c>
      <c r="S778" s="85">
        <f>34*0.055</f>
        <v>1.87</v>
      </c>
      <c r="T778" s="85">
        <f>47*0.055</f>
        <v>2.585</v>
      </c>
      <c r="U778" s="85">
        <f>15.2*0.055</f>
        <v>0.83599999999999997</v>
      </c>
      <c r="V778" s="85">
        <f>26.7*0.055</f>
        <v>1.4684999999999999</v>
      </c>
      <c r="W778" s="85">
        <f>18.02*0.055</f>
        <v>0.99109999999999998</v>
      </c>
      <c r="X778" s="85">
        <f>11*0.055</f>
        <v>0.60499999999999998</v>
      </c>
      <c r="Y778" s="85">
        <f>10.35*0.055</f>
        <v>0.56925000000000003</v>
      </c>
      <c r="Z778" s="85">
        <f>10.275*0.055</f>
        <v>0.56512499999999999</v>
      </c>
      <c r="AA778" s="85">
        <f>10.252*0.055</f>
        <v>0.56386000000000003</v>
      </c>
      <c r="AB778" s="85">
        <f>10.24*0.055</f>
        <v>0.56320000000000003</v>
      </c>
      <c r="AC778" s="85">
        <f>10.19*0.055</f>
        <v>0.56045</v>
      </c>
      <c r="AD778" s="85"/>
    </row>
    <row r="779" spans="1:30">
      <c r="A779" s="82" t="s">
        <v>775</v>
      </c>
      <c r="B779" s="87" t="s">
        <v>643</v>
      </c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>
        <v>0</v>
      </c>
      <c r="O779" s="85">
        <v>0</v>
      </c>
      <c r="P779" s="85">
        <v>0</v>
      </c>
      <c r="Q779" s="85"/>
      <c r="R779" s="85">
        <v>0</v>
      </c>
      <c r="S779" s="85">
        <v>0</v>
      </c>
      <c r="T779" s="85">
        <v>0</v>
      </c>
      <c r="U779" s="85">
        <v>0</v>
      </c>
      <c r="V779" s="85">
        <v>0</v>
      </c>
      <c r="W779" s="85">
        <v>0</v>
      </c>
      <c r="X779" s="85">
        <v>0</v>
      </c>
      <c r="Y779" s="85">
        <v>0</v>
      </c>
      <c r="Z779" s="85">
        <v>0</v>
      </c>
      <c r="AA779" s="85">
        <v>0</v>
      </c>
      <c r="AB779" s="85">
        <v>0</v>
      </c>
      <c r="AC779" s="85">
        <v>0</v>
      </c>
      <c r="AD779" s="85"/>
    </row>
    <row r="780" spans="1:30">
      <c r="A780" s="82" t="s">
        <v>557</v>
      </c>
      <c r="B780" s="83" t="s">
        <v>597</v>
      </c>
      <c r="C780" s="84" t="s">
        <v>680</v>
      </c>
      <c r="D780" s="84" t="s">
        <v>680</v>
      </c>
      <c r="E780" s="84" t="s">
        <v>680</v>
      </c>
      <c r="F780" s="84" t="s">
        <v>680</v>
      </c>
      <c r="G780" s="84" t="s">
        <v>680</v>
      </c>
      <c r="H780" s="84" t="s">
        <v>680</v>
      </c>
      <c r="I780" s="84" t="s">
        <v>680</v>
      </c>
      <c r="J780" s="84" t="s">
        <v>680</v>
      </c>
      <c r="K780" s="84" t="s">
        <v>680</v>
      </c>
      <c r="L780" s="85">
        <v>0</v>
      </c>
      <c r="M780" s="85">
        <v>0</v>
      </c>
      <c r="N780" s="85">
        <v>0</v>
      </c>
      <c r="O780" s="85">
        <v>0</v>
      </c>
      <c r="P780" s="85">
        <v>0</v>
      </c>
      <c r="Q780" s="85">
        <v>0</v>
      </c>
      <c r="R780" s="85">
        <v>0</v>
      </c>
      <c r="S780" s="85">
        <v>0</v>
      </c>
      <c r="T780" s="85">
        <v>0</v>
      </c>
      <c r="U780" s="85">
        <v>0</v>
      </c>
      <c r="V780" s="85">
        <v>0</v>
      </c>
      <c r="W780" s="85">
        <v>0</v>
      </c>
      <c r="X780" s="85">
        <v>0</v>
      </c>
      <c r="Y780" s="85">
        <v>0</v>
      </c>
      <c r="Z780" s="85">
        <v>0</v>
      </c>
      <c r="AA780" s="85">
        <v>0</v>
      </c>
      <c r="AB780" s="85">
        <v>0</v>
      </c>
      <c r="AC780" s="85">
        <v>0</v>
      </c>
      <c r="AD780" s="85"/>
    </row>
    <row r="781" spans="1:30">
      <c r="A781" s="82" t="s">
        <v>557</v>
      </c>
      <c r="B781" s="83" t="s">
        <v>600</v>
      </c>
      <c r="C781" s="84" t="s">
        <v>680</v>
      </c>
      <c r="D781" s="84" t="s">
        <v>680</v>
      </c>
      <c r="E781" s="84" t="s">
        <v>680</v>
      </c>
      <c r="F781" s="84" t="s">
        <v>680</v>
      </c>
      <c r="G781" s="84" t="s">
        <v>680</v>
      </c>
      <c r="H781" s="84" t="s">
        <v>680</v>
      </c>
      <c r="I781" s="84" t="s">
        <v>680</v>
      </c>
      <c r="J781" s="84" t="s">
        <v>680</v>
      </c>
      <c r="K781" s="84" t="s">
        <v>680</v>
      </c>
      <c r="L781" s="85">
        <v>0</v>
      </c>
      <c r="M781" s="85">
        <v>0</v>
      </c>
      <c r="N781" s="85">
        <v>0</v>
      </c>
      <c r="O781" s="85">
        <v>0</v>
      </c>
      <c r="P781" s="85">
        <v>0</v>
      </c>
      <c r="Q781" s="85">
        <v>0</v>
      </c>
      <c r="R781" s="85">
        <v>0</v>
      </c>
      <c r="S781" s="85">
        <v>0</v>
      </c>
      <c r="T781" s="85">
        <v>0</v>
      </c>
      <c r="U781" s="85">
        <v>0</v>
      </c>
      <c r="V781" s="85">
        <v>0</v>
      </c>
      <c r="W781" s="85">
        <v>0</v>
      </c>
      <c r="X781" s="85">
        <v>0</v>
      </c>
      <c r="Y781" s="85">
        <v>0</v>
      </c>
      <c r="Z781" s="85">
        <v>0</v>
      </c>
      <c r="AA781" s="85">
        <v>0</v>
      </c>
      <c r="AB781" s="85">
        <v>0</v>
      </c>
      <c r="AC781" s="85">
        <v>0</v>
      </c>
      <c r="AD781" s="85"/>
    </row>
    <row r="782" spans="1:30">
      <c r="A782" s="82" t="s">
        <v>557</v>
      </c>
      <c r="B782" s="83" t="s">
        <v>595</v>
      </c>
      <c r="C782" s="84" t="s">
        <v>680</v>
      </c>
      <c r="D782" s="84" t="s">
        <v>680</v>
      </c>
      <c r="E782" s="84" t="s">
        <v>680</v>
      </c>
      <c r="F782" s="84" t="s">
        <v>680</v>
      </c>
      <c r="G782" s="84" t="s">
        <v>680</v>
      </c>
      <c r="H782" s="84" t="s">
        <v>680</v>
      </c>
      <c r="I782" s="84" t="s">
        <v>680</v>
      </c>
      <c r="J782" s="84" t="s">
        <v>680</v>
      </c>
      <c r="K782" s="84" t="s">
        <v>680</v>
      </c>
      <c r="L782" s="85">
        <v>0</v>
      </c>
      <c r="M782" s="85">
        <v>0</v>
      </c>
      <c r="N782" s="85">
        <v>0</v>
      </c>
      <c r="O782" s="85">
        <v>0</v>
      </c>
      <c r="P782" s="85">
        <v>0</v>
      </c>
      <c r="Q782" s="85">
        <v>0</v>
      </c>
      <c r="R782" s="85">
        <v>0</v>
      </c>
      <c r="S782" s="85">
        <v>0</v>
      </c>
      <c r="T782" s="85">
        <v>0</v>
      </c>
      <c r="U782" s="85">
        <v>0</v>
      </c>
      <c r="V782" s="85">
        <v>0</v>
      </c>
      <c r="W782" s="85">
        <v>0</v>
      </c>
      <c r="X782" s="85">
        <v>0</v>
      </c>
      <c r="Y782" s="85">
        <v>0</v>
      </c>
      <c r="Z782" s="85">
        <v>0</v>
      </c>
      <c r="AA782" s="85">
        <v>0</v>
      </c>
      <c r="AB782" s="85">
        <v>0</v>
      </c>
      <c r="AC782" s="85">
        <v>0</v>
      </c>
      <c r="AD782" s="85"/>
    </row>
    <row r="783" spans="1:30">
      <c r="A783" s="82" t="s">
        <v>557</v>
      </c>
      <c r="B783" s="83" t="s">
        <v>596</v>
      </c>
      <c r="C783" s="84" t="s">
        <v>680</v>
      </c>
      <c r="D783" s="84" t="s">
        <v>680</v>
      </c>
      <c r="E783" s="84" t="s">
        <v>680</v>
      </c>
      <c r="F783" s="84" t="s">
        <v>680</v>
      </c>
      <c r="G783" s="84" t="s">
        <v>680</v>
      </c>
      <c r="H783" s="84" t="s">
        <v>680</v>
      </c>
      <c r="I783" s="84" t="s">
        <v>680</v>
      </c>
      <c r="J783" s="84" t="s">
        <v>680</v>
      </c>
      <c r="K783" s="84" t="s">
        <v>680</v>
      </c>
      <c r="L783" s="85">
        <v>0</v>
      </c>
      <c r="M783" s="85">
        <v>0</v>
      </c>
      <c r="N783" s="85">
        <v>0</v>
      </c>
      <c r="O783" s="85">
        <v>0</v>
      </c>
      <c r="P783" s="85">
        <v>0</v>
      </c>
      <c r="Q783" s="85">
        <v>0</v>
      </c>
      <c r="R783" s="85">
        <v>0</v>
      </c>
      <c r="S783" s="85">
        <v>0</v>
      </c>
      <c r="T783" s="85">
        <v>0</v>
      </c>
      <c r="U783" s="85">
        <v>0</v>
      </c>
      <c r="V783" s="85">
        <v>0</v>
      </c>
      <c r="W783" s="85">
        <v>0</v>
      </c>
      <c r="X783" s="85">
        <v>0</v>
      </c>
      <c r="Y783" s="85">
        <v>0</v>
      </c>
      <c r="Z783" s="85">
        <v>0</v>
      </c>
      <c r="AA783" s="85">
        <v>0</v>
      </c>
      <c r="AB783" s="85">
        <v>0</v>
      </c>
      <c r="AC783" s="85">
        <v>0</v>
      </c>
      <c r="AD783" s="85"/>
    </row>
    <row r="784" spans="1:30">
      <c r="A784" s="82" t="s">
        <v>557</v>
      </c>
      <c r="B784" s="83" t="s">
        <v>594</v>
      </c>
      <c r="C784" s="84" t="s">
        <v>680</v>
      </c>
      <c r="D784" s="84" t="s">
        <v>680</v>
      </c>
      <c r="E784" s="84" t="s">
        <v>680</v>
      </c>
      <c r="F784" s="84" t="s">
        <v>680</v>
      </c>
      <c r="G784" s="84" t="s">
        <v>680</v>
      </c>
      <c r="H784" s="84" t="s">
        <v>680</v>
      </c>
      <c r="I784" s="84" t="s">
        <v>680</v>
      </c>
      <c r="J784" s="84" t="s">
        <v>680</v>
      </c>
      <c r="K784" s="84" t="s">
        <v>680</v>
      </c>
      <c r="L784" s="85">
        <f>3.67*0.055</f>
        <v>0.20185</v>
      </c>
      <c r="M784" s="85">
        <f>4.22*0.055</f>
        <v>0.2321</v>
      </c>
      <c r="N784" s="85">
        <f>18.79*0.055</f>
        <v>1.03345</v>
      </c>
      <c r="O784" s="85">
        <f>16.94*0.055</f>
        <v>0.93170000000000008</v>
      </c>
      <c r="P784" s="85">
        <f>22.09*0.055</f>
        <v>1.21495</v>
      </c>
      <c r="Q784" s="85">
        <f>28.28*0.055</f>
        <v>1.5554000000000001</v>
      </c>
      <c r="R784" s="85">
        <f>41*0.055</f>
        <v>2.2549999999999999</v>
      </c>
      <c r="S784" s="85">
        <f>34*0.055</f>
        <v>1.87</v>
      </c>
      <c r="T784" s="85">
        <f>29.5*0.055</f>
        <v>1.6225000000000001</v>
      </c>
      <c r="U784" s="85">
        <f>3.11*0.055</f>
        <v>0.17105000000000001</v>
      </c>
      <c r="V784" s="85">
        <f>4.77*0.055</f>
        <v>0.26234999999999997</v>
      </c>
      <c r="W784" s="85">
        <f>1.29*0.055</f>
        <v>7.0949999999999999E-2</v>
      </c>
      <c r="X784" s="85">
        <f>2.17*0.055</f>
        <v>0.11935</v>
      </c>
      <c r="Y784" s="85">
        <f>4.2*0.055</f>
        <v>0.23100000000000001</v>
      </c>
      <c r="Z784" s="85">
        <f>3.63*0.055</f>
        <v>0.19964999999999999</v>
      </c>
      <c r="AA784" s="85">
        <f>1.49*0.055</f>
        <v>8.1949999999999995E-2</v>
      </c>
      <c r="AB784" s="85">
        <f>1.47*0.055</f>
        <v>8.0850000000000005E-2</v>
      </c>
      <c r="AC784" s="85">
        <f>1.408*0.055</f>
        <v>7.7439999999999995E-2</v>
      </c>
      <c r="AD784" s="85"/>
    </row>
    <row r="785" spans="1:30">
      <c r="A785" s="82" t="s">
        <v>557</v>
      </c>
      <c r="B785" s="87" t="s">
        <v>643</v>
      </c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>
        <v>0</v>
      </c>
      <c r="O785" s="85">
        <v>0</v>
      </c>
      <c r="P785" s="85">
        <v>0</v>
      </c>
      <c r="Q785" s="85">
        <v>0</v>
      </c>
      <c r="R785" s="85">
        <v>0</v>
      </c>
      <c r="S785" s="85">
        <v>0</v>
      </c>
      <c r="T785" s="85">
        <v>0</v>
      </c>
      <c r="U785" s="85">
        <v>0</v>
      </c>
      <c r="V785" s="85">
        <v>0</v>
      </c>
      <c r="W785" s="85">
        <v>0</v>
      </c>
      <c r="X785" s="85">
        <v>0</v>
      </c>
      <c r="Y785" s="85">
        <v>0</v>
      </c>
      <c r="Z785" s="85">
        <v>0</v>
      </c>
      <c r="AA785" s="85">
        <v>0</v>
      </c>
      <c r="AB785" s="85">
        <v>0</v>
      </c>
      <c r="AC785" s="85">
        <v>0</v>
      </c>
      <c r="AD785" s="85"/>
    </row>
    <row r="786" spans="1:30">
      <c r="A786" s="82" t="s">
        <v>776</v>
      </c>
      <c r="B786" s="83" t="s">
        <v>597</v>
      </c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>
        <v>0</v>
      </c>
      <c r="R786" s="85">
        <v>0</v>
      </c>
      <c r="S786" s="85">
        <v>0</v>
      </c>
      <c r="T786" s="85">
        <v>0</v>
      </c>
      <c r="U786" s="85">
        <v>0</v>
      </c>
      <c r="V786" s="85">
        <v>0</v>
      </c>
      <c r="W786" s="85">
        <v>0</v>
      </c>
      <c r="X786" s="85">
        <v>0</v>
      </c>
      <c r="Y786" s="85">
        <v>0</v>
      </c>
      <c r="Z786" s="85">
        <v>0</v>
      </c>
      <c r="AA786" s="85">
        <v>0</v>
      </c>
      <c r="AB786" s="85">
        <v>0</v>
      </c>
      <c r="AC786" s="85">
        <v>0</v>
      </c>
      <c r="AD786" s="85"/>
    </row>
    <row r="787" spans="1:30">
      <c r="A787" s="82" t="s">
        <v>776</v>
      </c>
      <c r="B787" s="83" t="s">
        <v>600</v>
      </c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>
        <v>0</v>
      </c>
      <c r="R787" s="85">
        <v>0</v>
      </c>
      <c r="S787" s="85">
        <v>0</v>
      </c>
      <c r="T787" s="85">
        <v>0</v>
      </c>
      <c r="U787" s="85">
        <v>0</v>
      </c>
      <c r="V787" s="85">
        <v>0</v>
      </c>
      <c r="W787" s="85">
        <v>0</v>
      </c>
      <c r="X787" s="85">
        <v>0</v>
      </c>
      <c r="Y787" s="85">
        <v>0</v>
      </c>
      <c r="Z787" s="85">
        <v>0</v>
      </c>
      <c r="AA787" s="85">
        <v>0</v>
      </c>
      <c r="AB787" s="85">
        <v>0</v>
      </c>
      <c r="AC787" s="85">
        <v>0</v>
      </c>
      <c r="AD787" s="85"/>
    </row>
    <row r="788" spans="1:30">
      <c r="A788" s="82" t="s">
        <v>776</v>
      </c>
      <c r="B788" s="83" t="s">
        <v>595</v>
      </c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>
        <f>210*0.11</f>
        <v>23.1</v>
      </c>
      <c r="R788" s="85">
        <f>211.3*0.11</f>
        <v>23.243000000000002</v>
      </c>
      <c r="S788" s="85">
        <f>210.5*0.11</f>
        <v>23.155000000000001</v>
      </c>
      <c r="T788" s="85">
        <f>154.8*0.11</f>
        <v>17.028000000000002</v>
      </c>
      <c r="U788" s="85">
        <f>50.5*0.11</f>
        <v>5.5549999999999997</v>
      </c>
      <c r="V788" s="85">
        <v>0</v>
      </c>
      <c r="W788" s="85">
        <v>0</v>
      </c>
      <c r="X788" s="85">
        <v>0</v>
      </c>
      <c r="Y788" s="85">
        <v>0</v>
      </c>
      <c r="Z788" s="85">
        <v>0</v>
      </c>
      <c r="AA788" s="85">
        <v>0</v>
      </c>
      <c r="AB788" s="85">
        <v>0</v>
      </c>
      <c r="AC788" s="85">
        <v>0</v>
      </c>
      <c r="AD788" s="85"/>
    </row>
    <row r="789" spans="1:30">
      <c r="A789" s="82" t="s">
        <v>776</v>
      </c>
      <c r="B789" s="83" t="s">
        <v>700</v>
      </c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>
        <f>0.8*0.11</f>
        <v>8.8000000000000009E-2</v>
      </c>
      <c r="AC789" s="85">
        <f>0.77*0.11</f>
        <v>8.4699999999999998E-2</v>
      </c>
      <c r="AD789" s="85"/>
    </row>
    <row r="790" spans="1:30">
      <c r="A790" s="82" t="s">
        <v>776</v>
      </c>
      <c r="B790" s="83" t="s">
        <v>596</v>
      </c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>
        <v>0</v>
      </c>
      <c r="R790" s="85">
        <v>0</v>
      </c>
      <c r="S790" s="85">
        <v>0</v>
      </c>
      <c r="T790" s="85">
        <v>0</v>
      </c>
      <c r="U790" s="85">
        <v>0</v>
      </c>
      <c r="V790" s="85">
        <v>0</v>
      </c>
      <c r="W790" s="85">
        <v>0</v>
      </c>
      <c r="X790" s="85">
        <v>0</v>
      </c>
      <c r="Y790" s="85">
        <v>0</v>
      </c>
      <c r="Z790" s="85">
        <v>0</v>
      </c>
      <c r="AA790" s="85">
        <v>0</v>
      </c>
      <c r="AB790" s="85">
        <v>0</v>
      </c>
      <c r="AC790" s="85">
        <v>0</v>
      </c>
      <c r="AD790" s="85"/>
    </row>
    <row r="791" spans="1:30">
      <c r="A791" s="82" t="s">
        <v>776</v>
      </c>
      <c r="B791" s="83" t="s">
        <v>594</v>
      </c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>
        <f>396*0.055</f>
        <v>21.78</v>
      </c>
      <c r="R791" s="85">
        <f>400.5*0.055</f>
        <v>22.0275</v>
      </c>
      <c r="S791" s="85">
        <f>400.8*0.055</f>
        <v>22.044</v>
      </c>
      <c r="T791" s="85">
        <f>320.5*0.055</f>
        <v>17.627500000000001</v>
      </c>
      <c r="U791" s="85">
        <f>198.3*0.055</f>
        <v>10.906500000000001</v>
      </c>
      <c r="V791" s="85">
        <f>298.55*0.055</f>
        <v>16.420249999999999</v>
      </c>
      <c r="W791" s="85">
        <f>289.45*0.055</f>
        <v>15.919749999999999</v>
      </c>
      <c r="X791" s="85">
        <f>280.9*0.055</f>
        <v>15.449499999999999</v>
      </c>
      <c r="Y791" s="85">
        <f>280*0.055</f>
        <v>15.4</v>
      </c>
      <c r="Z791" s="85">
        <f>277.45*0.055</f>
        <v>15.259749999999999</v>
      </c>
      <c r="AA791" s="85">
        <f>237.1*0.055</f>
        <v>13.0405</v>
      </c>
      <c r="AB791" s="85">
        <f>191.8*0.055</f>
        <v>10.549000000000001</v>
      </c>
      <c r="AC791" s="85">
        <f>190*0.055</f>
        <v>10.45</v>
      </c>
      <c r="AD791" s="85"/>
    </row>
    <row r="792" spans="1:30">
      <c r="A792" s="82" t="s">
        <v>776</v>
      </c>
      <c r="B792" s="87" t="s">
        <v>643</v>
      </c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>
        <v>0</v>
      </c>
      <c r="R792" s="85">
        <v>0</v>
      </c>
      <c r="S792" s="85">
        <v>0</v>
      </c>
      <c r="T792" s="85">
        <v>0</v>
      </c>
      <c r="U792" s="85">
        <v>0</v>
      </c>
      <c r="V792" s="85">
        <v>0</v>
      </c>
      <c r="W792" s="85">
        <v>0</v>
      </c>
      <c r="X792" s="85">
        <v>0</v>
      </c>
      <c r="Y792" s="85">
        <v>0</v>
      </c>
      <c r="Z792" s="85">
        <v>0</v>
      </c>
      <c r="AA792" s="85">
        <v>0</v>
      </c>
      <c r="AB792" s="85">
        <v>0</v>
      </c>
      <c r="AC792" s="85">
        <v>0</v>
      </c>
      <c r="AD792" s="85"/>
    </row>
    <row r="793" spans="1:30">
      <c r="A793" s="82" t="s">
        <v>737</v>
      </c>
      <c r="B793" s="83" t="s">
        <v>597</v>
      </c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>
        <f>30*0.02</f>
        <v>0.6</v>
      </c>
      <c r="U793" s="85">
        <f>20*0.02</f>
        <v>0.4</v>
      </c>
      <c r="V793" s="85">
        <f>(67.2-0.6)*0.02</f>
        <v>1.3320000000000003</v>
      </c>
      <c r="W793" s="85">
        <v>0</v>
      </c>
      <c r="X793" s="85">
        <v>0</v>
      </c>
      <c r="Y793" s="85">
        <f>20*0.02</f>
        <v>0.4</v>
      </c>
      <c r="Z793" s="85">
        <f>25.6*0.02</f>
        <v>0.51200000000000001</v>
      </c>
      <c r="AA793" s="85">
        <v>0</v>
      </c>
      <c r="AB793" s="85">
        <f>(32.631-0.63)*0.02</f>
        <v>0.64001999999999992</v>
      </c>
      <c r="AC793" s="85">
        <f>20*0.02</f>
        <v>0.4</v>
      </c>
      <c r="AD793" s="85"/>
    </row>
    <row r="794" spans="1:30">
      <c r="A794" s="82" t="s">
        <v>737</v>
      </c>
      <c r="B794" s="83" t="s">
        <v>600</v>
      </c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>
        <f>5*0.022</f>
        <v>0.10999999999999999</v>
      </c>
      <c r="U794" s="85">
        <v>0</v>
      </c>
      <c r="V794" s="85">
        <v>0</v>
      </c>
      <c r="W794" s="85">
        <v>0</v>
      </c>
      <c r="X794" s="85">
        <v>0</v>
      </c>
      <c r="Y794" s="85">
        <v>0</v>
      </c>
      <c r="Z794" s="85">
        <v>0</v>
      </c>
      <c r="AA794" s="85">
        <v>0</v>
      </c>
      <c r="AB794" s="85">
        <v>0</v>
      </c>
      <c r="AC794" s="85">
        <v>0</v>
      </c>
      <c r="AD794" s="85"/>
    </row>
    <row r="795" spans="1:30">
      <c r="A795" s="82" t="s">
        <v>737</v>
      </c>
      <c r="B795" s="83" t="s">
        <v>595</v>
      </c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>
        <f>1590*0.11</f>
        <v>174.9</v>
      </c>
      <c r="U795" s="85">
        <f>953*0.11</f>
        <v>104.83</v>
      </c>
      <c r="V795" s="85">
        <f>(850.1-0.1)*0.11</f>
        <v>93.5</v>
      </c>
      <c r="W795" s="85">
        <f>(626.5-1)*0.11</f>
        <v>68.805000000000007</v>
      </c>
      <c r="X795" s="85">
        <v>0</v>
      </c>
      <c r="Y795" s="85">
        <v>0</v>
      </c>
      <c r="Z795" s="85">
        <v>0</v>
      </c>
      <c r="AA795" s="85">
        <v>0</v>
      </c>
      <c r="AB795" s="85">
        <v>0</v>
      </c>
      <c r="AC795" s="85">
        <v>0</v>
      </c>
      <c r="AD795" s="85"/>
    </row>
    <row r="796" spans="1:30">
      <c r="A796" s="82" t="s">
        <v>737</v>
      </c>
      <c r="B796" s="83" t="s">
        <v>700</v>
      </c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>
        <f>291*0.11</f>
        <v>32.01</v>
      </c>
      <c r="U796" s="85">
        <v>0</v>
      </c>
      <c r="V796" s="85">
        <v>0</v>
      </c>
      <c r="W796" s="85">
        <v>0</v>
      </c>
      <c r="X796" s="85">
        <v>0</v>
      </c>
      <c r="Y796" s="85">
        <v>0</v>
      </c>
      <c r="Z796" s="85">
        <v>0</v>
      </c>
      <c r="AA796" s="85">
        <v>0</v>
      </c>
      <c r="AB796" s="85">
        <v>0</v>
      </c>
      <c r="AC796" s="85">
        <v>0</v>
      </c>
      <c r="AD796" s="85"/>
    </row>
    <row r="797" spans="1:30">
      <c r="A797" s="82" t="s">
        <v>737</v>
      </c>
      <c r="B797" s="83" t="s">
        <v>596</v>
      </c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>
        <v>0</v>
      </c>
      <c r="U797" s="85">
        <v>0</v>
      </c>
      <c r="V797" s="85">
        <f>26.3*0.065</f>
        <v>1.7095</v>
      </c>
      <c r="W797" s="85">
        <f>29.71*0.065</f>
        <v>1.9311500000000001</v>
      </c>
      <c r="X797" s="85">
        <f>(44.6-19.2)*0.065</f>
        <v>1.6510000000000002</v>
      </c>
      <c r="Y797" s="85">
        <f>-9.6*0.065</f>
        <v>-0.624</v>
      </c>
      <c r="Z797" s="85">
        <f>(9.4-0.104)*0.065</f>
        <v>0.60424000000000011</v>
      </c>
      <c r="AA797" s="85">
        <v>0</v>
      </c>
      <c r="AB797" s="85">
        <f>(7.2-0.48)*0.065</f>
        <v>0.43680000000000008</v>
      </c>
      <c r="AC797" s="85">
        <v>0</v>
      </c>
      <c r="AD797" s="85"/>
    </row>
    <row r="798" spans="1:30">
      <c r="A798" s="82" t="s">
        <v>737</v>
      </c>
      <c r="B798" s="83" t="s">
        <v>594</v>
      </c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>
        <f>(4803-183.5)*0.055</f>
        <v>254.07249999999999</v>
      </c>
      <c r="U798" s="85">
        <f>(3083.6-248.2)*0.055</f>
        <v>155.947</v>
      </c>
      <c r="V798" s="85">
        <f>(2666.9-78.6)*0.055</f>
        <v>142.35650000000001</v>
      </c>
      <c r="W798" s="85">
        <f>(2618.4-118)*0.055</f>
        <v>137.52200000000002</v>
      </c>
      <c r="X798" s="85">
        <f>(2673.6-116)*0.055</f>
        <v>140.66800000000001</v>
      </c>
      <c r="Y798" s="85">
        <f>(2395.4-146.5)*0.055</f>
        <v>123.68950000000001</v>
      </c>
      <c r="Z798" s="85">
        <f>(2219-177.13)*0.055</f>
        <v>112.30284999999999</v>
      </c>
      <c r="AA798" s="85">
        <f>(2195.95-185.43)*0.055</f>
        <v>110.57859999999998</v>
      </c>
      <c r="AB798" s="85">
        <f>(1873.79-134.5)*0.055</f>
        <v>95.66095</v>
      </c>
      <c r="AC798" s="85">
        <f>(1759.63-154.22)*0.055</f>
        <v>88.297550000000001</v>
      </c>
      <c r="AD798" s="85"/>
    </row>
    <row r="799" spans="1:30">
      <c r="A799" s="82" t="s">
        <v>737</v>
      </c>
      <c r="B799" s="87" t="s">
        <v>643</v>
      </c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>
        <v>0</v>
      </c>
      <c r="U799" s="85">
        <v>0</v>
      </c>
      <c r="V799" s="85">
        <f>27.2*0.07</f>
        <v>1.9040000000000001</v>
      </c>
      <c r="W799" s="85">
        <v>0</v>
      </c>
      <c r="X799" s="85">
        <v>0</v>
      </c>
      <c r="Y799" s="85">
        <v>0</v>
      </c>
      <c r="Z799" s="85">
        <v>0</v>
      </c>
      <c r="AA799" s="85">
        <v>0</v>
      </c>
      <c r="AB799" s="85">
        <v>0</v>
      </c>
      <c r="AC799" s="85">
        <v>0</v>
      </c>
      <c r="AD799" s="85"/>
    </row>
    <row r="800" spans="1:30">
      <c r="A800" s="82" t="s">
        <v>796</v>
      </c>
      <c r="B800" s="87" t="s">
        <v>597</v>
      </c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>
        <v>0</v>
      </c>
      <c r="V800" s="85">
        <v>0</v>
      </c>
      <c r="W800" s="85">
        <v>0</v>
      </c>
      <c r="X800" s="85">
        <v>0</v>
      </c>
      <c r="Y800" s="85">
        <v>0</v>
      </c>
      <c r="Z800" s="85">
        <v>0</v>
      </c>
      <c r="AA800" s="85">
        <v>0</v>
      </c>
      <c r="AB800" s="85">
        <v>0</v>
      </c>
      <c r="AC800" s="85">
        <v>0</v>
      </c>
      <c r="AD800" s="85"/>
    </row>
    <row r="801" spans="1:30">
      <c r="A801" s="82" t="s">
        <v>796</v>
      </c>
      <c r="B801" s="87" t="s">
        <v>600</v>
      </c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>
        <v>0</v>
      </c>
      <c r="V801" s="85">
        <v>0</v>
      </c>
      <c r="W801" s="85">
        <v>0</v>
      </c>
      <c r="X801" s="85">
        <v>0</v>
      </c>
      <c r="Y801" s="85">
        <v>0</v>
      </c>
      <c r="Z801" s="85">
        <v>0</v>
      </c>
      <c r="AA801" s="85">
        <v>0</v>
      </c>
      <c r="AB801" s="85">
        <v>0</v>
      </c>
      <c r="AC801" s="85">
        <v>0</v>
      </c>
      <c r="AD801" s="85"/>
    </row>
    <row r="802" spans="1:30">
      <c r="A802" s="82" t="s">
        <v>796</v>
      </c>
      <c r="B802" s="87" t="s">
        <v>595</v>
      </c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>
        <v>0</v>
      </c>
      <c r="V802" s="85">
        <v>0</v>
      </c>
      <c r="W802" s="85">
        <v>0</v>
      </c>
      <c r="X802" s="85">
        <v>0</v>
      </c>
      <c r="Y802" s="85">
        <v>0</v>
      </c>
      <c r="Z802" s="85">
        <v>0</v>
      </c>
      <c r="AA802" s="85">
        <v>0</v>
      </c>
      <c r="AB802" s="85">
        <v>0</v>
      </c>
      <c r="AC802" s="85">
        <v>0</v>
      </c>
      <c r="AD802" s="85"/>
    </row>
    <row r="803" spans="1:30">
      <c r="A803" s="82" t="s">
        <v>796</v>
      </c>
      <c r="B803" s="87" t="s">
        <v>596</v>
      </c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>
        <v>0</v>
      </c>
      <c r="V803" s="85">
        <v>0</v>
      </c>
      <c r="W803" s="85">
        <v>0</v>
      </c>
      <c r="X803" s="85">
        <v>0</v>
      </c>
      <c r="Y803" s="85">
        <v>0</v>
      </c>
      <c r="Z803" s="85">
        <v>0</v>
      </c>
      <c r="AA803" s="85">
        <v>0</v>
      </c>
      <c r="AB803" s="85">
        <v>0</v>
      </c>
      <c r="AC803" s="85">
        <v>0</v>
      </c>
      <c r="AD803" s="85"/>
    </row>
    <row r="804" spans="1:30">
      <c r="A804" s="82" t="s">
        <v>796</v>
      </c>
      <c r="B804" s="87" t="s">
        <v>594</v>
      </c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>
        <f>42*0.055</f>
        <v>2.31</v>
      </c>
      <c r="V804" s="85">
        <f>58.91*0.055</f>
        <v>3.2400499999999997</v>
      </c>
      <c r="W804" s="85">
        <f>61*0.055</f>
        <v>3.355</v>
      </c>
      <c r="X804" s="85">
        <f>58.9*0.055</f>
        <v>3.2395</v>
      </c>
      <c r="Y804" s="85">
        <f>52*0.055</f>
        <v>2.86</v>
      </c>
      <c r="Z804" s="85">
        <f>40.5*0.055</f>
        <v>2.2275</v>
      </c>
      <c r="AA804" s="85">
        <f>25.09*0.055</f>
        <v>1.37995</v>
      </c>
      <c r="AB804" s="85">
        <f>18.73*0.055</f>
        <v>1.0301500000000001</v>
      </c>
      <c r="AC804" s="85">
        <f>18.91*0.055</f>
        <v>1.0400499999999999</v>
      </c>
      <c r="AD804" s="85"/>
    </row>
    <row r="805" spans="1:30">
      <c r="A805" s="82" t="s">
        <v>796</v>
      </c>
      <c r="B805" s="87" t="s">
        <v>643</v>
      </c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>
        <v>0</v>
      </c>
      <c r="V805" s="85">
        <v>0</v>
      </c>
      <c r="W805" s="85">
        <v>0</v>
      </c>
      <c r="X805" s="85">
        <v>0</v>
      </c>
      <c r="Y805" s="85">
        <v>0</v>
      </c>
      <c r="Z805" s="85">
        <v>0</v>
      </c>
      <c r="AA805" s="85">
        <v>0</v>
      </c>
      <c r="AB805" s="85">
        <v>0</v>
      </c>
      <c r="AC805" s="85">
        <v>0</v>
      </c>
      <c r="AD805" s="85"/>
    </row>
    <row r="806" spans="1:30">
      <c r="A806" s="82" t="s">
        <v>558</v>
      </c>
      <c r="B806" s="83" t="s">
        <v>597</v>
      </c>
      <c r="C806" s="85">
        <v>0</v>
      </c>
      <c r="D806" s="85">
        <v>0</v>
      </c>
      <c r="E806" s="85">
        <v>0</v>
      </c>
      <c r="F806" s="84" t="s">
        <v>680</v>
      </c>
      <c r="G806" s="84" t="s">
        <v>680</v>
      </c>
      <c r="H806" s="85">
        <f>0.7*0.02</f>
        <v>1.3999999999999999E-2</v>
      </c>
      <c r="I806" s="85">
        <f>0.4*0.02</f>
        <v>8.0000000000000002E-3</v>
      </c>
      <c r="J806" s="85">
        <v>0</v>
      </c>
      <c r="K806" s="85">
        <v>0</v>
      </c>
      <c r="L806" s="85">
        <f>0.27*0.02</f>
        <v>5.4000000000000003E-3</v>
      </c>
      <c r="M806" s="85">
        <f>0.36*0.02</f>
        <v>7.1999999999999998E-3</v>
      </c>
      <c r="N806" s="85">
        <f>0.4*0.02</f>
        <v>8.0000000000000002E-3</v>
      </c>
      <c r="O806" s="85">
        <v>0</v>
      </c>
      <c r="P806" s="85">
        <f>0.6*0.02</f>
        <v>1.2E-2</v>
      </c>
      <c r="Q806" s="85">
        <v>0</v>
      </c>
      <c r="R806" s="85">
        <v>0</v>
      </c>
      <c r="S806" s="85">
        <v>0</v>
      </c>
      <c r="T806" s="85">
        <v>0</v>
      </c>
      <c r="U806" s="85">
        <f>0.4*0.02</f>
        <v>8.0000000000000002E-3</v>
      </c>
      <c r="V806" s="85">
        <f>2.09*0.02</f>
        <v>4.1799999999999997E-2</v>
      </c>
      <c r="W806" s="85">
        <v>0</v>
      </c>
      <c r="X806" s="85">
        <v>0</v>
      </c>
      <c r="Y806" s="85">
        <f>1.9976*0.02</f>
        <v>3.9952000000000001E-2</v>
      </c>
      <c r="Z806" s="85">
        <v>0</v>
      </c>
      <c r="AA806" s="85">
        <v>0</v>
      </c>
      <c r="AB806" s="85">
        <v>0</v>
      </c>
      <c r="AC806" s="85">
        <v>0</v>
      </c>
      <c r="AD806" s="85"/>
    </row>
    <row r="807" spans="1:30">
      <c r="A807" s="82" t="s">
        <v>558</v>
      </c>
      <c r="B807" s="83" t="s">
        <v>600</v>
      </c>
      <c r="C807" s="85">
        <v>0</v>
      </c>
      <c r="D807" s="85">
        <v>0</v>
      </c>
      <c r="E807" s="85">
        <v>0</v>
      </c>
      <c r="F807" s="84" t="s">
        <v>680</v>
      </c>
      <c r="G807" s="84" t="s">
        <v>680</v>
      </c>
      <c r="H807" s="85">
        <v>0</v>
      </c>
      <c r="I807" s="85">
        <v>0</v>
      </c>
      <c r="J807" s="85">
        <v>0</v>
      </c>
      <c r="K807" s="85">
        <v>0</v>
      </c>
      <c r="L807" s="85">
        <v>0</v>
      </c>
      <c r="M807" s="85">
        <v>0</v>
      </c>
      <c r="N807" s="85">
        <v>0</v>
      </c>
      <c r="O807" s="85">
        <v>0</v>
      </c>
      <c r="P807" s="85">
        <v>0</v>
      </c>
      <c r="Q807" s="85">
        <v>0</v>
      </c>
      <c r="R807" s="85">
        <v>0</v>
      </c>
      <c r="S807" s="85">
        <v>0</v>
      </c>
      <c r="T807" s="85">
        <v>0</v>
      </c>
      <c r="U807" s="85">
        <v>0</v>
      </c>
      <c r="V807" s="85">
        <v>0</v>
      </c>
      <c r="W807" s="85">
        <v>0</v>
      </c>
      <c r="X807" s="85">
        <v>0</v>
      </c>
      <c r="Y807" s="85">
        <v>0</v>
      </c>
      <c r="Z807" s="85">
        <v>0</v>
      </c>
      <c r="AA807" s="85">
        <v>0</v>
      </c>
      <c r="AB807" s="85">
        <v>0</v>
      </c>
      <c r="AC807" s="85">
        <v>0</v>
      </c>
      <c r="AD807" s="85"/>
    </row>
    <row r="808" spans="1:30">
      <c r="A808" s="82" t="s">
        <v>558</v>
      </c>
      <c r="B808" s="83" t="s">
        <v>595</v>
      </c>
      <c r="C808" s="85">
        <v>0</v>
      </c>
      <c r="D808" s="85">
        <v>0</v>
      </c>
      <c r="E808" s="85">
        <v>0</v>
      </c>
      <c r="F808" s="84" t="s">
        <v>680</v>
      </c>
      <c r="G808" s="84" t="s">
        <v>680</v>
      </c>
      <c r="H808" s="85">
        <f>1.95*0.11</f>
        <v>0.2145</v>
      </c>
      <c r="I808" s="85">
        <f>0.5*0.11</f>
        <v>5.5E-2</v>
      </c>
      <c r="J808" s="85">
        <f>3.15*0.11</f>
        <v>0.34649999999999997</v>
      </c>
      <c r="K808" s="85">
        <v>0</v>
      </c>
      <c r="L808" s="85">
        <f>28*0.11</f>
        <v>3.08</v>
      </c>
      <c r="M808" s="85">
        <v>0</v>
      </c>
      <c r="N808" s="85">
        <f>0.54*0.11</f>
        <v>5.9400000000000001E-2</v>
      </c>
      <c r="O808" s="85">
        <f>6.01*0.11</f>
        <v>0.66110000000000002</v>
      </c>
      <c r="P808" s="85">
        <f>6.94*0.11</f>
        <v>0.76340000000000008</v>
      </c>
      <c r="Q808" s="85">
        <f>16.23*0.11</f>
        <v>1.7853000000000001</v>
      </c>
      <c r="R808" s="85">
        <f>17.37*0.11</f>
        <v>1.9107000000000001</v>
      </c>
      <c r="S808" s="85">
        <f>12.87*0.11</f>
        <v>1.4157</v>
      </c>
      <c r="T808" s="85">
        <f>14.61*0.11</f>
        <v>1.6071</v>
      </c>
      <c r="U808" s="85">
        <f>7.74*0.11</f>
        <v>0.85140000000000005</v>
      </c>
      <c r="V808" s="85">
        <f>11.21*0.11</f>
        <v>1.2331000000000001</v>
      </c>
      <c r="W808" s="85">
        <v>0</v>
      </c>
      <c r="X808" s="85">
        <v>0</v>
      </c>
      <c r="Y808" s="85">
        <v>0</v>
      </c>
      <c r="Z808" s="85">
        <v>0</v>
      </c>
      <c r="AA808" s="85">
        <v>0</v>
      </c>
      <c r="AB808" s="85">
        <v>0</v>
      </c>
      <c r="AC808" s="85">
        <v>0</v>
      </c>
      <c r="AD808" s="85"/>
    </row>
    <row r="809" spans="1:30">
      <c r="A809" s="82" t="s">
        <v>558</v>
      </c>
      <c r="B809" s="83" t="s">
        <v>700</v>
      </c>
      <c r="C809" s="85"/>
      <c r="D809" s="85"/>
      <c r="E809" s="85"/>
      <c r="F809" s="84"/>
      <c r="G809" s="84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>
        <f>1.2*0.11</f>
        <v>0.13200000000000001</v>
      </c>
      <c r="S809" s="85">
        <f>5.09*0.11</f>
        <v>0.55989999999999995</v>
      </c>
      <c r="T809" s="85">
        <f>16.88*0.11</f>
        <v>1.8568</v>
      </c>
      <c r="U809" s="85">
        <f>11.33*0.11</f>
        <v>1.2463</v>
      </c>
      <c r="V809" s="85">
        <f>21.68*0.11</f>
        <v>2.3847999999999998</v>
      </c>
      <c r="W809" s="85">
        <f>9.408*0.11</f>
        <v>1.03488</v>
      </c>
      <c r="X809" s="85">
        <v>0</v>
      </c>
      <c r="Y809" s="85">
        <v>0</v>
      </c>
      <c r="Z809" s="85">
        <v>0</v>
      </c>
      <c r="AA809" s="85">
        <v>0</v>
      </c>
      <c r="AB809" s="85">
        <v>0</v>
      </c>
      <c r="AC809" s="85">
        <v>0</v>
      </c>
      <c r="AD809" s="85"/>
    </row>
    <row r="810" spans="1:30">
      <c r="A810" s="82" t="s">
        <v>558</v>
      </c>
      <c r="B810" s="83" t="s">
        <v>596</v>
      </c>
      <c r="C810" s="85">
        <v>0</v>
      </c>
      <c r="D810" s="85">
        <v>0</v>
      </c>
      <c r="E810" s="85">
        <v>0</v>
      </c>
      <c r="F810" s="84" t="s">
        <v>680</v>
      </c>
      <c r="G810" s="84" t="s">
        <v>680</v>
      </c>
      <c r="H810" s="85">
        <v>0</v>
      </c>
      <c r="I810" s="85">
        <v>0</v>
      </c>
      <c r="J810" s="85">
        <v>0</v>
      </c>
      <c r="K810" s="85">
        <v>0</v>
      </c>
      <c r="L810" s="85">
        <v>0</v>
      </c>
      <c r="M810" s="85">
        <v>0</v>
      </c>
      <c r="N810" s="85">
        <v>0</v>
      </c>
      <c r="O810" s="85">
        <v>0</v>
      </c>
      <c r="P810" s="85">
        <v>0</v>
      </c>
      <c r="Q810" s="85">
        <v>0</v>
      </c>
      <c r="R810" s="85">
        <v>0</v>
      </c>
      <c r="S810" s="85">
        <v>0</v>
      </c>
      <c r="T810" s="85">
        <v>0</v>
      </c>
      <c r="U810" s="85">
        <v>0</v>
      </c>
      <c r="V810" s="85">
        <v>0</v>
      </c>
      <c r="W810" s="85">
        <v>0</v>
      </c>
      <c r="X810" s="85">
        <v>0</v>
      </c>
      <c r="Y810" s="85">
        <v>0</v>
      </c>
      <c r="Z810" s="85">
        <v>0</v>
      </c>
      <c r="AA810" s="85">
        <v>0</v>
      </c>
      <c r="AB810" s="85">
        <v>0</v>
      </c>
      <c r="AC810" s="85">
        <v>0</v>
      </c>
      <c r="AD810" s="85"/>
    </row>
    <row r="811" spans="1:30">
      <c r="A811" s="82" t="s">
        <v>558</v>
      </c>
      <c r="B811" s="83" t="s">
        <v>594</v>
      </c>
      <c r="C811" s="85">
        <f>141.45*0.055</f>
        <v>7.7797499999999991</v>
      </c>
      <c r="D811" s="85">
        <f>231.87*0.055</f>
        <v>12.75285</v>
      </c>
      <c r="E811" s="85">
        <f>220*0.055</f>
        <v>12.1</v>
      </c>
      <c r="F811" s="84" t="s">
        <v>680</v>
      </c>
      <c r="G811" s="84" t="s">
        <v>680</v>
      </c>
      <c r="H811" s="85">
        <f>115.28*0.055</f>
        <v>6.3403999999999998</v>
      </c>
      <c r="I811" s="85">
        <f>105.42*0.055</f>
        <v>5.7980999999999998</v>
      </c>
      <c r="J811" s="85">
        <f>153.67*0.055</f>
        <v>8.4518499999999985</v>
      </c>
      <c r="K811" s="85">
        <f>127.7*0.055</f>
        <v>7.0235000000000003</v>
      </c>
      <c r="L811" s="85">
        <f>202.77*0.055</f>
        <v>11.15235</v>
      </c>
      <c r="M811" s="85">
        <f>176.84*0.055</f>
        <v>9.7262000000000004</v>
      </c>
      <c r="N811" s="85">
        <f>223.63*0.055</f>
        <v>12.29965</v>
      </c>
      <c r="O811" s="85">
        <f>267.34*0.055</f>
        <v>14.7037</v>
      </c>
      <c r="P811" s="85">
        <f>172.55*0.055</f>
        <v>9.4902500000000014</v>
      </c>
      <c r="Q811" s="85">
        <f>211.51*0.055</f>
        <v>11.633049999999999</v>
      </c>
      <c r="R811" s="85">
        <f>225.29*0.055</f>
        <v>12.39095</v>
      </c>
      <c r="S811" s="85">
        <f>271.18*0.055</f>
        <v>14.914900000000001</v>
      </c>
      <c r="T811" s="85">
        <f>298.35*0.055</f>
        <v>16.40925</v>
      </c>
      <c r="U811" s="85">
        <f>227.37*0.055</f>
        <v>12.50535</v>
      </c>
      <c r="V811" s="85">
        <f>211.22*0.055</f>
        <v>11.617100000000001</v>
      </c>
      <c r="W811" s="85">
        <f>187.45*0.055</f>
        <v>10.309749999999999</v>
      </c>
      <c r="X811" s="85">
        <f>231.5432*0.055</f>
        <v>12.734876000000002</v>
      </c>
      <c r="Y811" s="85">
        <f>163.6352*0.055</f>
        <v>8.9999359999999999</v>
      </c>
      <c r="Z811" s="85">
        <f>178.909*0.055</f>
        <v>9.839995</v>
      </c>
      <c r="AA811" s="85">
        <f>180.18*0.055</f>
        <v>9.9099000000000004</v>
      </c>
      <c r="AB811" s="85">
        <f>155.822*0.055</f>
        <v>8.5702099999999994</v>
      </c>
      <c r="AC811" s="85">
        <f>155.98*0.055</f>
        <v>8.5788999999999991</v>
      </c>
      <c r="AD811" s="85"/>
    </row>
    <row r="812" spans="1:30">
      <c r="A812" s="82" t="s">
        <v>558</v>
      </c>
      <c r="B812" s="87" t="s">
        <v>643</v>
      </c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>
        <v>0</v>
      </c>
      <c r="O812" s="85">
        <v>0</v>
      </c>
      <c r="P812" s="85">
        <v>0</v>
      </c>
      <c r="Q812" s="85">
        <v>0</v>
      </c>
      <c r="R812" s="85">
        <v>0</v>
      </c>
      <c r="S812" s="85">
        <v>0</v>
      </c>
      <c r="T812" s="85">
        <v>0</v>
      </c>
      <c r="U812" s="85">
        <f>0.016*0.07</f>
        <v>1.1200000000000001E-3</v>
      </c>
      <c r="V812" s="85">
        <v>0</v>
      </c>
      <c r="W812" s="85">
        <v>0</v>
      </c>
      <c r="X812" s="85">
        <v>0</v>
      </c>
      <c r="Y812" s="85">
        <v>0</v>
      </c>
      <c r="Z812" s="85">
        <v>0</v>
      </c>
      <c r="AA812" s="85">
        <v>0</v>
      </c>
      <c r="AB812" s="85">
        <v>0</v>
      </c>
      <c r="AC812" s="85">
        <v>0</v>
      </c>
      <c r="AD812" s="85"/>
    </row>
    <row r="813" spans="1:30">
      <c r="A813" s="82" t="s">
        <v>562</v>
      </c>
      <c r="B813" s="83" t="s">
        <v>597</v>
      </c>
      <c r="C813" s="85">
        <v>0</v>
      </c>
      <c r="D813" s="85">
        <v>0</v>
      </c>
      <c r="E813" s="85">
        <v>0</v>
      </c>
      <c r="F813" s="85">
        <v>0</v>
      </c>
      <c r="G813" s="85">
        <v>0</v>
      </c>
      <c r="H813" s="85">
        <v>0</v>
      </c>
      <c r="I813" s="85">
        <v>0</v>
      </c>
      <c r="J813" s="85">
        <v>0</v>
      </c>
      <c r="K813" s="85">
        <v>0</v>
      </c>
      <c r="L813" s="85">
        <v>0</v>
      </c>
      <c r="M813" s="85">
        <v>0</v>
      </c>
      <c r="N813" s="85">
        <v>0</v>
      </c>
      <c r="O813" s="85">
        <v>0</v>
      </c>
      <c r="P813" s="85">
        <v>0</v>
      </c>
      <c r="Q813" s="85">
        <v>0</v>
      </c>
      <c r="R813" s="85">
        <v>0</v>
      </c>
      <c r="S813" s="85">
        <v>0</v>
      </c>
      <c r="T813" s="85">
        <v>0</v>
      </c>
      <c r="U813" s="85">
        <v>0</v>
      </c>
      <c r="V813" s="85">
        <v>0</v>
      </c>
      <c r="W813" s="85">
        <v>0</v>
      </c>
      <c r="X813" s="85">
        <v>0</v>
      </c>
      <c r="Y813" s="85">
        <v>0</v>
      </c>
      <c r="Z813" s="85">
        <v>0</v>
      </c>
      <c r="AA813" s="85">
        <v>0</v>
      </c>
      <c r="AB813" s="85">
        <v>0</v>
      </c>
      <c r="AC813" s="85">
        <v>0</v>
      </c>
      <c r="AD813" s="85"/>
    </row>
    <row r="814" spans="1:30">
      <c r="A814" s="82" t="s">
        <v>562</v>
      </c>
      <c r="B814" s="83" t="s">
        <v>600</v>
      </c>
      <c r="C814" s="85">
        <v>0</v>
      </c>
      <c r="D814" s="85">
        <v>0</v>
      </c>
      <c r="E814" s="85">
        <v>0</v>
      </c>
      <c r="F814" s="85">
        <v>0</v>
      </c>
      <c r="G814" s="85">
        <v>0</v>
      </c>
      <c r="H814" s="85">
        <v>0</v>
      </c>
      <c r="I814" s="85">
        <v>0</v>
      </c>
      <c r="J814" s="85">
        <v>0</v>
      </c>
      <c r="K814" s="85">
        <v>0</v>
      </c>
      <c r="L814" s="85">
        <v>0</v>
      </c>
      <c r="M814" s="85">
        <v>0</v>
      </c>
      <c r="N814" s="85">
        <v>0</v>
      </c>
      <c r="O814" s="85">
        <v>0</v>
      </c>
      <c r="P814" s="85">
        <v>0</v>
      </c>
      <c r="Q814" s="85">
        <v>0</v>
      </c>
      <c r="R814" s="85">
        <v>0</v>
      </c>
      <c r="S814" s="85">
        <v>0</v>
      </c>
      <c r="T814" s="85">
        <v>0</v>
      </c>
      <c r="U814" s="85">
        <v>0</v>
      </c>
      <c r="V814" s="85">
        <v>0</v>
      </c>
      <c r="W814" s="85">
        <v>0</v>
      </c>
      <c r="X814" s="85">
        <v>0</v>
      </c>
      <c r="Y814" s="85">
        <v>0</v>
      </c>
      <c r="Z814" s="85">
        <v>0</v>
      </c>
      <c r="AA814" s="85">
        <v>0</v>
      </c>
      <c r="AB814" s="85">
        <v>0</v>
      </c>
      <c r="AC814" s="85">
        <v>0</v>
      </c>
      <c r="AD814" s="85"/>
    </row>
    <row r="815" spans="1:30">
      <c r="A815" s="82" t="s">
        <v>562</v>
      </c>
      <c r="B815" s="83" t="s">
        <v>595</v>
      </c>
      <c r="C815" s="85">
        <v>0</v>
      </c>
      <c r="D815" s="85">
        <v>0</v>
      </c>
      <c r="E815" s="85">
        <v>0</v>
      </c>
      <c r="F815" s="85">
        <v>0</v>
      </c>
      <c r="G815" s="85">
        <v>0</v>
      </c>
      <c r="H815" s="85">
        <v>0</v>
      </c>
      <c r="I815" s="85">
        <v>0</v>
      </c>
      <c r="J815" s="85">
        <v>0</v>
      </c>
      <c r="K815" s="85">
        <v>0</v>
      </c>
      <c r="L815" s="85">
        <v>0</v>
      </c>
      <c r="M815" s="85">
        <v>0</v>
      </c>
      <c r="N815" s="85">
        <v>0</v>
      </c>
      <c r="O815" s="85">
        <f>56*0.11</f>
        <v>6.16</v>
      </c>
      <c r="P815" s="85">
        <f>328.5*0.11</f>
        <v>36.134999999999998</v>
      </c>
      <c r="Q815" s="85">
        <f>355*0.11</f>
        <v>39.049999999999997</v>
      </c>
      <c r="R815" s="85">
        <f>384.2*0.11</f>
        <v>42.262</v>
      </c>
      <c r="S815" s="85">
        <f>400*0.11</f>
        <v>44</v>
      </c>
      <c r="T815" s="85">
        <f>409*0.11</f>
        <v>44.99</v>
      </c>
      <c r="U815" s="85">
        <f>362.33*0.11</f>
        <v>39.856299999999997</v>
      </c>
      <c r="V815" s="85">
        <f>364.54*0.11</f>
        <v>40.099400000000003</v>
      </c>
      <c r="W815" s="85">
        <f>320.47*0.11</f>
        <v>35.251700000000007</v>
      </c>
      <c r="X815" s="85">
        <f>280.67*0.11</f>
        <v>30.873700000000003</v>
      </c>
      <c r="Y815" s="85">
        <f>234.1*0.11</f>
        <v>25.751000000000001</v>
      </c>
      <c r="Z815" s="85">
        <f>234.1*0.11</f>
        <v>25.751000000000001</v>
      </c>
      <c r="AA815" s="85">
        <f>180.64*0.11</f>
        <v>19.8704</v>
      </c>
      <c r="AB815" s="85">
        <v>0</v>
      </c>
      <c r="AC815" s="85">
        <v>0</v>
      </c>
      <c r="AD815" s="85"/>
    </row>
    <row r="816" spans="1:30">
      <c r="A816" s="82" t="s">
        <v>562</v>
      </c>
      <c r="B816" s="83" t="s">
        <v>596</v>
      </c>
      <c r="C816" s="85">
        <v>0</v>
      </c>
      <c r="D816" s="85">
        <v>0</v>
      </c>
      <c r="E816" s="85">
        <v>0</v>
      </c>
      <c r="F816" s="85">
        <v>0</v>
      </c>
      <c r="G816" s="85">
        <v>0</v>
      </c>
      <c r="H816" s="85">
        <v>0</v>
      </c>
      <c r="I816" s="85">
        <v>0</v>
      </c>
      <c r="J816" s="85">
        <v>0</v>
      </c>
      <c r="K816" s="85">
        <v>0</v>
      </c>
      <c r="L816" s="85">
        <v>0</v>
      </c>
      <c r="M816" s="85">
        <v>0</v>
      </c>
      <c r="N816" s="85">
        <v>0</v>
      </c>
      <c r="O816" s="85">
        <v>0</v>
      </c>
      <c r="P816" s="85">
        <v>0</v>
      </c>
      <c r="Q816" s="85">
        <v>0</v>
      </c>
      <c r="R816" s="85">
        <v>0</v>
      </c>
      <c r="S816" s="85">
        <v>0</v>
      </c>
      <c r="T816" s="85">
        <v>0</v>
      </c>
      <c r="U816" s="85">
        <v>0</v>
      </c>
      <c r="V816" s="85">
        <v>0</v>
      </c>
      <c r="W816" s="85">
        <v>0</v>
      </c>
      <c r="X816" s="85">
        <v>0</v>
      </c>
      <c r="Y816" s="85">
        <v>0</v>
      </c>
      <c r="Z816" s="85">
        <v>0</v>
      </c>
      <c r="AA816" s="85">
        <v>0</v>
      </c>
      <c r="AB816" s="85">
        <v>0</v>
      </c>
      <c r="AC816" s="85">
        <v>0</v>
      </c>
      <c r="AD816" s="85"/>
    </row>
    <row r="817" spans="1:30">
      <c r="A817" s="82" t="s">
        <v>562</v>
      </c>
      <c r="B817" s="83" t="s">
        <v>594</v>
      </c>
      <c r="C817" s="85">
        <v>0</v>
      </c>
      <c r="D817" s="85">
        <v>0</v>
      </c>
      <c r="E817" s="85">
        <v>0</v>
      </c>
      <c r="F817" s="85">
        <v>0</v>
      </c>
      <c r="G817" s="85">
        <v>0</v>
      </c>
      <c r="H817" s="85">
        <v>0</v>
      </c>
      <c r="I817" s="85">
        <v>0</v>
      </c>
      <c r="J817" s="85">
        <v>0</v>
      </c>
      <c r="K817" s="85">
        <v>0</v>
      </c>
      <c r="L817" s="85">
        <v>0</v>
      </c>
      <c r="M817" s="85">
        <v>0</v>
      </c>
      <c r="N817" s="85">
        <v>0</v>
      </c>
      <c r="O817" s="85">
        <f>48.8*0.055</f>
        <v>2.6839999999999997</v>
      </c>
      <c r="P817" s="85">
        <f>183.15*0.055</f>
        <v>10.07325</v>
      </c>
      <c r="Q817" s="85">
        <f>210*0.055</f>
        <v>11.55</v>
      </c>
      <c r="R817" s="85">
        <f>227*0.055</f>
        <v>12.484999999999999</v>
      </c>
      <c r="S817" s="85">
        <f>286*0.055</f>
        <v>15.73</v>
      </c>
      <c r="T817" s="85">
        <f>253*0.055</f>
        <v>13.915000000000001</v>
      </c>
      <c r="U817" s="85">
        <f>207*0.055</f>
        <v>11.385</v>
      </c>
      <c r="V817" s="85">
        <f>229.09*0.055</f>
        <v>12.59995</v>
      </c>
      <c r="W817" s="85">
        <f>209.78*0.055</f>
        <v>11.5379</v>
      </c>
      <c r="X817" s="85">
        <f>203.58*0.055</f>
        <v>11.196900000000001</v>
      </c>
      <c r="Y817" s="85">
        <f>197.5*0.055</f>
        <v>10.862500000000001</v>
      </c>
      <c r="Z817" s="85">
        <f>197.8*0.055</f>
        <v>10.879000000000001</v>
      </c>
      <c r="AA817" s="85">
        <f>190*0.055</f>
        <v>10.45</v>
      </c>
      <c r="AB817" s="85">
        <f>192.62*0.055</f>
        <v>10.594100000000001</v>
      </c>
      <c r="AC817" s="85">
        <f>170*0.055</f>
        <v>9.35</v>
      </c>
      <c r="AD817" s="85"/>
    </row>
    <row r="818" spans="1:30">
      <c r="A818" s="82" t="s">
        <v>562</v>
      </c>
      <c r="B818" s="87" t="s">
        <v>643</v>
      </c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>
        <v>0</v>
      </c>
      <c r="O818" s="85">
        <v>0</v>
      </c>
      <c r="P818" s="85">
        <v>0</v>
      </c>
      <c r="Q818" s="85">
        <v>0</v>
      </c>
      <c r="R818" s="85">
        <v>0</v>
      </c>
      <c r="S818" s="85">
        <v>0</v>
      </c>
      <c r="T818" s="85">
        <v>0</v>
      </c>
      <c r="U818" s="85">
        <v>0</v>
      </c>
      <c r="V818" s="85">
        <v>0</v>
      </c>
      <c r="W818" s="85">
        <v>0</v>
      </c>
      <c r="X818" s="85">
        <v>0</v>
      </c>
      <c r="Y818" s="85">
        <v>0</v>
      </c>
      <c r="Z818" s="85">
        <v>0</v>
      </c>
      <c r="AA818" s="85">
        <v>0</v>
      </c>
      <c r="AB818" s="85">
        <v>0</v>
      </c>
      <c r="AC818" s="85">
        <v>0</v>
      </c>
      <c r="AD818" s="85"/>
    </row>
    <row r="819" spans="1:30">
      <c r="A819" s="82" t="s">
        <v>563</v>
      </c>
      <c r="B819" s="83" t="s">
        <v>597</v>
      </c>
      <c r="C819" s="85">
        <v>0</v>
      </c>
      <c r="D819" s="85">
        <v>0</v>
      </c>
      <c r="E819" s="85">
        <v>0</v>
      </c>
      <c r="F819" s="85">
        <v>0</v>
      </c>
      <c r="G819" s="85">
        <v>0</v>
      </c>
      <c r="H819" s="85">
        <v>0</v>
      </c>
      <c r="I819" s="85">
        <v>0</v>
      </c>
      <c r="J819" s="85">
        <v>0</v>
      </c>
      <c r="K819" s="85">
        <v>0</v>
      </c>
      <c r="L819" s="85">
        <v>0</v>
      </c>
      <c r="M819" s="85">
        <v>0</v>
      </c>
      <c r="N819" s="85">
        <v>0</v>
      </c>
      <c r="O819" s="85">
        <v>0</v>
      </c>
      <c r="P819" s="85">
        <v>0</v>
      </c>
      <c r="Q819" s="85">
        <v>0</v>
      </c>
      <c r="R819" s="85">
        <v>0</v>
      </c>
      <c r="S819" s="85">
        <v>0</v>
      </c>
      <c r="T819" s="85">
        <v>0</v>
      </c>
      <c r="U819" s="85">
        <v>0</v>
      </c>
      <c r="V819" s="85">
        <v>0</v>
      </c>
      <c r="W819" s="85">
        <v>0</v>
      </c>
      <c r="X819" s="85">
        <v>0</v>
      </c>
      <c r="Y819" s="85">
        <v>0</v>
      </c>
      <c r="Z819" s="85">
        <v>0</v>
      </c>
      <c r="AA819" s="85">
        <v>0</v>
      </c>
      <c r="AB819" s="85">
        <v>0</v>
      </c>
      <c r="AC819" s="85">
        <v>0</v>
      </c>
      <c r="AD819" s="85"/>
    </row>
    <row r="820" spans="1:30">
      <c r="A820" s="82" t="s">
        <v>563</v>
      </c>
      <c r="B820" s="83" t="s">
        <v>600</v>
      </c>
      <c r="C820" s="85">
        <v>0</v>
      </c>
      <c r="D820" s="85">
        <v>0</v>
      </c>
      <c r="E820" s="85">
        <v>0</v>
      </c>
      <c r="F820" s="85">
        <v>0</v>
      </c>
      <c r="G820" s="85">
        <v>0</v>
      </c>
      <c r="H820" s="85">
        <v>0</v>
      </c>
      <c r="I820" s="85">
        <v>0</v>
      </c>
      <c r="J820" s="85">
        <v>0</v>
      </c>
      <c r="K820" s="85">
        <v>0</v>
      </c>
      <c r="L820" s="85">
        <v>0</v>
      </c>
      <c r="M820" s="85">
        <v>0</v>
      </c>
      <c r="N820" s="85">
        <v>0</v>
      </c>
      <c r="O820" s="85">
        <v>0</v>
      </c>
      <c r="P820" s="85">
        <v>0</v>
      </c>
      <c r="Q820" s="85">
        <v>0</v>
      </c>
      <c r="R820" s="85">
        <v>0</v>
      </c>
      <c r="S820" s="85">
        <v>0</v>
      </c>
      <c r="T820" s="85">
        <v>0</v>
      </c>
      <c r="U820" s="85">
        <v>0</v>
      </c>
      <c r="V820" s="85">
        <v>0</v>
      </c>
      <c r="W820" s="85">
        <v>0</v>
      </c>
      <c r="X820" s="85">
        <v>0</v>
      </c>
      <c r="Y820" s="85">
        <v>0</v>
      </c>
      <c r="Z820" s="85">
        <v>0</v>
      </c>
      <c r="AA820" s="85">
        <v>0</v>
      </c>
      <c r="AB820" s="85">
        <v>0</v>
      </c>
      <c r="AC820" s="85">
        <v>0</v>
      </c>
      <c r="AD820" s="85"/>
    </row>
    <row r="821" spans="1:30">
      <c r="A821" s="82" t="s">
        <v>563</v>
      </c>
      <c r="B821" s="83" t="s">
        <v>595</v>
      </c>
      <c r="C821" s="85">
        <v>0</v>
      </c>
      <c r="D821" s="85">
        <v>0</v>
      </c>
      <c r="E821" s="85">
        <v>0</v>
      </c>
      <c r="F821" s="85">
        <v>0</v>
      </c>
      <c r="G821" s="85">
        <v>0</v>
      </c>
      <c r="H821" s="85">
        <v>0</v>
      </c>
      <c r="I821" s="85">
        <v>0</v>
      </c>
      <c r="J821" s="85">
        <v>0</v>
      </c>
      <c r="K821" s="85">
        <v>0</v>
      </c>
      <c r="L821" s="85">
        <v>0</v>
      </c>
      <c r="M821" s="85">
        <v>0</v>
      </c>
      <c r="N821" s="85">
        <v>0</v>
      </c>
      <c r="O821" s="85">
        <v>0</v>
      </c>
      <c r="P821" s="85">
        <v>0</v>
      </c>
      <c r="Q821" s="85">
        <f>0.07*0.11</f>
        <v>7.7000000000000011E-3</v>
      </c>
      <c r="R821" s="85">
        <v>0</v>
      </c>
      <c r="S821" s="85">
        <v>0</v>
      </c>
      <c r="T821" s="85">
        <v>0</v>
      </c>
      <c r="U821" s="85">
        <v>0</v>
      </c>
      <c r="V821" s="85">
        <v>0</v>
      </c>
      <c r="W821" s="85">
        <v>0</v>
      </c>
      <c r="X821" s="85">
        <v>0</v>
      </c>
      <c r="Y821" s="85">
        <v>0</v>
      </c>
      <c r="Z821" s="85">
        <v>0</v>
      </c>
      <c r="AA821" s="85">
        <v>0</v>
      </c>
      <c r="AB821" s="85">
        <v>0</v>
      </c>
      <c r="AC821" s="85">
        <v>0</v>
      </c>
      <c r="AD821" s="85"/>
    </row>
    <row r="822" spans="1:30">
      <c r="A822" s="82" t="s">
        <v>563</v>
      </c>
      <c r="B822" s="83" t="s">
        <v>596</v>
      </c>
      <c r="C822" s="85">
        <v>0</v>
      </c>
      <c r="D822" s="85">
        <v>0</v>
      </c>
      <c r="E822" s="85">
        <v>0</v>
      </c>
      <c r="F822" s="85">
        <v>0</v>
      </c>
      <c r="G822" s="85">
        <v>0</v>
      </c>
      <c r="H822" s="85">
        <v>0</v>
      </c>
      <c r="I822" s="85">
        <v>0</v>
      </c>
      <c r="J822" s="85">
        <v>0</v>
      </c>
      <c r="K822" s="85">
        <v>0</v>
      </c>
      <c r="L822" s="85">
        <v>0</v>
      </c>
      <c r="M822" s="85">
        <v>0</v>
      </c>
      <c r="N822" s="85">
        <v>0</v>
      </c>
      <c r="O822" s="85">
        <v>0</v>
      </c>
      <c r="P822" s="85">
        <v>0</v>
      </c>
      <c r="Q822" s="85">
        <v>0</v>
      </c>
      <c r="R822" s="85">
        <f>1.11*0.065</f>
        <v>7.2150000000000006E-2</v>
      </c>
      <c r="S822" s="85">
        <v>0</v>
      </c>
      <c r="T822" s="85">
        <v>0</v>
      </c>
      <c r="U822" s="85">
        <v>0</v>
      </c>
      <c r="V822" s="85">
        <v>0</v>
      </c>
      <c r="W822" s="85">
        <v>0</v>
      </c>
      <c r="X822" s="85">
        <v>0</v>
      </c>
      <c r="Y822" s="85">
        <v>0</v>
      </c>
      <c r="Z822" s="85">
        <v>0</v>
      </c>
      <c r="AA822" s="85">
        <v>0</v>
      </c>
      <c r="AB822" s="85">
        <v>0</v>
      </c>
      <c r="AC822" s="85">
        <v>0</v>
      </c>
      <c r="AD822" s="85"/>
    </row>
    <row r="823" spans="1:30">
      <c r="A823" s="82" t="s">
        <v>563</v>
      </c>
      <c r="B823" s="83" t="s">
        <v>594</v>
      </c>
      <c r="C823" s="85">
        <f t="shared" ref="C823:J823" si="1">90.9*0.055</f>
        <v>4.9995000000000003</v>
      </c>
      <c r="D823" s="85">
        <f t="shared" si="1"/>
        <v>4.9995000000000003</v>
      </c>
      <c r="E823" s="85">
        <f t="shared" si="1"/>
        <v>4.9995000000000003</v>
      </c>
      <c r="F823" s="85">
        <f t="shared" si="1"/>
        <v>4.9995000000000003</v>
      </c>
      <c r="G823" s="85">
        <f t="shared" si="1"/>
        <v>4.9995000000000003</v>
      </c>
      <c r="H823" s="85">
        <f t="shared" si="1"/>
        <v>4.9995000000000003</v>
      </c>
      <c r="I823" s="85">
        <f t="shared" si="1"/>
        <v>4.9995000000000003</v>
      </c>
      <c r="J823" s="85">
        <f t="shared" si="1"/>
        <v>4.9995000000000003</v>
      </c>
      <c r="K823" s="85">
        <f>2.19*0.055</f>
        <v>0.12045</v>
      </c>
      <c r="L823" s="85">
        <f>7.11*0.055</f>
        <v>0.39105000000000001</v>
      </c>
      <c r="M823" s="85">
        <f>18.79*0.055</f>
        <v>1.03345</v>
      </c>
      <c r="N823" s="85">
        <v>1.3480500000000002</v>
      </c>
      <c r="O823" s="85">
        <f>46.85*0.055</f>
        <v>2.5767500000000001</v>
      </c>
      <c r="P823" s="85">
        <f>12.74*0.055</f>
        <v>0.70069999999999999</v>
      </c>
      <c r="Q823" s="85">
        <f>48.57*0.055</f>
        <v>2.6713499999999999</v>
      </c>
      <c r="R823" s="85">
        <f>22.08*0.055</f>
        <v>1.2143999999999999</v>
      </c>
      <c r="S823" s="85">
        <f>72.83*0.055</f>
        <v>4.0056500000000002</v>
      </c>
      <c r="T823" s="85">
        <f>27.54*0.055</f>
        <v>1.5146999999999999</v>
      </c>
      <c r="U823" s="85">
        <f>22.5*0.055</f>
        <v>1.2375</v>
      </c>
      <c r="V823" s="85">
        <f>27.13*0.055</f>
        <v>1.4921499999999999</v>
      </c>
      <c r="W823" s="85">
        <f>25.54*0.055</f>
        <v>1.4047000000000001</v>
      </c>
      <c r="X823" s="85">
        <f>18.05*0.055</f>
        <v>0.99275000000000002</v>
      </c>
      <c r="Y823" s="85">
        <f>20.9*0.055</f>
        <v>1.1495</v>
      </c>
      <c r="Z823" s="85">
        <f>13.6*0.055</f>
        <v>0.748</v>
      </c>
      <c r="AA823" s="85">
        <f>11.3*0.055</f>
        <v>0.62150000000000005</v>
      </c>
      <c r="AB823" s="85">
        <f>5*0.055</f>
        <v>0.27500000000000002</v>
      </c>
      <c r="AC823" s="85">
        <v>0</v>
      </c>
      <c r="AD823" s="85"/>
    </row>
    <row r="824" spans="1:30">
      <c r="A824" s="82" t="s">
        <v>563</v>
      </c>
      <c r="B824" s="87" t="s">
        <v>643</v>
      </c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>
        <v>0</v>
      </c>
      <c r="O824" s="85">
        <v>0</v>
      </c>
      <c r="P824" s="85">
        <v>0</v>
      </c>
      <c r="Q824" s="85">
        <v>0</v>
      </c>
      <c r="R824" s="85">
        <v>0</v>
      </c>
      <c r="S824" s="85">
        <v>0</v>
      </c>
      <c r="T824" s="85">
        <v>0</v>
      </c>
      <c r="U824" s="85">
        <v>0</v>
      </c>
      <c r="V824" s="85">
        <v>0</v>
      </c>
      <c r="W824" s="85">
        <v>0</v>
      </c>
      <c r="X824" s="85">
        <v>0</v>
      </c>
      <c r="Y824" s="85">
        <v>0</v>
      </c>
      <c r="Z824" s="85">
        <v>0</v>
      </c>
      <c r="AA824" s="85">
        <v>0</v>
      </c>
      <c r="AB824" s="85">
        <v>0</v>
      </c>
      <c r="AC824" s="85">
        <v>0</v>
      </c>
      <c r="AD824" s="85"/>
    </row>
    <row r="825" spans="1:30">
      <c r="A825" s="82" t="s">
        <v>418</v>
      </c>
      <c r="B825" s="83" t="s">
        <v>597</v>
      </c>
      <c r="C825" s="85">
        <v>0</v>
      </c>
      <c r="D825" s="85">
        <v>0</v>
      </c>
      <c r="E825" s="85">
        <v>0</v>
      </c>
      <c r="F825" s="85">
        <v>0</v>
      </c>
      <c r="G825" s="85">
        <v>0</v>
      </c>
      <c r="H825" s="85">
        <v>0</v>
      </c>
      <c r="I825" s="85">
        <v>0</v>
      </c>
      <c r="J825" s="85">
        <v>0</v>
      </c>
      <c r="K825" s="85">
        <v>0</v>
      </c>
      <c r="L825" s="85">
        <v>0</v>
      </c>
      <c r="M825" s="85">
        <v>0</v>
      </c>
      <c r="N825" s="85">
        <v>2.4E-2</v>
      </c>
      <c r="O825" s="85">
        <f>2.1*0.02</f>
        <v>4.2000000000000003E-2</v>
      </c>
      <c r="P825" s="85">
        <f>1.2*0.02</f>
        <v>2.4E-2</v>
      </c>
      <c r="Q825" s="85">
        <v>0</v>
      </c>
      <c r="R825" s="85">
        <v>0</v>
      </c>
      <c r="S825" s="85">
        <f>1.5*0.02</f>
        <v>0.03</v>
      </c>
      <c r="T825" s="85">
        <v>0</v>
      </c>
      <c r="U825" s="85">
        <f>1*0.02</f>
        <v>0.02</v>
      </c>
      <c r="V825" s="85">
        <v>0</v>
      </c>
      <c r="W825" s="85">
        <v>0</v>
      </c>
      <c r="X825" s="85">
        <v>0</v>
      </c>
      <c r="Y825" s="85">
        <v>0</v>
      </c>
      <c r="Z825" s="85">
        <v>0</v>
      </c>
      <c r="AA825" s="85">
        <v>0</v>
      </c>
      <c r="AB825" s="85">
        <v>0</v>
      </c>
      <c r="AC825" s="85">
        <v>0</v>
      </c>
      <c r="AD825" s="85"/>
    </row>
    <row r="826" spans="1:30">
      <c r="A826" s="82" t="s">
        <v>418</v>
      </c>
      <c r="B826" s="83" t="s">
        <v>600</v>
      </c>
      <c r="C826" s="85">
        <v>0</v>
      </c>
      <c r="D826" s="85">
        <v>0</v>
      </c>
      <c r="E826" s="85">
        <v>0</v>
      </c>
      <c r="F826" s="85">
        <v>0</v>
      </c>
      <c r="G826" s="85">
        <v>0</v>
      </c>
      <c r="H826" s="85">
        <v>0</v>
      </c>
      <c r="I826" s="85">
        <v>0</v>
      </c>
      <c r="J826" s="85">
        <v>0</v>
      </c>
      <c r="K826" s="85">
        <v>0</v>
      </c>
      <c r="L826" s="85">
        <v>0</v>
      </c>
      <c r="M826" s="85">
        <v>0</v>
      </c>
      <c r="N826" s="85">
        <v>0</v>
      </c>
      <c r="O826" s="85">
        <v>0</v>
      </c>
      <c r="P826" s="85">
        <v>0</v>
      </c>
      <c r="Q826" s="85">
        <v>0</v>
      </c>
      <c r="R826" s="85">
        <v>0</v>
      </c>
      <c r="S826" s="85">
        <v>0</v>
      </c>
      <c r="T826" s="85">
        <v>0</v>
      </c>
      <c r="U826" s="85">
        <v>0</v>
      </c>
      <c r="V826" s="85">
        <v>0</v>
      </c>
      <c r="W826" s="85">
        <v>0</v>
      </c>
      <c r="X826" s="85">
        <v>0</v>
      </c>
      <c r="Y826" s="85">
        <v>0</v>
      </c>
      <c r="Z826" s="85">
        <v>0</v>
      </c>
      <c r="AA826" s="85">
        <v>0</v>
      </c>
      <c r="AB826" s="85">
        <v>0</v>
      </c>
      <c r="AC826" s="85">
        <v>0</v>
      </c>
      <c r="AD826" s="85"/>
    </row>
    <row r="827" spans="1:30">
      <c r="A827" s="82" t="s">
        <v>418</v>
      </c>
      <c r="B827" s="83" t="s">
        <v>595</v>
      </c>
      <c r="C827" s="85">
        <v>0</v>
      </c>
      <c r="D827" s="85">
        <v>0</v>
      </c>
      <c r="E827" s="85">
        <v>0</v>
      </c>
      <c r="F827" s="85">
        <v>0</v>
      </c>
      <c r="G827" s="85">
        <v>0</v>
      </c>
      <c r="H827" s="85">
        <v>0</v>
      </c>
      <c r="I827" s="85">
        <v>0</v>
      </c>
      <c r="J827" s="85">
        <v>0</v>
      </c>
      <c r="K827" s="85">
        <v>0</v>
      </c>
      <c r="L827" s="85">
        <f>80*0.11</f>
        <v>8.8000000000000007</v>
      </c>
      <c r="M827" s="85">
        <f>236.92*0.11</f>
        <v>26.061199999999999</v>
      </c>
      <c r="N827" s="85">
        <v>6.1204000000000001</v>
      </c>
      <c r="O827" s="85">
        <f>59*0.11</f>
        <v>6.49</v>
      </c>
      <c r="P827" s="85">
        <f>371.25*0.11</f>
        <v>40.837499999999999</v>
      </c>
      <c r="Q827" s="85">
        <f>(646.1+88.6)*0.11</f>
        <v>80.817000000000007</v>
      </c>
      <c r="R827" s="85">
        <f>585*0.11</f>
        <v>64.349999999999994</v>
      </c>
      <c r="S827" s="85">
        <f>594*0.11</f>
        <v>65.34</v>
      </c>
      <c r="T827" s="85">
        <f>361*0.11</f>
        <v>39.71</v>
      </c>
      <c r="U827" s="85">
        <f>100*0.11</f>
        <v>11</v>
      </c>
      <c r="V827" s="85">
        <f>21.5*0.11</f>
        <v>2.3650000000000002</v>
      </c>
      <c r="W827" s="85">
        <f>150.2*0.11</f>
        <v>16.521999999999998</v>
      </c>
      <c r="X827" s="85">
        <f>334.02*0.11</f>
        <v>36.742199999999997</v>
      </c>
      <c r="Y827" s="85">
        <f>588*0.11</f>
        <v>64.680000000000007</v>
      </c>
      <c r="Z827" s="85">
        <f>250*0.11</f>
        <v>27.5</v>
      </c>
      <c r="AA827" s="85">
        <f>300*0.11</f>
        <v>33</v>
      </c>
      <c r="AB827" s="85">
        <f>330*0.11</f>
        <v>36.299999999999997</v>
      </c>
      <c r="AC827" s="85">
        <f>265*0.11</f>
        <v>29.15</v>
      </c>
      <c r="AD827" s="85"/>
    </row>
    <row r="828" spans="1:30">
      <c r="A828" s="82" t="s">
        <v>418</v>
      </c>
      <c r="B828" s="83" t="s">
        <v>700</v>
      </c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>
        <f>90*0.11</f>
        <v>9.9</v>
      </c>
      <c r="S828" s="85">
        <v>0</v>
      </c>
      <c r="T828" s="85">
        <v>0</v>
      </c>
      <c r="U828" s="85">
        <v>0</v>
      </c>
      <c r="V828" s="85">
        <v>0</v>
      </c>
      <c r="W828" s="85">
        <v>0</v>
      </c>
      <c r="X828" s="85">
        <v>0</v>
      </c>
      <c r="Y828" s="85">
        <v>0</v>
      </c>
      <c r="Z828" s="85">
        <v>0</v>
      </c>
      <c r="AA828" s="85">
        <v>0</v>
      </c>
      <c r="AB828" s="85">
        <v>0</v>
      </c>
      <c r="AC828" s="85">
        <v>0</v>
      </c>
      <c r="AD828" s="85"/>
    </row>
    <row r="829" spans="1:30">
      <c r="A829" s="82" t="s">
        <v>418</v>
      </c>
      <c r="B829" s="83" t="s">
        <v>596</v>
      </c>
      <c r="C829" s="85">
        <v>0</v>
      </c>
      <c r="D829" s="85">
        <v>0</v>
      </c>
      <c r="E829" s="85">
        <v>0</v>
      </c>
      <c r="F829" s="85">
        <v>0</v>
      </c>
      <c r="G829" s="85">
        <v>0</v>
      </c>
      <c r="H829" s="85">
        <v>0</v>
      </c>
      <c r="I829" s="85">
        <v>0</v>
      </c>
      <c r="J829" s="85">
        <v>0</v>
      </c>
      <c r="K829" s="85">
        <v>0</v>
      </c>
      <c r="L829" s="85">
        <v>0</v>
      </c>
      <c r="M829" s="85">
        <f>0.6*0.065</f>
        <v>3.9E-2</v>
      </c>
      <c r="N829" s="85">
        <v>9.7500000000000003E-2</v>
      </c>
      <c r="O829" s="85">
        <f>1.8*0.065</f>
        <v>0.11700000000000001</v>
      </c>
      <c r="P829" s="85">
        <f>33.6*0.065</f>
        <v>2.1840000000000002</v>
      </c>
      <c r="Q829" s="85">
        <v>0</v>
      </c>
      <c r="R829" s="85">
        <f>121.15*0.065</f>
        <v>7.8747500000000006</v>
      </c>
      <c r="S829" s="85">
        <f>158*0.065</f>
        <v>10.27</v>
      </c>
      <c r="T829" s="85">
        <f>80.87*0.065</f>
        <v>5.2565500000000007</v>
      </c>
      <c r="U829" s="85">
        <v>0</v>
      </c>
      <c r="V829" s="85">
        <f>14.04*0.065</f>
        <v>0.91259999999999997</v>
      </c>
      <c r="W829" s="85">
        <f>46.73262*0.065</f>
        <v>3.0376202999999999</v>
      </c>
      <c r="X829" s="85">
        <f>49.128*0.065</f>
        <v>3.1933199999999999</v>
      </c>
      <c r="Y829" s="85">
        <f>45*0.065</f>
        <v>2.9250000000000003</v>
      </c>
      <c r="Z829" s="85">
        <f>100*0.065</f>
        <v>6.5</v>
      </c>
      <c r="AA829" s="85">
        <f>120*0.065</f>
        <v>7.8000000000000007</v>
      </c>
      <c r="AB829" s="85">
        <f>90*0.065</f>
        <v>5.8500000000000005</v>
      </c>
      <c r="AC829" s="85">
        <f>50*0.065</f>
        <v>3.25</v>
      </c>
      <c r="AD829" s="85"/>
    </row>
    <row r="830" spans="1:30">
      <c r="A830" s="82" t="s">
        <v>418</v>
      </c>
      <c r="B830" s="83" t="s">
        <v>594</v>
      </c>
      <c r="C830" s="85">
        <v>0</v>
      </c>
      <c r="D830" s="85">
        <v>0</v>
      </c>
      <c r="E830" s="85">
        <f>210*0.055</f>
        <v>11.55</v>
      </c>
      <c r="F830" s="85">
        <f>261.25*0.055</f>
        <v>14.36875</v>
      </c>
      <c r="G830" s="85">
        <f>470.24*0.055</f>
        <v>25.863199999999999</v>
      </c>
      <c r="H830" s="85">
        <f>363.94*0.055</f>
        <v>20.0167</v>
      </c>
      <c r="I830" s="85">
        <f>560.86*0.055</f>
        <v>30.847300000000001</v>
      </c>
      <c r="J830" s="85">
        <f>196.84*0.055</f>
        <v>10.8262</v>
      </c>
      <c r="K830" s="85">
        <f>629.45*0.055</f>
        <v>34.619750000000003</v>
      </c>
      <c r="L830" s="85">
        <f>653.18*0.055</f>
        <v>35.924900000000001</v>
      </c>
      <c r="M830" s="85">
        <f>619.97*0.055</f>
        <v>34.098350000000003</v>
      </c>
      <c r="N830" s="85">
        <v>42.587600000000002</v>
      </c>
      <c r="O830" s="85">
        <f>702.66*0.055</f>
        <v>38.646299999999997</v>
      </c>
      <c r="P830" s="85">
        <f>977.76*0.055</f>
        <v>53.776800000000001</v>
      </c>
      <c r="Q830" s="85">
        <f>1279.9*0.055</f>
        <v>70.394500000000008</v>
      </c>
      <c r="R830" s="85">
        <f>920*0.055</f>
        <v>50.6</v>
      </c>
      <c r="S830" s="85">
        <f>1835*0.055</f>
        <v>100.925</v>
      </c>
      <c r="T830" s="85">
        <f>694.44*0.055</f>
        <v>38.194200000000002</v>
      </c>
      <c r="U830" s="85">
        <f>309.25*0.055</f>
        <v>17.008749999999999</v>
      </c>
      <c r="V830" s="85">
        <f>322.13*0.055</f>
        <v>17.71715</v>
      </c>
      <c r="W830" s="85">
        <f>494.26*0.055</f>
        <v>27.1843</v>
      </c>
      <c r="X830" s="85">
        <f>308.79*0.055</f>
        <v>16.983450000000001</v>
      </c>
      <c r="Y830" s="85">
        <f>560*0.055</f>
        <v>30.8</v>
      </c>
      <c r="Z830" s="85">
        <f>660*0.055</f>
        <v>36.299999999999997</v>
      </c>
      <c r="AA830" s="85">
        <f>550*0.055</f>
        <v>30.25</v>
      </c>
      <c r="AB830" s="85">
        <f>725*0.055</f>
        <v>39.875</v>
      </c>
      <c r="AC830" s="85">
        <f>600*0.055</f>
        <v>33</v>
      </c>
      <c r="AD830" s="85"/>
    </row>
    <row r="831" spans="1:30">
      <c r="A831" s="82" t="s">
        <v>418</v>
      </c>
      <c r="B831" s="87" t="s">
        <v>643</v>
      </c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>
        <v>0</v>
      </c>
      <c r="O831" s="85">
        <v>0</v>
      </c>
      <c r="P831" s="85">
        <v>0</v>
      </c>
      <c r="Q831" s="85">
        <v>0</v>
      </c>
      <c r="R831" s="85">
        <v>0</v>
      </c>
      <c r="S831" s="85">
        <v>0</v>
      </c>
      <c r="T831" s="85">
        <v>0</v>
      </c>
      <c r="U831" s="85">
        <v>0</v>
      </c>
      <c r="V831" s="85">
        <v>0</v>
      </c>
      <c r="W831" s="85">
        <v>0</v>
      </c>
      <c r="X831" s="85">
        <v>0</v>
      </c>
      <c r="Y831" s="85">
        <v>0</v>
      </c>
      <c r="Z831" s="85">
        <v>0</v>
      </c>
      <c r="AA831" s="85">
        <v>0</v>
      </c>
      <c r="AB831" s="85">
        <v>0</v>
      </c>
      <c r="AC831" s="85">
        <v>0</v>
      </c>
      <c r="AD831" s="85"/>
    </row>
    <row r="832" spans="1:30">
      <c r="A832" s="82" t="s">
        <v>742</v>
      </c>
      <c r="B832" s="83" t="s">
        <v>597</v>
      </c>
      <c r="C832" s="85">
        <f>90*0.02</f>
        <v>1.8</v>
      </c>
      <c r="D832" s="85">
        <f>59*0.02</f>
        <v>1.18</v>
      </c>
      <c r="E832" s="85">
        <f>60*0.02</f>
        <v>1.2</v>
      </c>
      <c r="F832" s="85">
        <f>45*0.02</f>
        <v>0.9</v>
      </c>
      <c r="G832" s="85">
        <f>53*0.02</f>
        <v>1.06</v>
      </c>
      <c r="H832" s="85">
        <f>67*0.02</f>
        <v>1.34</v>
      </c>
      <c r="I832" s="85">
        <f>65.5*0.02</f>
        <v>1.31</v>
      </c>
      <c r="J832" s="85">
        <f>114.1*0.02</f>
        <v>2.282</v>
      </c>
      <c r="K832" s="85">
        <f>75.5*0.02</f>
        <v>1.51</v>
      </c>
      <c r="L832" s="85">
        <f>107.02*0.02</f>
        <v>2.1404000000000001</v>
      </c>
      <c r="M832" s="85">
        <f>64.71*0.02</f>
        <v>1.2941999999999998</v>
      </c>
      <c r="N832" s="85">
        <v>3.1212</v>
      </c>
      <c r="O832" s="85">
        <f>(98.675-1.0896)*0.02</f>
        <v>1.951708</v>
      </c>
      <c r="P832" s="85">
        <f>145.57*0.02</f>
        <v>2.9114</v>
      </c>
      <c r="Q832" s="85">
        <f>179.342*0.02</f>
        <v>3.5868400000000005</v>
      </c>
      <c r="R832" s="85">
        <f>140.16*0.02</f>
        <v>2.8031999999999999</v>
      </c>
      <c r="S832" s="85">
        <f>134.53*0.02</f>
        <v>2.6905999999999999</v>
      </c>
      <c r="T832" s="85">
        <f>198.88*0.02</f>
        <v>3.9775999999999998</v>
      </c>
      <c r="U832" s="85">
        <f>113.47*0.02</f>
        <v>2.2694000000000001</v>
      </c>
      <c r="V832" s="85">
        <f>136.06*0.02</f>
        <v>2.7212000000000001</v>
      </c>
      <c r="W832" s="85">
        <f>142.93*0.02</f>
        <v>2.8586</v>
      </c>
      <c r="X832" s="85">
        <f>134.66*0.02</f>
        <v>2.6932</v>
      </c>
      <c r="Y832" s="85">
        <f>138.78*0.02</f>
        <v>2.7756000000000003</v>
      </c>
      <c r="Z832" s="85">
        <f>184.79*0.02</f>
        <v>3.6957999999999998</v>
      </c>
      <c r="AA832" s="85">
        <f>51.18*0.02</f>
        <v>1.0236000000000001</v>
      </c>
      <c r="AB832" s="85">
        <f>119.026*0.02</f>
        <v>2.3805200000000002</v>
      </c>
      <c r="AC832" s="85">
        <f>91.24*0.02</f>
        <v>1.8248</v>
      </c>
      <c r="AD832" s="85"/>
    </row>
    <row r="833" spans="1:30">
      <c r="A833" s="82" t="s">
        <v>742</v>
      </c>
      <c r="B833" s="83" t="s">
        <v>600</v>
      </c>
      <c r="C833" s="85">
        <v>0</v>
      </c>
      <c r="D833" s="85">
        <v>0</v>
      </c>
      <c r="E833" s="85">
        <v>0</v>
      </c>
      <c r="F833" s="85">
        <v>0</v>
      </c>
      <c r="G833" s="85">
        <v>0</v>
      </c>
      <c r="H833" s="85">
        <v>0</v>
      </c>
      <c r="I833" s="85">
        <v>0</v>
      </c>
      <c r="J833" s="85">
        <v>0</v>
      </c>
      <c r="K833" s="85">
        <f>2.51*0.022</f>
        <v>5.5219999999999991E-2</v>
      </c>
      <c r="L833" s="85">
        <f>3.08*0.022</f>
        <v>6.7760000000000001E-2</v>
      </c>
      <c r="M833" s="85">
        <f>1.68*0.022</f>
        <v>3.696E-2</v>
      </c>
      <c r="N833" s="85">
        <v>0</v>
      </c>
      <c r="O833" s="85">
        <v>0</v>
      </c>
      <c r="P833" s="85">
        <v>0</v>
      </c>
      <c r="Q833" s="85">
        <f>0.027*0.022</f>
        <v>5.9399999999999991E-4</v>
      </c>
      <c r="R833" s="85">
        <f>6.8*0.022</f>
        <v>0.14959999999999998</v>
      </c>
      <c r="S833" s="85">
        <f>2.99*0.022</f>
        <v>6.5780000000000005E-2</v>
      </c>
      <c r="T833" s="85">
        <f>2.99*0.022</f>
        <v>6.5780000000000005E-2</v>
      </c>
      <c r="U833" s="85">
        <f>4.03*0.022</f>
        <v>8.8660000000000003E-2</v>
      </c>
      <c r="V833" s="85">
        <f>4.41*0.022</f>
        <v>9.7019999999999995E-2</v>
      </c>
      <c r="W833" s="85">
        <f>0.12*0.022</f>
        <v>2.6399999999999996E-3</v>
      </c>
      <c r="X833" s="85">
        <v>0</v>
      </c>
      <c r="Y833" s="85">
        <v>0</v>
      </c>
      <c r="Z833" s="85">
        <v>0</v>
      </c>
      <c r="AA833" s="85">
        <v>0</v>
      </c>
      <c r="AB833" s="85">
        <v>0</v>
      </c>
      <c r="AC833" s="85">
        <v>0</v>
      </c>
      <c r="AD833" s="85"/>
    </row>
    <row r="834" spans="1:30">
      <c r="A834" s="82" t="s">
        <v>742</v>
      </c>
      <c r="B834" s="83" t="s">
        <v>595</v>
      </c>
      <c r="C834" s="85">
        <f>183*0.11</f>
        <v>20.13</v>
      </c>
      <c r="D834" s="85">
        <f>811*0.11</f>
        <v>89.21</v>
      </c>
      <c r="E834" s="85">
        <f>1380*0.11</f>
        <v>151.80000000000001</v>
      </c>
      <c r="F834" s="85">
        <f>1182*0.11</f>
        <v>130.02000000000001</v>
      </c>
      <c r="G834" s="85">
        <f>1630*0.11</f>
        <v>179.3</v>
      </c>
      <c r="H834" s="85">
        <f>1674*0.11</f>
        <v>184.14000000000001</v>
      </c>
      <c r="I834" s="85">
        <f>2295*0.11</f>
        <v>252.45</v>
      </c>
      <c r="J834" s="85">
        <f>2825*0.11</f>
        <v>310.75</v>
      </c>
      <c r="K834" s="85">
        <f>3433.4*0.11</f>
        <v>377.67400000000004</v>
      </c>
      <c r="L834" s="85">
        <f>2945.63*0.11</f>
        <v>324.01929999999999</v>
      </c>
      <c r="M834" s="85">
        <f>2029.14*0.11</f>
        <v>223.20540000000003</v>
      </c>
      <c r="N834" s="85">
        <v>213.7784</v>
      </c>
      <c r="O834" s="85">
        <f>1608.73*0.11</f>
        <v>176.96029999999999</v>
      </c>
      <c r="P834" s="85">
        <f>1841.56*0.11</f>
        <v>202.57159999999999</v>
      </c>
      <c r="Q834" s="85">
        <f>1810.38*0.11</f>
        <v>199.14180000000002</v>
      </c>
      <c r="R834" s="85">
        <f>1921*0.11</f>
        <v>211.31</v>
      </c>
      <c r="S834" s="85">
        <f>1620.23*0.11</f>
        <v>178.2253</v>
      </c>
      <c r="T834" s="85">
        <f>2028.98*0.11</f>
        <v>223.18780000000001</v>
      </c>
      <c r="U834" s="85">
        <f>(1886.49-69.12)*0.11</f>
        <v>199.91069999999999</v>
      </c>
      <c r="V834" s="85">
        <f>1589.75*0.11</f>
        <v>174.8725</v>
      </c>
      <c r="W834" s="85">
        <f>1817.675*0.11</f>
        <v>199.94424999999998</v>
      </c>
      <c r="X834" s="85">
        <f>1352.92*0.11</f>
        <v>148.8212</v>
      </c>
      <c r="Y834" s="85">
        <f>717.86*0.11</f>
        <v>78.964600000000004</v>
      </c>
      <c r="Z834" s="85">
        <f>582.41*0.11</f>
        <v>64.065100000000001</v>
      </c>
      <c r="AA834" s="85">
        <f>543.88*0.11</f>
        <v>59.826799999999999</v>
      </c>
      <c r="AB834" s="85">
        <f>503.96*0.11</f>
        <v>55.435600000000001</v>
      </c>
      <c r="AC834" s="85">
        <f>347.29*0.11</f>
        <v>38.201900000000002</v>
      </c>
      <c r="AD834" s="85"/>
    </row>
    <row r="835" spans="1:30">
      <c r="A835" s="82" t="s">
        <v>742</v>
      </c>
      <c r="B835" s="83" t="s">
        <v>700</v>
      </c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>
        <f>160.53*0.11</f>
        <v>17.658300000000001</v>
      </c>
      <c r="T835" s="85">
        <v>0</v>
      </c>
      <c r="U835" s="85">
        <v>0</v>
      </c>
      <c r="V835" s="85">
        <f>101.73*0.11</f>
        <v>11.190300000000001</v>
      </c>
      <c r="W835" s="85">
        <f>(588.92-396.89)*0.11</f>
        <v>21.123299999999997</v>
      </c>
      <c r="X835" s="85">
        <v>0</v>
      </c>
      <c r="Y835" s="85">
        <v>0</v>
      </c>
      <c r="Z835" s="85">
        <f>(87.78-61.6)*0.11</f>
        <v>2.8797999999999999</v>
      </c>
      <c r="AA835" s="85">
        <f>42.24*0.11</f>
        <v>4.6463999999999999</v>
      </c>
      <c r="AB835" s="85">
        <f>12.1*0.11</f>
        <v>1.331</v>
      </c>
      <c r="AC835" s="85">
        <f>20.13*0.11</f>
        <v>2.2142999999999997</v>
      </c>
      <c r="AD835" s="85"/>
    </row>
    <row r="836" spans="1:30">
      <c r="A836" s="82" t="s">
        <v>742</v>
      </c>
      <c r="B836" s="83" t="s">
        <v>596</v>
      </c>
      <c r="C836" s="85">
        <v>0</v>
      </c>
      <c r="D836" s="85">
        <f>2*0.065</f>
        <v>0.13</v>
      </c>
      <c r="E836" s="85">
        <v>0</v>
      </c>
      <c r="F836" s="88">
        <f>0.09*0.065</f>
        <v>5.8500000000000002E-3</v>
      </c>
      <c r="G836" s="85">
        <v>0</v>
      </c>
      <c r="H836" s="85">
        <v>0</v>
      </c>
      <c r="I836" s="85">
        <v>0</v>
      </c>
      <c r="J836" s="85">
        <v>0</v>
      </c>
      <c r="K836" s="85">
        <f>84.1*0.065</f>
        <v>5.4664999999999999</v>
      </c>
      <c r="L836" s="85">
        <f>50.37*0.065</f>
        <v>3.2740499999999999</v>
      </c>
      <c r="M836" s="85">
        <f>64.43*0.065</f>
        <v>4.1879500000000007</v>
      </c>
      <c r="N836" s="85">
        <v>2.5584000000000002</v>
      </c>
      <c r="O836" s="85">
        <f>6.489*0.065</f>
        <v>0.42178500000000002</v>
      </c>
      <c r="P836" s="85">
        <f>3.6*0.065</f>
        <v>0.23400000000000001</v>
      </c>
      <c r="Q836" s="85">
        <f>3.62*0.065</f>
        <v>0.23530000000000001</v>
      </c>
      <c r="R836" s="85">
        <v>0</v>
      </c>
      <c r="S836" s="85">
        <f>4.62*0.065</f>
        <v>0.30030000000000001</v>
      </c>
      <c r="T836" s="85">
        <v>0</v>
      </c>
      <c r="U836" s="85">
        <v>0</v>
      </c>
      <c r="V836" s="85">
        <v>0</v>
      </c>
      <c r="W836" s="85">
        <v>0</v>
      </c>
      <c r="X836" s="85">
        <v>0</v>
      </c>
      <c r="Y836" s="85">
        <v>0</v>
      </c>
      <c r="Z836" s="85">
        <v>0</v>
      </c>
      <c r="AA836" s="85">
        <v>0</v>
      </c>
      <c r="AB836" s="85">
        <v>0</v>
      </c>
      <c r="AC836" s="85">
        <v>0</v>
      </c>
      <c r="AD836" s="85"/>
    </row>
    <row r="837" spans="1:30">
      <c r="A837" s="82" t="s">
        <v>742</v>
      </c>
      <c r="B837" s="83" t="s">
        <v>246</v>
      </c>
      <c r="C837" s="85">
        <v>0</v>
      </c>
      <c r="D837" s="85">
        <v>0</v>
      </c>
      <c r="E837" s="85">
        <v>0</v>
      </c>
      <c r="F837" s="85">
        <v>0</v>
      </c>
      <c r="G837" s="85">
        <v>0</v>
      </c>
      <c r="H837" s="85">
        <v>0</v>
      </c>
      <c r="I837" s="85">
        <v>0</v>
      </c>
      <c r="J837" s="85">
        <v>0</v>
      </c>
      <c r="K837" s="85">
        <v>0</v>
      </c>
      <c r="L837" s="101">
        <f>0.001494*0.04</f>
        <v>5.9760000000000004E-5</v>
      </c>
      <c r="M837" s="85">
        <v>0</v>
      </c>
      <c r="N837" s="85"/>
      <c r="O837" s="85">
        <v>0</v>
      </c>
      <c r="P837" s="85">
        <v>0</v>
      </c>
      <c r="Q837" s="85">
        <v>0</v>
      </c>
      <c r="R837" s="85">
        <v>0</v>
      </c>
      <c r="S837" s="85">
        <v>0</v>
      </c>
      <c r="T837" s="85">
        <v>0</v>
      </c>
      <c r="U837" s="85">
        <v>0</v>
      </c>
      <c r="V837" s="85">
        <v>0</v>
      </c>
      <c r="W837" s="85">
        <v>0</v>
      </c>
      <c r="X837" s="85">
        <v>0</v>
      </c>
      <c r="Y837" s="85">
        <v>0</v>
      </c>
      <c r="Z837" s="85">
        <v>0</v>
      </c>
      <c r="AA837" s="85">
        <v>0</v>
      </c>
      <c r="AB837" s="85">
        <v>0</v>
      </c>
      <c r="AC837" s="85">
        <v>0</v>
      </c>
      <c r="AD837" s="85"/>
    </row>
    <row r="838" spans="1:30">
      <c r="A838" s="82" t="s">
        <v>742</v>
      </c>
      <c r="B838" s="83" t="s">
        <v>594</v>
      </c>
      <c r="C838" s="85">
        <f>5913*0.055</f>
        <v>325.21499999999997</v>
      </c>
      <c r="D838" s="85">
        <f>6933*0.055</f>
        <v>381.315</v>
      </c>
      <c r="E838" s="85">
        <f>6993*0.055</f>
        <v>384.61500000000001</v>
      </c>
      <c r="F838" s="85">
        <f>6462*0.055</f>
        <v>355.41</v>
      </c>
      <c r="G838" s="85">
        <f>7620*0.055</f>
        <v>419.1</v>
      </c>
      <c r="H838" s="85">
        <f>10290*0.055</f>
        <v>565.95000000000005</v>
      </c>
      <c r="I838" s="85">
        <f>12892*0.055</f>
        <v>709.06000000000006</v>
      </c>
      <c r="J838" s="85">
        <f>11386*0.055</f>
        <v>626.23</v>
      </c>
      <c r="K838" s="85">
        <f>12695.4*0.055</f>
        <v>698.24699999999996</v>
      </c>
      <c r="L838" s="85">
        <f>(11372.49-0.04+11372.45)*0.055</f>
        <v>1250.9695000000002</v>
      </c>
      <c r="M838" s="85">
        <f>(11883.61-36.19)*0.055</f>
        <v>651.60810000000004</v>
      </c>
      <c r="N838" s="85">
        <v>627.08084999999994</v>
      </c>
      <c r="O838" s="85">
        <f>(12696.448-84.975)*0.055</f>
        <v>693.63101500000005</v>
      </c>
      <c r="P838" s="85">
        <f>(12692.07-147.49)*0.055</f>
        <v>689.95190000000002</v>
      </c>
      <c r="Q838" s="85">
        <f>(11366.795-90.315)*0.055</f>
        <v>620.20640000000003</v>
      </c>
      <c r="R838" s="85">
        <f>(14864.56-83.84)*0.055</f>
        <v>812.93959999999993</v>
      </c>
      <c r="S838" s="85">
        <f>(11586.3-140.54)*0.055</f>
        <v>629.51679999999988</v>
      </c>
      <c r="T838" s="85">
        <f>(16923.59-102.4)*0.055</f>
        <v>925.16544999999996</v>
      </c>
      <c r="U838" s="85">
        <f>(12061.94-73.08)*0.055</f>
        <v>659.38729999999998</v>
      </c>
      <c r="V838" s="85">
        <f>(11825.83-61.48)*0.055</f>
        <v>647.03925000000004</v>
      </c>
      <c r="W838" s="85">
        <f>(10389.5-24.19)*0.055</f>
        <v>570.09204999999997</v>
      </c>
      <c r="X838" s="85">
        <f>(7922.02-1.28)*0.055</f>
        <v>435.64070000000004</v>
      </c>
      <c r="Y838" s="85">
        <f>(5922.73-63.25)*0.055</f>
        <v>322.27139999999997</v>
      </c>
      <c r="Z838" s="85">
        <f>(5257.09-106.68)*0.055</f>
        <v>283.27254999999997</v>
      </c>
      <c r="AA838" s="85">
        <f>5469.2*0.055</f>
        <v>300.80599999999998</v>
      </c>
      <c r="AB838" s="85">
        <f>(5329.316-14.96)*0.055</f>
        <v>292.28958</v>
      </c>
      <c r="AC838" s="85">
        <f>(4359.26-14.96)*0.055</f>
        <v>238.93650000000002</v>
      </c>
      <c r="AD838" s="85"/>
    </row>
    <row r="839" spans="1:30">
      <c r="A839" s="82" t="s">
        <v>742</v>
      </c>
      <c r="B839" s="83" t="s">
        <v>643</v>
      </c>
      <c r="C839" s="85">
        <f>13*0.07</f>
        <v>0.91000000000000014</v>
      </c>
      <c r="D839" s="85">
        <f>103*0.07</f>
        <v>7.2100000000000009</v>
      </c>
      <c r="E839" s="85">
        <f>125*0.07</f>
        <v>8.75</v>
      </c>
      <c r="F839" s="85">
        <f>303*0.07</f>
        <v>21.21</v>
      </c>
      <c r="G839" s="85">
        <f>533*0.07</f>
        <v>37.31</v>
      </c>
      <c r="H839" s="85">
        <f>565*0.07</f>
        <v>39.550000000000004</v>
      </c>
      <c r="I839" s="85">
        <f>498*0.07</f>
        <v>34.860000000000007</v>
      </c>
      <c r="J839" s="85">
        <f>321.2*0.07</f>
        <v>22.484000000000002</v>
      </c>
      <c r="K839" s="85">
        <f>409.66*0.07</f>
        <v>28.676200000000005</v>
      </c>
      <c r="L839" s="85">
        <f>420.63*0.07</f>
        <v>29.444100000000002</v>
      </c>
      <c r="M839" s="85">
        <f>316.3*0.07</f>
        <v>22.141000000000002</v>
      </c>
      <c r="N839" s="85">
        <v>23.034200000000002</v>
      </c>
      <c r="O839" s="85">
        <v>0</v>
      </c>
      <c r="P839" s="85">
        <v>0</v>
      </c>
      <c r="Q839" s="85">
        <v>0</v>
      </c>
      <c r="R839" s="85">
        <v>0</v>
      </c>
      <c r="S839" s="85">
        <v>0</v>
      </c>
      <c r="T839" s="85">
        <f>21.89*0.07</f>
        <v>1.5323000000000002</v>
      </c>
      <c r="U839" s="85">
        <f>13.64*0.07</f>
        <v>0.95480000000000009</v>
      </c>
      <c r="V839" s="85">
        <f>39.35*0.07</f>
        <v>2.7545000000000002</v>
      </c>
      <c r="W839" s="85">
        <f>32.395*0.07</f>
        <v>2.2676500000000006</v>
      </c>
      <c r="X839" s="85">
        <f>27.73*0.07</f>
        <v>1.9411000000000003</v>
      </c>
      <c r="Y839" s="85">
        <f>8.27*0.07</f>
        <v>0.57889999999999997</v>
      </c>
      <c r="Z839" s="85">
        <f>30.25*0.07</f>
        <v>2.1175000000000002</v>
      </c>
      <c r="AA839" s="85">
        <f>13.92*0.07</f>
        <v>0.97440000000000004</v>
      </c>
      <c r="AB839" s="85">
        <f>4*0.07</f>
        <v>0.28000000000000003</v>
      </c>
      <c r="AC839" s="85">
        <v>0</v>
      </c>
      <c r="AD839" s="85"/>
    </row>
    <row r="840" spans="1:30">
      <c r="A840" s="82" t="s">
        <v>742</v>
      </c>
      <c r="B840" s="83" t="s">
        <v>405</v>
      </c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>
        <f>15.384*0.025</f>
        <v>0.38460000000000005</v>
      </c>
      <c r="R840" s="85">
        <v>0</v>
      </c>
      <c r="S840" s="85">
        <f>(12.89-0.03)*0.025</f>
        <v>0.32150000000000006</v>
      </c>
      <c r="T840" s="85">
        <f>10.81*0.025</f>
        <v>0.27025000000000005</v>
      </c>
      <c r="U840" s="85">
        <f>10.8*0.025</f>
        <v>0.27</v>
      </c>
      <c r="V840" s="85">
        <v>0</v>
      </c>
      <c r="W840" s="85">
        <v>0</v>
      </c>
      <c r="X840" s="85">
        <v>0</v>
      </c>
      <c r="Y840" s="85">
        <v>0</v>
      </c>
      <c r="Z840" s="85">
        <v>0</v>
      </c>
      <c r="AA840" s="85">
        <f>10.8*0.025</f>
        <v>0.27</v>
      </c>
      <c r="AB840" s="85">
        <v>0</v>
      </c>
      <c r="AC840" s="85">
        <v>0</v>
      </c>
      <c r="AD840" s="85"/>
    </row>
    <row r="841" spans="1:30">
      <c r="A841" s="82" t="s">
        <v>742</v>
      </c>
      <c r="B841" s="83" t="s">
        <v>406</v>
      </c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>
        <f>18.889*0.033</f>
        <v>0.62333700000000003</v>
      </c>
      <c r="R841" s="85">
        <v>0</v>
      </c>
      <c r="S841" s="85">
        <f>15.76*0.033</f>
        <v>0.52007999999999999</v>
      </c>
      <c r="T841" s="85">
        <f>13.21*0.033</f>
        <v>0.43593000000000004</v>
      </c>
      <c r="U841" s="85">
        <f>13.2*0.033</f>
        <v>0.43559999999999999</v>
      </c>
      <c r="V841" s="85">
        <v>0</v>
      </c>
      <c r="W841" s="85">
        <v>0</v>
      </c>
      <c r="X841" s="85">
        <v>0</v>
      </c>
      <c r="Y841" s="85">
        <v>0</v>
      </c>
      <c r="Z841" s="85">
        <v>0</v>
      </c>
      <c r="AA841" s="85">
        <f>13.2*0.033</f>
        <v>0.43559999999999999</v>
      </c>
      <c r="AB841" s="85">
        <v>0</v>
      </c>
      <c r="AC841" s="85">
        <v>0</v>
      </c>
      <c r="AD841" s="85"/>
    </row>
    <row r="842" spans="1:30">
      <c r="A842" s="82" t="s">
        <v>519</v>
      </c>
      <c r="B842" s="83" t="s">
        <v>597</v>
      </c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>
        <v>0</v>
      </c>
      <c r="S842" s="85">
        <v>0</v>
      </c>
      <c r="T842" s="85">
        <v>0</v>
      </c>
      <c r="U842" s="85">
        <v>0</v>
      </c>
      <c r="V842" s="85">
        <v>0</v>
      </c>
      <c r="W842" s="85">
        <v>0</v>
      </c>
      <c r="X842" s="85">
        <v>0</v>
      </c>
      <c r="Y842" s="85">
        <v>0</v>
      </c>
      <c r="Z842" s="85">
        <v>0</v>
      </c>
      <c r="AA842" s="85">
        <v>0</v>
      </c>
      <c r="AB842" s="85">
        <v>0</v>
      </c>
      <c r="AC842" s="85">
        <v>0</v>
      </c>
      <c r="AD842" s="85"/>
    </row>
    <row r="843" spans="1:30">
      <c r="A843" s="82" t="s">
        <v>519</v>
      </c>
      <c r="B843" s="83" t="s">
        <v>600</v>
      </c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>
        <v>0</v>
      </c>
      <c r="S843" s="85">
        <v>0</v>
      </c>
      <c r="T843" s="85">
        <v>0</v>
      </c>
      <c r="U843" s="85">
        <v>0</v>
      </c>
      <c r="V843" s="85">
        <v>0</v>
      </c>
      <c r="W843" s="85">
        <v>0</v>
      </c>
      <c r="X843" s="85">
        <v>0</v>
      </c>
      <c r="Y843" s="85">
        <v>0</v>
      </c>
      <c r="Z843" s="85">
        <v>0</v>
      </c>
      <c r="AA843" s="85">
        <v>0</v>
      </c>
      <c r="AB843" s="85">
        <v>0</v>
      </c>
      <c r="AC843" s="85">
        <v>0</v>
      </c>
      <c r="AD843" s="85"/>
    </row>
    <row r="844" spans="1:30">
      <c r="A844" s="82" t="s">
        <v>519</v>
      </c>
      <c r="B844" s="83" t="s">
        <v>595</v>
      </c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>
        <v>0</v>
      </c>
      <c r="S844" s="85">
        <v>0</v>
      </c>
      <c r="T844" s="85">
        <v>0</v>
      </c>
      <c r="U844" s="85">
        <v>0</v>
      </c>
      <c r="V844" s="85">
        <v>0</v>
      </c>
      <c r="W844" s="85">
        <v>0</v>
      </c>
      <c r="X844" s="85">
        <v>0</v>
      </c>
      <c r="Y844" s="85">
        <v>0</v>
      </c>
      <c r="Z844" s="85">
        <v>0</v>
      </c>
      <c r="AA844" s="85">
        <v>0</v>
      </c>
      <c r="AB844" s="85">
        <v>0</v>
      </c>
      <c r="AC844" s="85">
        <v>0</v>
      </c>
      <c r="AD844" s="85"/>
    </row>
    <row r="845" spans="1:30">
      <c r="A845" s="82" t="s">
        <v>519</v>
      </c>
      <c r="B845" s="83" t="s">
        <v>596</v>
      </c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>
        <v>0</v>
      </c>
      <c r="S845" s="85">
        <v>0</v>
      </c>
      <c r="T845" s="85">
        <v>0</v>
      </c>
      <c r="U845" s="85">
        <v>0</v>
      </c>
      <c r="V845" s="85">
        <v>0</v>
      </c>
      <c r="W845" s="85">
        <v>0</v>
      </c>
      <c r="X845" s="85">
        <v>0</v>
      </c>
      <c r="Y845" s="85">
        <v>0</v>
      </c>
      <c r="Z845" s="85">
        <v>0</v>
      </c>
      <c r="AA845" s="85">
        <v>0</v>
      </c>
      <c r="AB845" s="85">
        <v>0</v>
      </c>
      <c r="AC845" s="85">
        <v>0</v>
      </c>
      <c r="AD845" s="85"/>
    </row>
    <row r="846" spans="1:30">
      <c r="A846" s="82" t="s">
        <v>519</v>
      </c>
      <c r="B846" s="83" t="s">
        <v>594</v>
      </c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>
        <f>8.5*0.055</f>
        <v>0.46750000000000003</v>
      </c>
      <c r="S846" s="85">
        <f>2.81*0.055</f>
        <v>0.15454999999999999</v>
      </c>
      <c r="T846" s="85">
        <f>3.9*0.055</f>
        <v>0.2145</v>
      </c>
      <c r="U846" s="85">
        <f>5.24*0.055</f>
        <v>0.28820000000000001</v>
      </c>
      <c r="V846" s="85">
        <f>5.58*0.055</f>
        <v>0.30690000000000001</v>
      </c>
      <c r="W846" s="85">
        <f>7.5*0.055</f>
        <v>0.41249999999999998</v>
      </c>
      <c r="X846" s="85">
        <f>1.564*0.055</f>
        <v>8.6019999999999999E-2</v>
      </c>
      <c r="Y846" s="85">
        <f>5.427*0.055</f>
        <v>0.298485</v>
      </c>
      <c r="Z846" s="85">
        <f>3.195*0.055</f>
        <v>0.17572499999999999</v>
      </c>
      <c r="AA846" s="85">
        <f>5.434*0.055</f>
        <v>0.29887000000000002</v>
      </c>
      <c r="AB846" s="85">
        <f>3.095*0.055</f>
        <v>0.17022500000000002</v>
      </c>
      <c r="AC846" s="85">
        <f>4.27*0.055</f>
        <v>0.23484999999999998</v>
      </c>
      <c r="AD846" s="85"/>
    </row>
    <row r="847" spans="1:30">
      <c r="A847" s="82" t="s">
        <v>519</v>
      </c>
      <c r="B847" s="87" t="s">
        <v>643</v>
      </c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>
        <v>0</v>
      </c>
      <c r="S847" s="85">
        <v>0</v>
      </c>
      <c r="T847" s="85">
        <v>0</v>
      </c>
      <c r="U847" s="85">
        <v>0</v>
      </c>
      <c r="V847" s="85">
        <v>0</v>
      </c>
      <c r="W847" s="85">
        <v>0</v>
      </c>
      <c r="X847" s="85">
        <v>0</v>
      </c>
      <c r="Y847" s="85">
        <v>0</v>
      </c>
      <c r="Z847" s="85">
        <v>0</v>
      </c>
      <c r="AA847" s="85">
        <v>0</v>
      </c>
      <c r="AB847" s="85">
        <v>0</v>
      </c>
      <c r="AC847" s="85">
        <v>0</v>
      </c>
      <c r="AD847" s="85"/>
    </row>
    <row r="848" spans="1:30">
      <c r="A848" s="82" t="s">
        <v>743</v>
      </c>
      <c r="B848" s="83" t="s">
        <v>597</v>
      </c>
      <c r="C848" s="85">
        <v>0</v>
      </c>
      <c r="D848" s="84" t="s">
        <v>680</v>
      </c>
      <c r="E848" s="84" t="s">
        <v>680</v>
      </c>
      <c r="F848" s="84" t="s">
        <v>680</v>
      </c>
      <c r="G848" s="85">
        <v>0</v>
      </c>
      <c r="H848" s="85">
        <v>0</v>
      </c>
      <c r="I848" s="85">
        <v>0</v>
      </c>
      <c r="J848" s="85">
        <v>0</v>
      </c>
      <c r="K848" s="85">
        <v>0</v>
      </c>
      <c r="L848" s="85">
        <v>0</v>
      </c>
      <c r="M848" s="85">
        <v>0</v>
      </c>
      <c r="N848" s="85">
        <v>0</v>
      </c>
      <c r="O848" s="85">
        <v>0</v>
      </c>
      <c r="P848" s="85"/>
      <c r="Q848" s="85">
        <v>0</v>
      </c>
      <c r="R848" s="85">
        <v>0</v>
      </c>
      <c r="S848" s="85">
        <v>0</v>
      </c>
      <c r="T848" s="85">
        <v>0</v>
      </c>
      <c r="U848" s="85">
        <v>0</v>
      </c>
      <c r="V848" s="85">
        <v>0</v>
      </c>
      <c r="W848" s="85">
        <v>0</v>
      </c>
      <c r="X848" s="85">
        <v>0</v>
      </c>
      <c r="Y848" s="85">
        <v>0</v>
      </c>
      <c r="Z848" s="85">
        <v>0</v>
      </c>
      <c r="AA848" s="85">
        <v>0</v>
      </c>
      <c r="AB848" s="85">
        <v>0</v>
      </c>
      <c r="AC848" s="85">
        <v>0</v>
      </c>
      <c r="AD848" s="85"/>
    </row>
    <row r="849" spans="1:30">
      <c r="A849" s="82" t="s">
        <v>743</v>
      </c>
      <c r="B849" s="83" t="s">
        <v>600</v>
      </c>
      <c r="C849" s="85">
        <v>0</v>
      </c>
      <c r="D849" s="84" t="s">
        <v>680</v>
      </c>
      <c r="E849" s="84" t="s">
        <v>680</v>
      </c>
      <c r="F849" s="84" t="s">
        <v>680</v>
      </c>
      <c r="G849" s="85">
        <v>0</v>
      </c>
      <c r="H849" s="85">
        <v>0</v>
      </c>
      <c r="I849" s="85">
        <v>0</v>
      </c>
      <c r="J849" s="85">
        <v>0</v>
      </c>
      <c r="K849" s="85">
        <v>0</v>
      </c>
      <c r="L849" s="85">
        <v>0</v>
      </c>
      <c r="M849" s="85">
        <v>0</v>
      </c>
      <c r="N849" s="85">
        <v>0</v>
      </c>
      <c r="O849" s="85">
        <v>0</v>
      </c>
      <c r="P849" s="85"/>
      <c r="Q849" s="85">
        <v>0</v>
      </c>
      <c r="R849" s="85">
        <v>0</v>
      </c>
      <c r="S849" s="85">
        <v>0</v>
      </c>
      <c r="T849" s="85">
        <v>0</v>
      </c>
      <c r="U849" s="85">
        <v>0</v>
      </c>
      <c r="V849" s="85">
        <v>0</v>
      </c>
      <c r="W849" s="85">
        <v>0</v>
      </c>
      <c r="X849" s="85">
        <v>0</v>
      </c>
      <c r="Y849" s="85">
        <v>0</v>
      </c>
      <c r="Z849" s="85">
        <v>0</v>
      </c>
      <c r="AA849" s="85">
        <v>0</v>
      </c>
      <c r="AB849" s="85">
        <v>0</v>
      </c>
      <c r="AC849" s="85">
        <v>0</v>
      </c>
      <c r="AD849" s="85"/>
    </row>
    <row r="850" spans="1:30">
      <c r="A850" s="82" t="s">
        <v>743</v>
      </c>
      <c r="B850" s="83" t="s">
        <v>595</v>
      </c>
      <c r="C850" s="85">
        <v>0</v>
      </c>
      <c r="D850" s="84" t="s">
        <v>680</v>
      </c>
      <c r="E850" s="84" t="s">
        <v>680</v>
      </c>
      <c r="F850" s="84" t="s">
        <v>680</v>
      </c>
      <c r="G850" s="85">
        <v>0</v>
      </c>
      <c r="H850" s="85">
        <v>0</v>
      </c>
      <c r="I850" s="85">
        <v>0</v>
      </c>
      <c r="J850" s="85">
        <v>0</v>
      </c>
      <c r="K850" s="85">
        <v>0</v>
      </c>
      <c r="L850" s="85">
        <v>0</v>
      </c>
      <c r="M850" s="85">
        <v>0</v>
      </c>
      <c r="N850" s="85">
        <v>0</v>
      </c>
      <c r="O850" s="85">
        <v>0</v>
      </c>
      <c r="P850" s="85"/>
      <c r="Q850" s="85">
        <v>0</v>
      </c>
      <c r="R850" s="85">
        <v>0</v>
      </c>
      <c r="S850" s="85">
        <v>0</v>
      </c>
      <c r="T850" s="85">
        <v>0</v>
      </c>
      <c r="U850" s="85">
        <v>0</v>
      </c>
      <c r="V850" s="85">
        <v>0</v>
      </c>
      <c r="W850" s="85">
        <v>0</v>
      </c>
      <c r="X850" s="85">
        <v>0</v>
      </c>
      <c r="Y850" s="85">
        <v>0</v>
      </c>
      <c r="Z850" s="85">
        <v>0</v>
      </c>
      <c r="AA850" s="85">
        <v>0</v>
      </c>
      <c r="AB850" s="85">
        <v>0</v>
      </c>
      <c r="AC850" s="85">
        <v>0</v>
      </c>
      <c r="AD850" s="85"/>
    </row>
    <row r="851" spans="1:30">
      <c r="A851" s="82" t="s">
        <v>743</v>
      </c>
      <c r="B851" s="83" t="s">
        <v>596</v>
      </c>
      <c r="C851" s="85">
        <v>0</v>
      </c>
      <c r="D851" s="84" t="s">
        <v>680</v>
      </c>
      <c r="E851" s="84" t="s">
        <v>680</v>
      </c>
      <c r="F851" s="84" t="s">
        <v>680</v>
      </c>
      <c r="G851" s="85">
        <v>0</v>
      </c>
      <c r="H851" s="85">
        <v>0</v>
      </c>
      <c r="I851" s="85">
        <v>0</v>
      </c>
      <c r="J851" s="85">
        <v>0</v>
      </c>
      <c r="K851" s="85">
        <v>0</v>
      </c>
      <c r="L851" s="85">
        <v>0</v>
      </c>
      <c r="M851" s="85">
        <v>0</v>
      </c>
      <c r="N851" s="85">
        <v>0</v>
      </c>
      <c r="O851" s="85">
        <v>0</v>
      </c>
      <c r="P851" s="85"/>
      <c r="Q851" s="85">
        <v>0</v>
      </c>
      <c r="R851" s="85">
        <v>0</v>
      </c>
      <c r="S851" s="85">
        <v>0</v>
      </c>
      <c r="T851" s="85">
        <v>0</v>
      </c>
      <c r="U851" s="85">
        <v>0</v>
      </c>
      <c r="V851" s="85">
        <v>0</v>
      </c>
      <c r="W851" s="85">
        <v>0</v>
      </c>
      <c r="X851" s="85">
        <v>0</v>
      </c>
      <c r="Y851" s="85">
        <v>0</v>
      </c>
      <c r="Z851" s="85">
        <v>0</v>
      </c>
      <c r="AA851" s="85">
        <f>6.191*0.065</f>
        <v>0.40241500000000002</v>
      </c>
      <c r="AB851" s="85">
        <f>3.595*0.065</f>
        <v>0.23367500000000002</v>
      </c>
      <c r="AC851" s="94">
        <f>4.8298*0.065</f>
        <v>0.31393699999999997</v>
      </c>
      <c r="AD851" s="85"/>
    </row>
    <row r="852" spans="1:30">
      <c r="A852" s="82" t="s">
        <v>743</v>
      </c>
      <c r="B852" s="83" t="s">
        <v>594</v>
      </c>
      <c r="C852" s="85">
        <v>0</v>
      </c>
      <c r="D852" s="84" t="s">
        <v>680</v>
      </c>
      <c r="E852" s="84" t="s">
        <v>680</v>
      </c>
      <c r="F852" s="84" t="s">
        <v>680</v>
      </c>
      <c r="G852" s="85">
        <v>0</v>
      </c>
      <c r="H852" s="85">
        <v>0</v>
      </c>
      <c r="I852" s="85">
        <v>0</v>
      </c>
      <c r="J852" s="85">
        <v>0</v>
      </c>
      <c r="K852" s="85">
        <f>73.146*0.055</f>
        <v>4.0230300000000003</v>
      </c>
      <c r="L852" s="85">
        <f>67.22*0.055</f>
        <v>3.6970999999999998</v>
      </c>
      <c r="M852" s="85">
        <f>56.28*0.055</f>
        <v>3.0954000000000002</v>
      </c>
      <c r="N852" s="85">
        <f>47.96*0.055</f>
        <v>2.6377999999999999</v>
      </c>
      <c r="O852" s="85">
        <f>89.71*0.055</f>
        <v>4.93405</v>
      </c>
      <c r="P852" s="85"/>
      <c r="Q852" s="85">
        <f>372.89*0.055</f>
        <v>20.508949999999999</v>
      </c>
      <c r="R852" s="85">
        <f>375*0.055</f>
        <v>20.625</v>
      </c>
      <c r="S852" s="85">
        <f>348*0.055</f>
        <v>19.14</v>
      </c>
      <c r="T852" s="85">
        <f>360*0.055</f>
        <v>19.8</v>
      </c>
      <c r="U852" s="85">
        <f>345*0.055</f>
        <v>18.975000000000001</v>
      </c>
      <c r="V852" s="85">
        <f>325*0.055</f>
        <v>17.875</v>
      </c>
      <c r="W852" s="85">
        <f>302*0.055</f>
        <v>16.61</v>
      </c>
      <c r="X852" s="85">
        <f>280*0.055</f>
        <v>15.4</v>
      </c>
      <c r="Y852" s="85">
        <f>272*0.055</f>
        <v>14.96</v>
      </c>
      <c r="Z852" s="85">
        <f>258*0.055</f>
        <v>14.19</v>
      </c>
      <c r="AA852" s="85">
        <f>248.255*0.055</f>
        <v>13.654024999999999</v>
      </c>
      <c r="AB852" s="85">
        <f>193.61*0.055</f>
        <v>10.64855</v>
      </c>
      <c r="AC852" s="94">
        <f>(148.63+6.479)*0.055</f>
        <v>8.5309950000000008</v>
      </c>
      <c r="AD852" s="85"/>
    </row>
    <row r="853" spans="1:30">
      <c r="A853" s="82" t="s">
        <v>743</v>
      </c>
      <c r="B853" s="87" t="s">
        <v>643</v>
      </c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>
        <v>0</v>
      </c>
      <c r="O853" s="85">
        <v>0</v>
      </c>
      <c r="P853" s="85"/>
      <c r="Q853" s="85">
        <v>0</v>
      </c>
      <c r="R853" s="85">
        <v>0</v>
      </c>
      <c r="S853" s="85">
        <v>0</v>
      </c>
      <c r="T853" s="85">
        <v>0</v>
      </c>
      <c r="U853" s="85">
        <v>0</v>
      </c>
      <c r="V853" s="85">
        <v>0</v>
      </c>
      <c r="W853" s="85">
        <v>0</v>
      </c>
      <c r="X853" s="85">
        <v>0</v>
      </c>
      <c r="Y853" s="85">
        <v>0</v>
      </c>
      <c r="Z853" s="85">
        <v>0</v>
      </c>
      <c r="AA853" s="85">
        <v>0</v>
      </c>
      <c r="AB853" s="85">
        <v>0</v>
      </c>
      <c r="AC853" s="85">
        <v>0</v>
      </c>
      <c r="AD853" s="85"/>
    </row>
    <row r="854" spans="1:30">
      <c r="A854" s="82" t="s">
        <v>682</v>
      </c>
      <c r="B854" s="83" t="s">
        <v>597</v>
      </c>
      <c r="C854" s="84" t="s">
        <v>680</v>
      </c>
      <c r="D854" s="84" t="s">
        <v>680</v>
      </c>
      <c r="E854" s="84" t="s">
        <v>680</v>
      </c>
      <c r="F854" s="84" t="s">
        <v>680</v>
      </c>
      <c r="G854" s="84" t="s">
        <v>680</v>
      </c>
      <c r="H854" s="84" t="s">
        <v>680</v>
      </c>
      <c r="I854" s="84" t="s">
        <v>680</v>
      </c>
      <c r="J854" s="85">
        <v>0</v>
      </c>
      <c r="K854" s="84" t="s">
        <v>680</v>
      </c>
      <c r="L854" s="85">
        <v>0</v>
      </c>
      <c r="M854" s="85">
        <v>0</v>
      </c>
      <c r="N854" s="85">
        <v>0</v>
      </c>
      <c r="O854" s="85">
        <v>0</v>
      </c>
      <c r="P854" s="85">
        <v>0</v>
      </c>
      <c r="Q854" s="85">
        <v>0</v>
      </c>
      <c r="R854" s="85">
        <v>0</v>
      </c>
      <c r="S854" s="85">
        <v>0</v>
      </c>
      <c r="T854" s="85">
        <v>0</v>
      </c>
      <c r="U854" s="85">
        <v>0</v>
      </c>
      <c r="V854" s="85">
        <v>0</v>
      </c>
      <c r="W854" s="85">
        <v>0</v>
      </c>
      <c r="X854" s="85">
        <v>0</v>
      </c>
      <c r="Y854" s="85">
        <v>0</v>
      </c>
      <c r="Z854" s="85">
        <v>0</v>
      </c>
      <c r="AA854" s="85">
        <v>0</v>
      </c>
      <c r="AB854" s="85">
        <v>0</v>
      </c>
      <c r="AC854" s="85">
        <v>0</v>
      </c>
      <c r="AD854" s="85"/>
    </row>
    <row r="855" spans="1:30">
      <c r="A855" s="82" t="s">
        <v>682</v>
      </c>
      <c r="B855" s="83" t="s">
        <v>600</v>
      </c>
      <c r="C855" s="84" t="s">
        <v>680</v>
      </c>
      <c r="D855" s="84" t="s">
        <v>680</v>
      </c>
      <c r="E855" s="84" t="s">
        <v>680</v>
      </c>
      <c r="F855" s="84" t="s">
        <v>680</v>
      </c>
      <c r="G855" s="84" t="s">
        <v>680</v>
      </c>
      <c r="H855" s="84" t="s">
        <v>680</v>
      </c>
      <c r="I855" s="84" t="s">
        <v>680</v>
      </c>
      <c r="J855" s="85">
        <v>0</v>
      </c>
      <c r="K855" s="84" t="s">
        <v>680</v>
      </c>
      <c r="L855" s="99">
        <f>0.01*0.022</f>
        <v>2.1999999999999998E-4</v>
      </c>
      <c r="M855" s="85">
        <v>0</v>
      </c>
      <c r="N855" s="85">
        <v>0</v>
      </c>
      <c r="O855" s="85">
        <v>0</v>
      </c>
      <c r="P855" s="85">
        <v>0</v>
      </c>
      <c r="Q855" s="85">
        <v>0</v>
      </c>
      <c r="R855" s="85">
        <v>0</v>
      </c>
      <c r="S855" s="85">
        <v>0</v>
      </c>
      <c r="T855" s="85">
        <v>0</v>
      </c>
      <c r="U855" s="85">
        <v>0</v>
      </c>
      <c r="V855" s="85">
        <v>0</v>
      </c>
      <c r="W855" s="85">
        <v>0</v>
      </c>
      <c r="X855" s="85">
        <v>0</v>
      </c>
      <c r="Y855" s="85">
        <v>0</v>
      </c>
      <c r="Z855" s="85">
        <v>0</v>
      </c>
      <c r="AA855" s="85">
        <v>0</v>
      </c>
      <c r="AB855" s="85">
        <v>0</v>
      </c>
      <c r="AC855" s="85">
        <v>0</v>
      </c>
      <c r="AD855" s="85"/>
    </row>
    <row r="856" spans="1:30">
      <c r="A856" s="82" t="s">
        <v>682</v>
      </c>
      <c r="B856" s="83" t="s">
        <v>595</v>
      </c>
      <c r="C856" s="84" t="s">
        <v>680</v>
      </c>
      <c r="D856" s="84" t="s">
        <v>680</v>
      </c>
      <c r="E856" s="84" t="s">
        <v>680</v>
      </c>
      <c r="F856" s="84" t="s">
        <v>680</v>
      </c>
      <c r="G856" s="84" t="s">
        <v>680</v>
      </c>
      <c r="H856" s="84" t="s">
        <v>680</v>
      </c>
      <c r="I856" s="84" t="s">
        <v>680</v>
      </c>
      <c r="J856" s="85">
        <v>0</v>
      </c>
      <c r="K856" s="84" t="s">
        <v>680</v>
      </c>
      <c r="L856" s="85">
        <v>0</v>
      </c>
      <c r="M856" s="85">
        <v>0</v>
      </c>
      <c r="N856" s="85">
        <v>0</v>
      </c>
      <c r="O856" s="85">
        <v>0</v>
      </c>
      <c r="P856" s="85">
        <v>0</v>
      </c>
      <c r="Q856" s="85">
        <v>0</v>
      </c>
      <c r="R856" s="85">
        <v>0</v>
      </c>
      <c r="S856" s="85">
        <v>0</v>
      </c>
      <c r="T856" s="85">
        <v>0</v>
      </c>
      <c r="U856" s="85">
        <v>0</v>
      </c>
      <c r="V856" s="85">
        <v>0</v>
      </c>
      <c r="W856" s="85">
        <v>0</v>
      </c>
      <c r="X856" s="85">
        <v>0</v>
      </c>
      <c r="Y856" s="85">
        <v>0</v>
      </c>
      <c r="Z856" s="85">
        <v>0</v>
      </c>
      <c r="AA856" s="85">
        <v>0</v>
      </c>
      <c r="AB856" s="85">
        <v>0</v>
      </c>
      <c r="AC856" s="85">
        <v>0</v>
      </c>
      <c r="AD856" s="85"/>
    </row>
    <row r="857" spans="1:30">
      <c r="A857" s="82" t="s">
        <v>682</v>
      </c>
      <c r="B857" s="83" t="s">
        <v>596</v>
      </c>
      <c r="C857" s="84" t="s">
        <v>680</v>
      </c>
      <c r="D857" s="84" t="s">
        <v>680</v>
      </c>
      <c r="E857" s="84" t="s">
        <v>680</v>
      </c>
      <c r="F857" s="84" t="s">
        <v>680</v>
      </c>
      <c r="G857" s="84" t="s">
        <v>680</v>
      </c>
      <c r="H857" s="84" t="s">
        <v>680</v>
      </c>
      <c r="I857" s="84" t="s">
        <v>680</v>
      </c>
      <c r="J857" s="85">
        <f>0.049132*0.065</f>
        <v>3.1935800000000001E-3</v>
      </c>
      <c r="K857" s="84" t="s">
        <v>680</v>
      </c>
      <c r="L857" s="88">
        <v>3.2499999999999999E-3</v>
      </c>
      <c r="M857" s="85">
        <v>0</v>
      </c>
      <c r="N857" s="85">
        <v>0</v>
      </c>
      <c r="O857" s="85">
        <v>0</v>
      </c>
      <c r="P857" s="85">
        <v>0</v>
      </c>
      <c r="Q857" s="85">
        <v>0</v>
      </c>
      <c r="R857" s="85">
        <v>0</v>
      </c>
      <c r="S857" s="85">
        <v>0</v>
      </c>
      <c r="T857" s="85">
        <v>0</v>
      </c>
      <c r="U857" s="85">
        <v>0</v>
      </c>
      <c r="V857" s="85">
        <v>0</v>
      </c>
      <c r="W857" s="85">
        <v>0</v>
      </c>
      <c r="X857" s="85">
        <v>0</v>
      </c>
      <c r="Y857" s="85">
        <v>0</v>
      </c>
      <c r="Z857" s="85">
        <v>0</v>
      </c>
      <c r="AA857" s="85">
        <v>0</v>
      </c>
      <c r="AB857" s="85">
        <v>0</v>
      </c>
      <c r="AC857" s="85">
        <v>0</v>
      </c>
      <c r="AD857" s="85"/>
    </row>
    <row r="858" spans="1:30">
      <c r="A858" s="82" t="s">
        <v>682</v>
      </c>
      <c r="B858" s="83" t="s">
        <v>594</v>
      </c>
      <c r="C858" s="84" t="s">
        <v>680</v>
      </c>
      <c r="D858" s="84" t="s">
        <v>680</v>
      </c>
      <c r="E858" s="84" t="s">
        <v>680</v>
      </c>
      <c r="F858" s="84" t="s">
        <v>680</v>
      </c>
      <c r="G858" s="84" t="s">
        <v>680</v>
      </c>
      <c r="H858" s="84" t="s">
        <v>680</v>
      </c>
      <c r="I858" s="84" t="s">
        <v>680</v>
      </c>
      <c r="J858" s="85">
        <f>3.09781*0.055</f>
        <v>0.17037954999999999</v>
      </c>
      <c r="K858" s="84" t="s">
        <v>680</v>
      </c>
      <c r="L858" s="85">
        <v>5.7200000000000001E-2</v>
      </c>
      <c r="M858" s="85">
        <f>0.48*0.055</f>
        <v>2.64E-2</v>
      </c>
      <c r="N858" s="85">
        <f>0.82*0.055</f>
        <v>4.5099999999999994E-2</v>
      </c>
      <c r="O858" s="85">
        <f>0.92*0.055</f>
        <v>5.0599999999999999E-2</v>
      </c>
      <c r="P858" s="85">
        <f>2.77*0.055</f>
        <v>0.15235000000000001</v>
      </c>
      <c r="Q858" s="88">
        <f>0.01*0.055</f>
        <v>5.5000000000000003E-4</v>
      </c>
      <c r="R858" s="85">
        <f>2.67*0.055</f>
        <v>0.14685000000000001</v>
      </c>
      <c r="S858" s="85">
        <f>1.3*0.055</f>
        <v>7.1500000000000008E-2</v>
      </c>
      <c r="T858" s="85">
        <f>0.94*0.055</f>
        <v>5.1699999999999996E-2</v>
      </c>
      <c r="U858" s="85">
        <f>0.681*0.055</f>
        <v>3.7455000000000002E-2</v>
      </c>
      <c r="V858" s="85">
        <f>0.35*0.055</f>
        <v>1.925E-2</v>
      </c>
      <c r="W858" s="88">
        <f>0.045*0.055</f>
        <v>2.4749999999999998E-3</v>
      </c>
      <c r="X858" s="88">
        <f>0.041*0.055</f>
        <v>2.2550000000000001E-3</v>
      </c>
      <c r="Y858" s="88">
        <f>0.104*0.055</f>
        <v>5.7199999999999994E-3</v>
      </c>
      <c r="Z858" s="88">
        <f>0.085*0.055</f>
        <v>4.6750000000000003E-3</v>
      </c>
      <c r="AA858" s="88">
        <f>0.0227*0.055</f>
        <v>1.2485E-3</v>
      </c>
      <c r="AB858" s="88">
        <f>0.0227*0.055</f>
        <v>1.2485E-3</v>
      </c>
      <c r="AC858" s="85">
        <f>0.15*0.055</f>
        <v>8.2500000000000004E-3</v>
      </c>
      <c r="AD858" s="88"/>
    </row>
    <row r="859" spans="1:30">
      <c r="A859" s="82" t="s">
        <v>682</v>
      </c>
      <c r="B859" s="87" t="s">
        <v>643</v>
      </c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>
        <v>0</v>
      </c>
      <c r="O859" s="85">
        <v>0</v>
      </c>
      <c r="P859" s="85">
        <v>0</v>
      </c>
      <c r="Q859" s="85">
        <v>0</v>
      </c>
      <c r="R859" s="85">
        <v>0</v>
      </c>
      <c r="S859" s="85">
        <v>0</v>
      </c>
      <c r="T859" s="85">
        <v>0</v>
      </c>
      <c r="U859" s="85">
        <v>0</v>
      </c>
      <c r="V859" s="85">
        <v>0</v>
      </c>
      <c r="W859" s="85">
        <v>0</v>
      </c>
      <c r="X859" s="85">
        <v>0</v>
      </c>
      <c r="Y859" s="85">
        <v>0</v>
      </c>
      <c r="Z859" s="85">
        <v>0</v>
      </c>
      <c r="AA859" s="85">
        <v>0</v>
      </c>
      <c r="AB859" s="85">
        <v>0</v>
      </c>
      <c r="AC859" s="85">
        <v>0</v>
      </c>
      <c r="AD859" s="85"/>
    </row>
    <row r="860" spans="1:30">
      <c r="A860" s="82" t="s">
        <v>744</v>
      </c>
      <c r="B860" s="83" t="s">
        <v>597</v>
      </c>
      <c r="C860" s="85">
        <v>0</v>
      </c>
      <c r="D860" s="85">
        <v>0</v>
      </c>
      <c r="E860" s="85">
        <v>0</v>
      </c>
      <c r="F860" s="85">
        <v>0</v>
      </c>
      <c r="G860" s="85">
        <v>0</v>
      </c>
      <c r="H860" s="85">
        <v>0</v>
      </c>
      <c r="I860" s="85">
        <v>0</v>
      </c>
      <c r="J860" s="85">
        <v>0</v>
      </c>
      <c r="K860" s="85">
        <v>0</v>
      </c>
      <c r="L860" s="85">
        <v>0</v>
      </c>
      <c r="M860" s="85">
        <v>0</v>
      </c>
      <c r="N860" s="85">
        <v>0</v>
      </c>
      <c r="O860" s="85">
        <f>13.37*0.02</f>
        <v>0.26739999999999997</v>
      </c>
      <c r="P860" s="85">
        <v>0</v>
      </c>
      <c r="Q860" s="85">
        <f>13.47*0.02</f>
        <v>0.26940000000000003</v>
      </c>
      <c r="R860" s="85">
        <v>0</v>
      </c>
      <c r="S860" s="85">
        <v>0</v>
      </c>
      <c r="T860" s="85">
        <v>0</v>
      </c>
      <c r="U860" s="85">
        <v>0</v>
      </c>
      <c r="V860" s="85">
        <f>1.27*0.02</f>
        <v>2.5400000000000002E-2</v>
      </c>
      <c r="W860" s="85">
        <f>0.7*0.02</f>
        <v>1.3999999999999999E-2</v>
      </c>
      <c r="X860" s="85">
        <f>2.779*0.02</f>
        <v>5.5579999999999997E-2</v>
      </c>
      <c r="Y860" s="85">
        <f>0.87*0.02</f>
        <v>1.7399999999999999E-2</v>
      </c>
      <c r="Z860" s="85">
        <f>0.25*0.02</f>
        <v>5.0000000000000001E-3</v>
      </c>
      <c r="AA860" s="85">
        <f>0.25*0.02</f>
        <v>5.0000000000000001E-3</v>
      </c>
      <c r="AB860" s="85">
        <f>1.37*0.02</f>
        <v>2.7400000000000004E-2</v>
      </c>
      <c r="AC860" s="85">
        <f>1.33*0.02</f>
        <v>2.6600000000000002E-2</v>
      </c>
      <c r="AD860" s="85"/>
    </row>
    <row r="861" spans="1:30">
      <c r="A861" s="82" t="s">
        <v>744</v>
      </c>
      <c r="B861" s="83" t="s">
        <v>600</v>
      </c>
      <c r="C861" s="85">
        <v>0</v>
      </c>
      <c r="D861" s="85">
        <v>0</v>
      </c>
      <c r="E861" s="85">
        <v>0</v>
      </c>
      <c r="F861" s="85">
        <v>0</v>
      </c>
      <c r="G861" s="85">
        <v>0</v>
      </c>
      <c r="H861" s="85">
        <v>0</v>
      </c>
      <c r="I861" s="85">
        <v>0</v>
      </c>
      <c r="J861" s="85">
        <v>0</v>
      </c>
      <c r="K861" s="85">
        <v>0</v>
      </c>
      <c r="L861" s="85">
        <v>0</v>
      </c>
      <c r="M861" s="85">
        <v>0</v>
      </c>
      <c r="N861" s="85">
        <v>0</v>
      </c>
      <c r="O861" s="85">
        <v>0</v>
      </c>
      <c r="P861" s="85">
        <f>0.5*0.022</f>
        <v>1.0999999999999999E-2</v>
      </c>
      <c r="Q861" s="85">
        <f>4.2*0.022</f>
        <v>9.2399999999999996E-2</v>
      </c>
      <c r="R861" s="85">
        <f>43*0.022</f>
        <v>0.94599999999999995</v>
      </c>
      <c r="S861" s="85">
        <f>-0.05*0.022</f>
        <v>-1.1000000000000001E-3</v>
      </c>
      <c r="T861" s="85">
        <f>(1.39-0.204)*0.022</f>
        <v>2.6091999999999997E-2</v>
      </c>
      <c r="U861" s="85">
        <v>0</v>
      </c>
      <c r="V861" s="85">
        <f>6.37*0.022</f>
        <v>0.14013999999999999</v>
      </c>
      <c r="W861" s="85">
        <v>0</v>
      </c>
      <c r="X861" s="85">
        <v>0</v>
      </c>
      <c r="Y861" s="85">
        <v>0</v>
      </c>
      <c r="Z861" s="85">
        <v>0</v>
      </c>
      <c r="AA861" s="85">
        <v>0</v>
      </c>
      <c r="AB861" s="85">
        <v>0</v>
      </c>
      <c r="AC861" s="85">
        <v>0</v>
      </c>
      <c r="AD861" s="85"/>
    </row>
    <row r="862" spans="1:30">
      <c r="A862" s="82" t="s">
        <v>744</v>
      </c>
      <c r="B862" s="83" t="s">
        <v>595</v>
      </c>
      <c r="C862" s="85">
        <v>0</v>
      </c>
      <c r="D862" s="85">
        <v>0</v>
      </c>
      <c r="E862" s="85">
        <v>0</v>
      </c>
      <c r="F862" s="85">
        <v>0</v>
      </c>
      <c r="G862" s="85">
        <v>0</v>
      </c>
      <c r="H862" s="85">
        <v>0</v>
      </c>
      <c r="I862" s="85">
        <v>0</v>
      </c>
      <c r="J862" s="85">
        <v>0</v>
      </c>
      <c r="K862" s="85">
        <v>0</v>
      </c>
      <c r="L862" s="85">
        <v>0</v>
      </c>
      <c r="M862" s="85">
        <v>0</v>
      </c>
      <c r="N862" s="85">
        <v>0</v>
      </c>
      <c r="O862" s="85">
        <v>0</v>
      </c>
      <c r="P862" s="85">
        <v>0</v>
      </c>
      <c r="Q862" s="85">
        <f>0.27*0.11</f>
        <v>2.9700000000000001E-2</v>
      </c>
      <c r="R862" s="85">
        <f>65.72*0.11</f>
        <v>7.2291999999999996</v>
      </c>
      <c r="S862" s="85">
        <v>0</v>
      </c>
      <c r="T862" s="85">
        <v>0</v>
      </c>
      <c r="U862" s="85">
        <v>0</v>
      </c>
      <c r="V862" s="85">
        <f>1.361*0.11</f>
        <v>0.14971000000000001</v>
      </c>
      <c r="W862" s="85">
        <v>0</v>
      </c>
      <c r="X862" s="85">
        <v>0</v>
      </c>
      <c r="Y862" s="85">
        <v>0</v>
      </c>
      <c r="Z862" s="85">
        <v>0</v>
      </c>
      <c r="AA862" s="85">
        <v>0</v>
      </c>
      <c r="AB862" s="85">
        <v>0</v>
      </c>
      <c r="AC862" s="85">
        <v>0</v>
      </c>
      <c r="AD862" s="85"/>
    </row>
    <row r="863" spans="1:30">
      <c r="A863" s="82" t="s">
        <v>744</v>
      </c>
      <c r="B863" s="83" t="s">
        <v>700</v>
      </c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>
        <f>3.57*0.11</f>
        <v>0.39269999999999999</v>
      </c>
      <c r="Z863" s="85">
        <v>0</v>
      </c>
      <c r="AA863" s="85">
        <v>0</v>
      </c>
      <c r="AB863" s="85">
        <v>0</v>
      </c>
      <c r="AC863" s="85">
        <v>0</v>
      </c>
      <c r="AD863" s="85"/>
    </row>
    <row r="864" spans="1:30">
      <c r="A864" s="82" t="s">
        <v>744</v>
      </c>
      <c r="B864" s="83" t="s">
        <v>596</v>
      </c>
      <c r="C864" s="85">
        <v>0</v>
      </c>
      <c r="D864" s="85">
        <v>0</v>
      </c>
      <c r="E864" s="85">
        <v>0</v>
      </c>
      <c r="F864" s="85">
        <v>0</v>
      </c>
      <c r="G864" s="85">
        <v>0</v>
      </c>
      <c r="H864" s="85">
        <v>0</v>
      </c>
      <c r="I864" s="85">
        <v>0</v>
      </c>
      <c r="J864" s="85">
        <v>0</v>
      </c>
      <c r="K864" s="85">
        <v>0</v>
      </c>
      <c r="L864" s="85">
        <v>0</v>
      </c>
      <c r="M864" s="85">
        <v>0</v>
      </c>
      <c r="N864" s="85">
        <v>0</v>
      </c>
      <c r="O864" s="85">
        <f>20.66*0.065</f>
        <v>1.3429</v>
      </c>
      <c r="P864" s="85">
        <f>35.88*0.065</f>
        <v>2.3322000000000003</v>
      </c>
      <c r="Q864" s="85">
        <v>0</v>
      </c>
      <c r="R864" s="85">
        <v>0</v>
      </c>
      <c r="S864" s="85">
        <v>0</v>
      </c>
      <c r="T864" s="85">
        <f>(84.1-0.12)*0.065</f>
        <v>5.4586999999999994</v>
      </c>
      <c r="U864" s="85">
        <v>0</v>
      </c>
      <c r="V864" s="85">
        <f>3*0.065</f>
        <v>0.19500000000000001</v>
      </c>
      <c r="W864" s="85">
        <f>0.4*0.065</f>
        <v>2.6000000000000002E-2</v>
      </c>
      <c r="X864" s="85">
        <v>0</v>
      </c>
      <c r="Y864" s="85">
        <v>0</v>
      </c>
      <c r="Z864" s="85">
        <v>0</v>
      </c>
      <c r="AA864" s="85">
        <v>0</v>
      </c>
      <c r="AB864" s="85">
        <v>0</v>
      </c>
      <c r="AC864" s="85">
        <v>0</v>
      </c>
      <c r="AD864" s="85"/>
    </row>
    <row r="865" spans="1:30">
      <c r="A865" s="82" t="s">
        <v>744</v>
      </c>
      <c r="B865" s="83" t="s">
        <v>594</v>
      </c>
      <c r="C865" s="85">
        <f>74.33*0.055</f>
        <v>4.0881499999999997</v>
      </c>
      <c r="D865" s="85">
        <f>121.19*0.055</f>
        <v>6.6654499999999999</v>
      </c>
      <c r="E865" s="85">
        <f>125*0.055</f>
        <v>6.875</v>
      </c>
      <c r="F865" s="85">
        <f>144*0.055</f>
        <v>7.92</v>
      </c>
      <c r="G865" s="85">
        <f>189.52*0.055</f>
        <v>10.4236</v>
      </c>
      <c r="H865" s="85">
        <f>(138.4-11)*0.055</f>
        <v>7.0070000000000006</v>
      </c>
      <c r="I865" s="85">
        <f>(198.4-10.97)*0.055</f>
        <v>10.30865</v>
      </c>
      <c r="J865" s="85">
        <f>513.33*0.055</f>
        <v>28.233150000000002</v>
      </c>
      <c r="K865" s="85">
        <f>209.02*0.055</f>
        <v>11.4961</v>
      </c>
      <c r="L865" s="85">
        <f>357.52*0.055</f>
        <v>19.663599999999999</v>
      </c>
      <c r="M865" s="85">
        <f>611.9*0.055</f>
        <v>33.654499999999999</v>
      </c>
      <c r="N865" s="85">
        <v>70.522649999999999</v>
      </c>
      <c r="O865" s="85">
        <f>801.72*0.055</f>
        <v>44.0946</v>
      </c>
      <c r="P865" s="85">
        <f>996.56*0.055</f>
        <v>54.8108</v>
      </c>
      <c r="Q865" s="85">
        <f>(692.51-8.61)*0.055</f>
        <v>37.6145</v>
      </c>
      <c r="R865" s="85">
        <f>(892.17-10.36)*0.055</f>
        <v>48.499549999999999</v>
      </c>
      <c r="S865" s="85">
        <f>(607.7-9.6)*0.055</f>
        <v>32.895499999999998</v>
      </c>
      <c r="T865" s="85">
        <f>(1525.2-15.806)*0.055</f>
        <v>83.016670000000005</v>
      </c>
      <c r="U865" s="85">
        <f>-2.44*0.055</f>
        <v>-0.13419999999999999</v>
      </c>
      <c r="V865" s="85">
        <f>(474.1-0.626)*0.055</f>
        <v>26.041070000000001</v>
      </c>
      <c r="W865" s="85">
        <f>(234.6-5.445)*0.055</f>
        <v>12.603524999999999</v>
      </c>
      <c r="X865" s="85">
        <f>(381.569-4.473)*0.055</f>
        <v>20.740280000000002</v>
      </c>
      <c r="Y865" s="85">
        <f>(215.22-0.9)*0.055</f>
        <v>11.787599999999999</v>
      </c>
      <c r="Z865" s="85">
        <f>(288.67-4.15)*0.055</f>
        <v>15.648600000000002</v>
      </c>
      <c r="AA865" s="85">
        <f>(388.08-9.01)*0.055</f>
        <v>20.848849999999999</v>
      </c>
      <c r="AB865" s="85">
        <f>(265.52-3.33)*0.055</f>
        <v>14.420450000000001</v>
      </c>
      <c r="AC865" s="85">
        <f>(161.82-2.28)*0.055</f>
        <v>8.7746999999999993</v>
      </c>
      <c r="AD865" s="85"/>
    </row>
    <row r="866" spans="1:30">
      <c r="A866" s="82" t="s">
        <v>744</v>
      </c>
      <c r="B866" s="87" t="s">
        <v>643</v>
      </c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>
        <v>0</v>
      </c>
      <c r="O866" s="85">
        <v>0</v>
      </c>
      <c r="P866" s="85">
        <v>0</v>
      </c>
      <c r="Q866" s="85">
        <v>0</v>
      </c>
      <c r="R866" s="85">
        <v>0</v>
      </c>
      <c r="S866" s="85">
        <v>0</v>
      </c>
      <c r="T866" s="85">
        <v>0</v>
      </c>
      <c r="U866" s="85">
        <v>0</v>
      </c>
      <c r="V866" s="85">
        <v>0</v>
      </c>
      <c r="W866" s="85">
        <v>0</v>
      </c>
      <c r="X866" s="85">
        <v>0</v>
      </c>
      <c r="Y866" s="85">
        <v>0</v>
      </c>
      <c r="Z866" s="85">
        <v>0</v>
      </c>
      <c r="AA866" s="85">
        <v>0</v>
      </c>
      <c r="AB866" s="85">
        <v>0</v>
      </c>
      <c r="AC866" s="85">
        <v>0</v>
      </c>
      <c r="AD866" s="85"/>
    </row>
    <row r="867" spans="1:30">
      <c r="A867" s="82" t="s">
        <v>745</v>
      </c>
      <c r="B867" s="83" t="s">
        <v>597</v>
      </c>
      <c r="C867" s="85">
        <v>0</v>
      </c>
      <c r="D867" s="85">
        <v>0</v>
      </c>
      <c r="E867" s="85">
        <v>0</v>
      </c>
      <c r="F867" s="85">
        <v>0</v>
      </c>
      <c r="G867" s="85">
        <f>4*0.02</f>
        <v>0.08</v>
      </c>
      <c r="H867" s="85">
        <v>0</v>
      </c>
      <c r="I867" s="85">
        <v>0</v>
      </c>
      <c r="J867" s="85">
        <v>0</v>
      </c>
      <c r="K867" s="85">
        <v>0</v>
      </c>
      <c r="L867" s="88">
        <f>0.15*0.02</f>
        <v>3.0000000000000001E-3</v>
      </c>
      <c r="M867" s="88">
        <v>0</v>
      </c>
      <c r="N867" s="88">
        <v>0</v>
      </c>
      <c r="O867" s="85">
        <v>0</v>
      </c>
      <c r="P867" s="85">
        <v>0</v>
      </c>
      <c r="Q867" s="85">
        <v>0</v>
      </c>
      <c r="R867" s="85">
        <v>0</v>
      </c>
      <c r="S867" s="85">
        <v>0</v>
      </c>
      <c r="T867" s="85">
        <v>0</v>
      </c>
      <c r="U867" s="85">
        <v>0</v>
      </c>
      <c r="V867" s="85">
        <v>0</v>
      </c>
      <c r="W867" s="85">
        <v>0</v>
      </c>
      <c r="X867" s="85">
        <f>0.5*0.02</f>
        <v>0.01</v>
      </c>
      <c r="Y867" s="85">
        <v>0</v>
      </c>
      <c r="Z867" s="85">
        <f>0.5*0.02</f>
        <v>0.01</v>
      </c>
      <c r="AA867" s="85">
        <f>0.5*0.02</f>
        <v>0.01</v>
      </c>
      <c r="AB867" s="85">
        <f>0.5*0.02</f>
        <v>0.01</v>
      </c>
      <c r="AC867" s="85">
        <v>0</v>
      </c>
      <c r="AD867" s="85"/>
    </row>
    <row r="868" spans="1:30">
      <c r="A868" s="82" t="s">
        <v>745</v>
      </c>
      <c r="B868" s="83" t="s">
        <v>600</v>
      </c>
      <c r="C868" s="85">
        <v>0</v>
      </c>
      <c r="D868" s="85">
        <v>0</v>
      </c>
      <c r="E868" s="85">
        <v>0</v>
      </c>
      <c r="F868" s="85">
        <v>0</v>
      </c>
      <c r="G868" s="85">
        <v>0</v>
      </c>
      <c r="H868" s="85">
        <v>0</v>
      </c>
      <c r="I868" s="85">
        <v>0</v>
      </c>
      <c r="J868" s="85">
        <v>0</v>
      </c>
      <c r="K868" s="85">
        <v>0</v>
      </c>
      <c r="L868" s="88">
        <f>0.16*0.022</f>
        <v>3.5199999999999997E-3</v>
      </c>
      <c r="M868" s="88">
        <v>0</v>
      </c>
      <c r="N868" s="88">
        <f>1.94*0.022</f>
        <v>4.2679999999999996E-2</v>
      </c>
      <c r="O868" s="85">
        <f>1.64*0.022</f>
        <v>3.6079999999999994E-2</v>
      </c>
      <c r="P868" s="85">
        <f>1.04*0.022</f>
        <v>2.2880000000000001E-2</v>
      </c>
      <c r="Q868" s="85">
        <v>0</v>
      </c>
      <c r="R868" s="85">
        <v>0</v>
      </c>
      <c r="S868" s="85">
        <v>0</v>
      </c>
      <c r="T868" s="85">
        <v>0</v>
      </c>
      <c r="U868" s="85">
        <v>0</v>
      </c>
      <c r="V868" s="85">
        <v>0</v>
      </c>
      <c r="W868" s="85">
        <v>0</v>
      </c>
      <c r="X868" s="85">
        <v>0</v>
      </c>
      <c r="Y868" s="85">
        <v>0</v>
      </c>
      <c r="Z868" s="85">
        <v>0</v>
      </c>
      <c r="AA868" s="85">
        <v>0</v>
      </c>
      <c r="AB868" s="85">
        <v>0</v>
      </c>
      <c r="AC868" s="85">
        <v>0</v>
      </c>
      <c r="AD868" s="85"/>
    </row>
    <row r="869" spans="1:30">
      <c r="A869" s="82" t="s">
        <v>745</v>
      </c>
      <c r="B869" s="83" t="s">
        <v>595</v>
      </c>
      <c r="C869" s="85">
        <v>0</v>
      </c>
      <c r="D869" s="85">
        <v>0</v>
      </c>
      <c r="E869" s="85">
        <f>30*0.11</f>
        <v>3.3</v>
      </c>
      <c r="F869" s="85">
        <f>3*0.11</f>
        <v>0.33</v>
      </c>
      <c r="G869" s="85">
        <v>0</v>
      </c>
      <c r="H869" s="85">
        <f>0.25*0.11</f>
        <v>2.75E-2</v>
      </c>
      <c r="I869" s="85">
        <f>1*0.11</f>
        <v>0.11</v>
      </c>
      <c r="J869" s="85">
        <f>1*0.11</f>
        <v>0.11</v>
      </c>
      <c r="K869" s="85">
        <f>18.7*0.11</f>
        <v>2.0569999999999999</v>
      </c>
      <c r="L869" s="85">
        <f>38*0.11</f>
        <v>4.18</v>
      </c>
      <c r="M869" s="85">
        <f>25*0.11</f>
        <v>2.75</v>
      </c>
      <c r="N869" s="85">
        <v>2.8204000000000002</v>
      </c>
      <c r="O869" s="85">
        <f>73.87*0.11</f>
        <v>8.1257000000000001</v>
      </c>
      <c r="P869" s="85">
        <f>54.1*0.11</f>
        <v>5.9510000000000005</v>
      </c>
      <c r="Q869" s="85">
        <f>5.64*0.11</f>
        <v>0.62039999999999995</v>
      </c>
      <c r="R869" s="85">
        <f>23.5*0.11</f>
        <v>2.585</v>
      </c>
      <c r="S869" s="85">
        <f>8.46*0.11</f>
        <v>0.93060000000000009</v>
      </c>
      <c r="T869" s="85">
        <f>8.46*0.11</f>
        <v>0.93060000000000009</v>
      </c>
      <c r="U869" s="85">
        <f>8.46*0.11</f>
        <v>0.93060000000000009</v>
      </c>
      <c r="V869" s="85">
        <f>8.46*0.11</f>
        <v>0.93060000000000009</v>
      </c>
      <c r="W869" s="85">
        <f>8.46*0.11</f>
        <v>0.93060000000000009</v>
      </c>
      <c r="X869" s="85">
        <v>0</v>
      </c>
      <c r="Y869" s="85">
        <f>8.25*0.11</f>
        <v>0.90749999999999997</v>
      </c>
      <c r="Z869" s="85">
        <v>0</v>
      </c>
      <c r="AA869" s="85">
        <f>8.46*0.11</f>
        <v>0.93060000000000009</v>
      </c>
      <c r="AB869" s="85">
        <v>0</v>
      </c>
      <c r="AC869" s="85">
        <v>0</v>
      </c>
      <c r="AD869" s="85"/>
    </row>
    <row r="870" spans="1:30">
      <c r="A870" s="82" t="s">
        <v>745</v>
      </c>
      <c r="B870" s="83" t="s">
        <v>700</v>
      </c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>
        <f>65*0.11</f>
        <v>7.15</v>
      </c>
      <c r="AA870" s="85">
        <f>94.35*0.11</f>
        <v>10.378499999999999</v>
      </c>
      <c r="AB870" s="85">
        <v>0</v>
      </c>
      <c r="AC870" s="85">
        <f>14.5*0.11</f>
        <v>1.595</v>
      </c>
      <c r="AD870" s="85"/>
    </row>
    <row r="871" spans="1:30">
      <c r="A871" s="82" t="s">
        <v>745</v>
      </c>
      <c r="B871" s="83" t="s">
        <v>596</v>
      </c>
      <c r="C871" s="85">
        <v>0</v>
      </c>
      <c r="D871" s="85">
        <v>0</v>
      </c>
      <c r="E871" s="85">
        <v>0</v>
      </c>
      <c r="F871" s="85">
        <v>0</v>
      </c>
      <c r="G871" s="85">
        <v>0</v>
      </c>
      <c r="H871" s="85">
        <v>0</v>
      </c>
      <c r="I871" s="85">
        <v>0</v>
      </c>
      <c r="J871" s="85">
        <v>0</v>
      </c>
      <c r="K871" s="85">
        <v>0</v>
      </c>
      <c r="L871" s="85">
        <v>0</v>
      </c>
      <c r="M871" s="85">
        <f>0.2*0.065</f>
        <v>1.3000000000000001E-2</v>
      </c>
      <c r="N871" s="85">
        <v>0</v>
      </c>
      <c r="O871" s="85">
        <v>0</v>
      </c>
      <c r="P871" s="85">
        <v>0</v>
      </c>
      <c r="Q871" s="85">
        <v>0</v>
      </c>
      <c r="R871" s="85">
        <f>1.1*0.065</f>
        <v>7.1500000000000008E-2</v>
      </c>
      <c r="S871" s="85">
        <v>0</v>
      </c>
      <c r="T871" s="85">
        <v>0</v>
      </c>
      <c r="U871" s="85">
        <v>0</v>
      </c>
      <c r="V871" s="85">
        <v>0</v>
      </c>
      <c r="W871" s="85">
        <v>0</v>
      </c>
      <c r="X871" s="85">
        <v>0</v>
      </c>
      <c r="Y871" s="85">
        <v>0</v>
      </c>
      <c r="Z871" s="85">
        <v>0</v>
      </c>
      <c r="AA871" s="85">
        <v>0</v>
      </c>
      <c r="AB871" s="85">
        <v>0</v>
      </c>
      <c r="AC871" s="85">
        <v>0</v>
      </c>
      <c r="AD871" s="85"/>
    </row>
    <row r="872" spans="1:30">
      <c r="A872" s="82" t="s">
        <v>745</v>
      </c>
      <c r="B872" s="83" t="s">
        <v>594</v>
      </c>
      <c r="C872" s="85">
        <v>0</v>
      </c>
      <c r="D872" s="85">
        <f>0</f>
        <v>0</v>
      </c>
      <c r="E872" s="85">
        <f>105*0.055</f>
        <v>5.7750000000000004</v>
      </c>
      <c r="F872" s="85">
        <f>220*0.055</f>
        <v>12.1</v>
      </c>
      <c r="G872" s="85">
        <f>220*0.055</f>
        <v>12.1</v>
      </c>
      <c r="H872" s="85">
        <f>302*0.055</f>
        <v>16.61</v>
      </c>
      <c r="I872" s="85">
        <f>518*0.055</f>
        <v>28.49</v>
      </c>
      <c r="J872" s="85">
        <f>540*0.055</f>
        <v>29.7</v>
      </c>
      <c r="K872" s="85">
        <f>412*0.055</f>
        <v>22.66</v>
      </c>
      <c r="L872" s="85">
        <f>503*0.055</f>
        <v>27.664999999999999</v>
      </c>
      <c r="M872" s="85">
        <f>500*0.055</f>
        <v>27.5</v>
      </c>
      <c r="N872" s="85">
        <v>33.384999999999998</v>
      </c>
      <c r="O872" s="85">
        <f>421.15*0.055</f>
        <v>23.163249999999998</v>
      </c>
      <c r="P872" s="85">
        <f>626.64*0.055</f>
        <v>34.465200000000003</v>
      </c>
      <c r="Q872" s="85">
        <f>793.87*0.055</f>
        <v>43.662849999999999</v>
      </c>
      <c r="R872" s="85">
        <f>624.84*0.055</f>
        <v>34.366199999999999</v>
      </c>
      <c r="S872" s="85">
        <f>599.53*0.055</f>
        <v>32.974150000000002</v>
      </c>
      <c r="T872" s="85">
        <f>577.25*0.055</f>
        <v>31.748750000000001</v>
      </c>
      <c r="U872" s="85">
        <f>566.85*0.055</f>
        <v>31.176750000000002</v>
      </c>
      <c r="V872" s="85">
        <f>610.43*0.055</f>
        <v>33.573650000000001</v>
      </c>
      <c r="W872" s="85">
        <f>629.75*0.055</f>
        <v>34.636249999999997</v>
      </c>
      <c r="X872" s="85">
        <f>463.56*0.055</f>
        <v>25.495799999999999</v>
      </c>
      <c r="Y872" s="85">
        <f>501.54*0.055</f>
        <v>27.584700000000002</v>
      </c>
      <c r="Z872" s="85">
        <f>471.13*0.055</f>
        <v>25.91215</v>
      </c>
      <c r="AA872" s="85">
        <f>443.95*0.055</f>
        <v>24.417249999999999</v>
      </c>
      <c r="AB872" s="85">
        <f>422.302*0.055</f>
        <v>23.226610000000001</v>
      </c>
      <c r="AC872" s="85">
        <f>376.175*0.055</f>
        <v>20.689624999999999</v>
      </c>
      <c r="AD872" s="85"/>
    </row>
    <row r="873" spans="1:30">
      <c r="A873" s="82" t="s">
        <v>745</v>
      </c>
      <c r="B873" s="87" t="s">
        <v>643</v>
      </c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>
        <v>0</v>
      </c>
      <c r="O873" s="85">
        <v>0</v>
      </c>
      <c r="P873" s="85">
        <v>0</v>
      </c>
      <c r="Q873" s="85">
        <v>0</v>
      </c>
      <c r="R873" s="85">
        <v>0</v>
      </c>
      <c r="S873" s="85">
        <v>0</v>
      </c>
      <c r="T873" s="85">
        <v>0</v>
      </c>
      <c r="U873" s="85">
        <v>0</v>
      </c>
      <c r="V873" s="85">
        <v>0</v>
      </c>
      <c r="W873" s="85">
        <v>0</v>
      </c>
      <c r="X873" s="85">
        <v>0</v>
      </c>
      <c r="Y873" s="85">
        <v>0</v>
      </c>
      <c r="Z873" s="85">
        <v>0</v>
      </c>
      <c r="AA873" s="85">
        <v>0</v>
      </c>
      <c r="AB873" s="85">
        <v>0</v>
      </c>
      <c r="AC873" s="85">
        <v>0</v>
      </c>
      <c r="AD873" s="85"/>
    </row>
    <row r="874" spans="1:30">
      <c r="A874" s="82" t="s">
        <v>565</v>
      </c>
      <c r="B874" s="83" t="s">
        <v>597</v>
      </c>
      <c r="C874" s="85">
        <v>0</v>
      </c>
      <c r="D874" s="85">
        <f>1*0.02</f>
        <v>0.02</v>
      </c>
      <c r="E874" s="85">
        <f>1*0.02</f>
        <v>0.02</v>
      </c>
      <c r="F874" s="85">
        <f>1*0.02</f>
        <v>0.02</v>
      </c>
      <c r="G874" s="85">
        <f>4*0.02</f>
        <v>0.08</v>
      </c>
      <c r="H874" s="85">
        <v>0</v>
      </c>
      <c r="I874" s="85">
        <f>3*0.02</f>
        <v>0.06</v>
      </c>
      <c r="J874" s="85">
        <v>0</v>
      </c>
      <c r="K874" s="85">
        <v>0</v>
      </c>
      <c r="L874" s="85">
        <f>0.54*0.02</f>
        <v>1.0800000000000001E-2</v>
      </c>
      <c r="M874" s="85">
        <f>5*0.02</f>
        <v>0.1</v>
      </c>
      <c r="N874" s="85">
        <f>0.264*0.02</f>
        <v>5.28E-3</v>
      </c>
      <c r="O874" s="99">
        <f>28.6*0.02</f>
        <v>0.57200000000000006</v>
      </c>
      <c r="P874" s="85">
        <f>7.9*0.02</f>
        <v>0.158</v>
      </c>
      <c r="Q874" s="85">
        <f>1.23*0.02</f>
        <v>2.46E-2</v>
      </c>
      <c r="R874" s="85">
        <f>0.88*0.02</f>
        <v>1.7600000000000001E-2</v>
      </c>
      <c r="S874" s="85">
        <f>1.1*0.02</f>
        <v>2.2000000000000002E-2</v>
      </c>
      <c r="T874" s="85">
        <f>6.4*0.02</f>
        <v>0.128</v>
      </c>
      <c r="U874" s="85">
        <v>0</v>
      </c>
      <c r="V874" s="85">
        <v>0</v>
      </c>
      <c r="W874" s="85">
        <v>0</v>
      </c>
      <c r="X874" s="85">
        <v>0</v>
      </c>
      <c r="Y874" s="85">
        <v>0</v>
      </c>
      <c r="Z874" s="85">
        <v>0</v>
      </c>
      <c r="AA874" s="85">
        <v>0</v>
      </c>
      <c r="AB874" s="85">
        <v>0</v>
      </c>
      <c r="AC874" s="85">
        <v>0</v>
      </c>
      <c r="AD874" s="85"/>
    </row>
    <row r="875" spans="1:30">
      <c r="A875" s="82" t="s">
        <v>565</v>
      </c>
      <c r="B875" s="83" t="s">
        <v>600</v>
      </c>
      <c r="C875" s="85">
        <v>0</v>
      </c>
      <c r="D875" s="85">
        <v>0</v>
      </c>
      <c r="E875" s="85">
        <v>0</v>
      </c>
      <c r="F875" s="85">
        <v>0</v>
      </c>
      <c r="G875" s="85">
        <v>0</v>
      </c>
      <c r="H875" s="85">
        <v>0</v>
      </c>
      <c r="I875" s="85">
        <v>0</v>
      </c>
      <c r="J875" s="85">
        <v>0</v>
      </c>
      <c r="K875" s="85">
        <v>0</v>
      </c>
      <c r="L875" s="85">
        <v>0</v>
      </c>
      <c r="M875" s="85">
        <v>0</v>
      </c>
      <c r="N875" s="85">
        <f>0.335*0.022</f>
        <v>7.3699999999999998E-3</v>
      </c>
      <c r="O875" s="99">
        <f>7.57*0.022</f>
        <v>0.16653999999999999</v>
      </c>
      <c r="P875" s="85">
        <f>0.58*0.022</f>
        <v>1.2759999999999999E-2</v>
      </c>
      <c r="Q875" s="85">
        <v>0</v>
      </c>
      <c r="R875" s="85">
        <f>0.31*0.022</f>
        <v>6.8199999999999997E-3</v>
      </c>
      <c r="S875" s="85">
        <v>0</v>
      </c>
      <c r="T875" s="85">
        <v>0</v>
      </c>
      <c r="U875" s="85">
        <v>0</v>
      </c>
      <c r="V875" s="85">
        <v>0</v>
      </c>
      <c r="W875" s="85">
        <v>0</v>
      </c>
      <c r="X875" s="85">
        <v>0</v>
      </c>
      <c r="Y875" s="85">
        <v>0</v>
      </c>
      <c r="Z875" s="85">
        <v>0</v>
      </c>
      <c r="AA875" s="85">
        <v>0</v>
      </c>
      <c r="AB875" s="85">
        <v>0</v>
      </c>
      <c r="AC875" s="85">
        <v>0</v>
      </c>
      <c r="AD875" s="85"/>
    </row>
    <row r="876" spans="1:30">
      <c r="A876" s="82" t="s">
        <v>565</v>
      </c>
      <c r="B876" s="83" t="s">
        <v>595</v>
      </c>
      <c r="C876" s="85">
        <f>34*0.11</f>
        <v>3.74</v>
      </c>
      <c r="D876" s="85">
        <f>17*0.11</f>
        <v>1.87</v>
      </c>
      <c r="E876" s="85">
        <f>93*0.11</f>
        <v>10.23</v>
      </c>
      <c r="F876" s="85">
        <f>172*0.11</f>
        <v>18.920000000000002</v>
      </c>
      <c r="G876" s="85">
        <f>196*0.11</f>
        <v>21.56</v>
      </c>
      <c r="H876" s="85">
        <f>789*0.11</f>
        <v>86.79</v>
      </c>
      <c r="I876" s="85">
        <f>432*0.11</f>
        <v>47.52</v>
      </c>
      <c r="J876" s="85">
        <f>723*0.11</f>
        <v>79.53</v>
      </c>
      <c r="K876" s="85">
        <v>123.97</v>
      </c>
      <c r="L876" s="85">
        <f>(1919-150)*0.11</f>
        <v>194.59</v>
      </c>
      <c r="M876" s="85">
        <f>1508*0.11</f>
        <v>165.88</v>
      </c>
      <c r="N876" s="85">
        <f>1924*0.11</f>
        <v>211.64000000000001</v>
      </c>
      <c r="O876" s="99">
        <f>2562.16*0.11</f>
        <v>281.83760000000001</v>
      </c>
      <c r="P876" s="85">
        <f>2332.76*0.11</f>
        <v>256.60360000000003</v>
      </c>
      <c r="Q876" s="85">
        <f>1792.08*0.11</f>
        <v>197.12879999999998</v>
      </c>
      <c r="R876" s="85">
        <f>1719.51*0.11</f>
        <v>189.14609999999999</v>
      </c>
      <c r="S876" s="85">
        <f>1962*0.11</f>
        <v>215.82</v>
      </c>
      <c r="T876" s="85">
        <f>1.4*0.11</f>
        <v>0.154</v>
      </c>
      <c r="U876" s="85">
        <v>0</v>
      </c>
      <c r="V876" s="85">
        <v>0</v>
      </c>
      <c r="W876" s="85">
        <v>0</v>
      </c>
      <c r="X876" s="85">
        <v>0</v>
      </c>
      <c r="Y876" s="85">
        <v>0</v>
      </c>
      <c r="Z876" s="85">
        <v>0</v>
      </c>
      <c r="AA876" s="85">
        <v>0</v>
      </c>
      <c r="AB876" s="85">
        <v>0</v>
      </c>
      <c r="AC876" s="85">
        <v>0</v>
      </c>
      <c r="AD876" s="85"/>
    </row>
    <row r="877" spans="1:30">
      <c r="A877" s="82" t="s">
        <v>565</v>
      </c>
      <c r="B877" s="83" t="s">
        <v>596</v>
      </c>
      <c r="C877" s="85">
        <f>91*0.065</f>
        <v>5.915</v>
      </c>
      <c r="D877" s="85">
        <f>109*0.065</f>
        <v>7.085</v>
      </c>
      <c r="E877" s="85">
        <f>189*0.065</f>
        <v>12.285</v>
      </c>
      <c r="F877" s="85">
        <f>550*0.065</f>
        <v>35.75</v>
      </c>
      <c r="G877" s="85">
        <f>653*0.065</f>
        <v>42.445</v>
      </c>
      <c r="H877" s="85">
        <f>763*0.065</f>
        <v>49.594999999999999</v>
      </c>
      <c r="I877" s="85">
        <f>774*0.065</f>
        <v>50.31</v>
      </c>
      <c r="J877" s="85">
        <f>790*0.065</f>
        <v>51.35</v>
      </c>
      <c r="K877" s="85">
        <v>81.77</v>
      </c>
      <c r="L877" s="85">
        <f>1067*0.065</f>
        <v>69.355000000000004</v>
      </c>
      <c r="M877" s="85">
        <f>2374*0.065</f>
        <v>154.31</v>
      </c>
      <c r="N877" s="85">
        <f>6164*0.065</f>
        <v>400.66</v>
      </c>
      <c r="O877" s="99">
        <f>5803.25*0.065</f>
        <v>377.21125000000001</v>
      </c>
      <c r="P877" s="85">
        <v>177.86769000000004</v>
      </c>
      <c r="Q877" s="85">
        <f>1791.38*0.065</f>
        <v>116.43970000000002</v>
      </c>
      <c r="R877" s="85">
        <f>1123.43*0.065</f>
        <v>73.022950000000009</v>
      </c>
      <c r="S877" s="85">
        <f>100.8*0.065</f>
        <v>6.5519999999999996</v>
      </c>
      <c r="T877" s="85">
        <v>0</v>
      </c>
      <c r="U877" s="85">
        <v>0</v>
      </c>
      <c r="V877" s="85">
        <v>0</v>
      </c>
      <c r="W877" s="85">
        <v>0</v>
      </c>
      <c r="X877" s="85">
        <v>0</v>
      </c>
      <c r="Y877" s="85">
        <v>0</v>
      </c>
      <c r="Z877" s="85">
        <v>0</v>
      </c>
      <c r="AA877" s="85">
        <v>0</v>
      </c>
      <c r="AB877" s="85">
        <v>0</v>
      </c>
      <c r="AC877" s="85">
        <v>0</v>
      </c>
      <c r="AD877" s="85"/>
    </row>
    <row r="878" spans="1:30">
      <c r="A878" s="82" t="s">
        <v>565</v>
      </c>
      <c r="B878" s="83" t="s">
        <v>594</v>
      </c>
      <c r="C878" s="85">
        <f>(938-2)*0.055</f>
        <v>51.48</v>
      </c>
      <c r="D878" s="85">
        <f>(912-6)*0.055</f>
        <v>49.83</v>
      </c>
      <c r="E878" s="85">
        <f>(1293-12)*0.055</f>
        <v>70.454999999999998</v>
      </c>
      <c r="F878" s="85">
        <f>1555*0.055</f>
        <v>85.525000000000006</v>
      </c>
      <c r="G878" s="85">
        <f>(1966-19)*0.055</f>
        <v>107.08499999999999</v>
      </c>
      <c r="H878" s="85">
        <f>(3725-28)*0.055</f>
        <v>203.33500000000001</v>
      </c>
      <c r="I878" s="85">
        <f>(2003-49)*0.055</f>
        <v>107.47</v>
      </c>
      <c r="J878" s="85">
        <f>2623*0.055</f>
        <v>144.26500000000001</v>
      </c>
      <c r="K878" s="85">
        <v>151.91</v>
      </c>
      <c r="L878" s="85">
        <f>(4220-43.55)*0.055</f>
        <v>229.70474999999999</v>
      </c>
      <c r="M878" s="85">
        <f>(4641-12)*0.055</f>
        <v>254.595</v>
      </c>
      <c r="N878" s="85">
        <f>4343*0.055</f>
        <v>238.86500000000001</v>
      </c>
      <c r="O878" s="99">
        <f>(4787.78-3.19)*0.055</f>
        <v>263.15244999999999</v>
      </c>
      <c r="P878" s="85">
        <v>309.71072000000004</v>
      </c>
      <c r="Q878" s="85">
        <f>(5316.03-73.24)*0.055</f>
        <v>288.35345000000001</v>
      </c>
      <c r="R878" s="85">
        <f>(4230.9-33.96)*0.055</f>
        <v>230.83169999999998</v>
      </c>
      <c r="S878" s="85">
        <f>(3786.74-53.66)*0.055</f>
        <v>205.3194</v>
      </c>
      <c r="T878" s="85">
        <f>(2995-6.17)*0.055</f>
        <v>164.38565</v>
      </c>
      <c r="U878" s="85">
        <f>(2673-0.741)*0.055</f>
        <v>146.974245</v>
      </c>
      <c r="V878" s="85">
        <f>2261*0.055</f>
        <v>124.355</v>
      </c>
      <c r="W878" s="85">
        <f>(603.136-0.317)*0.055</f>
        <v>33.155045000000001</v>
      </c>
      <c r="X878" s="85">
        <f>(500-0.301)*0.055</f>
        <v>27.483445</v>
      </c>
      <c r="Y878" s="85">
        <f>333.242*0.055</f>
        <v>18.328310000000002</v>
      </c>
      <c r="Z878" s="85">
        <f>192.092*0.055</f>
        <v>10.565060000000001</v>
      </c>
      <c r="AA878" s="85">
        <f>155.227*0.055</f>
        <v>8.5374850000000002</v>
      </c>
      <c r="AB878" s="85">
        <f>(33.645-0.503)*0.055</f>
        <v>1.8228100000000003</v>
      </c>
      <c r="AC878" s="85">
        <f>63.955*0.055</f>
        <v>3.517525</v>
      </c>
      <c r="AD878" s="85"/>
    </row>
    <row r="879" spans="1:30">
      <c r="A879" s="82" t="s">
        <v>565</v>
      </c>
      <c r="B879" s="83" t="s">
        <v>643</v>
      </c>
      <c r="C879" s="85">
        <v>0</v>
      </c>
      <c r="D879" s="85">
        <v>0</v>
      </c>
      <c r="E879" s="85">
        <v>0</v>
      </c>
      <c r="F879" s="85">
        <v>0</v>
      </c>
      <c r="G879" s="85">
        <v>0</v>
      </c>
      <c r="H879" s="85">
        <v>0</v>
      </c>
      <c r="I879" s="85">
        <v>0</v>
      </c>
      <c r="J879" s="85">
        <v>0</v>
      </c>
      <c r="K879" s="85">
        <v>0</v>
      </c>
      <c r="L879" s="85">
        <f>0.75*0.07</f>
        <v>5.2500000000000005E-2</v>
      </c>
      <c r="M879" s="85">
        <v>0</v>
      </c>
      <c r="N879" s="85">
        <v>0</v>
      </c>
      <c r="O879" s="99">
        <v>0</v>
      </c>
      <c r="P879" s="85">
        <v>0</v>
      </c>
      <c r="Q879" s="85">
        <v>0</v>
      </c>
      <c r="R879" s="85">
        <v>0</v>
      </c>
      <c r="S879" s="85">
        <v>0</v>
      </c>
      <c r="T879" s="85">
        <v>0</v>
      </c>
      <c r="U879" s="85">
        <v>0</v>
      </c>
      <c r="V879" s="85">
        <v>0</v>
      </c>
      <c r="W879" s="85">
        <v>0</v>
      </c>
      <c r="X879" s="85">
        <v>0</v>
      </c>
      <c r="Y879" s="85">
        <v>0</v>
      </c>
      <c r="Z879" s="85">
        <v>0</v>
      </c>
      <c r="AA879" s="85">
        <v>0</v>
      </c>
      <c r="AB879" s="85">
        <v>0</v>
      </c>
      <c r="AC879" s="85">
        <v>0</v>
      </c>
      <c r="AD879" s="85"/>
    </row>
    <row r="880" spans="1:30">
      <c r="A880" s="82" t="s">
        <v>202</v>
      </c>
      <c r="B880" s="83" t="s">
        <v>597</v>
      </c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>
        <v>0</v>
      </c>
      <c r="O880" s="85">
        <v>0</v>
      </c>
      <c r="P880" s="85">
        <v>0</v>
      </c>
      <c r="Q880" s="85">
        <v>0</v>
      </c>
      <c r="R880" s="85">
        <v>0</v>
      </c>
      <c r="S880" s="85">
        <v>0</v>
      </c>
      <c r="T880" s="85">
        <v>0</v>
      </c>
      <c r="U880" s="85">
        <v>0</v>
      </c>
      <c r="V880" s="85">
        <v>0</v>
      </c>
      <c r="W880" s="85">
        <v>0</v>
      </c>
      <c r="X880" s="85">
        <v>0</v>
      </c>
      <c r="Y880" s="85">
        <v>0</v>
      </c>
      <c r="Z880" s="85">
        <v>0</v>
      </c>
      <c r="AA880" s="85">
        <v>0</v>
      </c>
      <c r="AB880" s="85">
        <v>0</v>
      </c>
      <c r="AC880" s="85">
        <v>0</v>
      </c>
      <c r="AD880" s="85"/>
    </row>
    <row r="881" spans="1:30">
      <c r="A881" s="82" t="s">
        <v>202</v>
      </c>
      <c r="B881" s="83" t="s">
        <v>600</v>
      </c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>
        <v>0</v>
      </c>
      <c r="O881" s="85">
        <v>0</v>
      </c>
      <c r="P881" s="85">
        <v>0</v>
      </c>
      <c r="Q881" s="85">
        <v>0</v>
      </c>
      <c r="R881" s="85">
        <v>0</v>
      </c>
      <c r="S881" s="85">
        <v>0</v>
      </c>
      <c r="T881" s="85">
        <v>0</v>
      </c>
      <c r="U881" s="85">
        <v>0</v>
      </c>
      <c r="V881" s="85">
        <v>0</v>
      </c>
      <c r="W881" s="85">
        <v>0</v>
      </c>
      <c r="X881" s="85">
        <v>0</v>
      </c>
      <c r="Y881" s="85">
        <v>0</v>
      </c>
      <c r="Z881" s="85">
        <v>0</v>
      </c>
      <c r="AA881" s="85">
        <v>0</v>
      </c>
      <c r="AB881" s="85">
        <v>0</v>
      </c>
      <c r="AC881" s="85">
        <v>0</v>
      </c>
      <c r="AD881" s="85"/>
    </row>
    <row r="882" spans="1:30">
      <c r="A882" s="82" t="s">
        <v>202</v>
      </c>
      <c r="B882" s="83" t="s">
        <v>595</v>
      </c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>
        <v>0</v>
      </c>
      <c r="O882" s="85">
        <v>0</v>
      </c>
      <c r="P882" s="85">
        <v>0</v>
      </c>
      <c r="Q882" s="85">
        <f>0.07*0.11</f>
        <v>7.7000000000000011E-3</v>
      </c>
      <c r="R882" s="85">
        <v>0</v>
      </c>
      <c r="S882" s="85">
        <v>0</v>
      </c>
      <c r="T882" s="85">
        <v>0</v>
      </c>
      <c r="U882" s="85">
        <v>0</v>
      </c>
      <c r="V882" s="85">
        <v>0</v>
      </c>
      <c r="W882" s="85">
        <v>0</v>
      </c>
      <c r="X882" s="85">
        <v>0</v>
      </c>
      <c r="Y882" s="85">
        <v>0</v>
      </c>
      <c r="Z882" s="85">
        <v>0</v>
      </c>
      <c r="AA882" s="85">
        <v>0</v>
      </c>
      <c r="AB882" s="85">
        <v>0</v>
      </c>
      <c r="AC882" s="85">
        <v>0</v>
      </c>
      <c r="AD882" s="85"/>
    </row>
    <row r="883" spans="1:30">
      <c r="A883" s="82" t="s">
        <v>202</v>
      </c>
      <c r="B883" s="83" t="s">
        <v>596</v>
      </c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>
        <v>0</v>
      </c>
      <c r="O883" s="85">
        <v>0</v>
      </c>
      <c r="P883" s="85">
        <v>0</v>
      </c>
      <c r="Q883" s="85">
        <v>0</v>
      </c>
      <c r="R883" s="85">
        <v>0</v>
      </c>
      <c r="S883" s="85">
        <v>0</v>
      </c>
      <c r="T883" s="85">
        <v>0</v>
      </c>
      <c r="U883" s="85">
        <v>0</v>
      </c>
      <c r="V883" s="85">
        <v>0</v>
      </c>
      <c r="W883" s="85">
        <v>0</v>
      </c>
      <c r="X883" s="85">
        <v>0</v>
      </c>
      <c r="Y883" s="85">
        <v>0</v>
      </c>
      <c r="Z883" s="85">
        <v>0</v>
      </c>
      <c r="AA883" s="85">
        <v>0</v>
      </c>
      <c r="AB883" s="85">
        <v>0</v>
      </c>
      <c r="AC883" s="85">
        <v>0</v>
      </c>
      <c r="AD883" s="85"/>
    </row>
    <row r="884" spans="1:30">
      <c r="A884" s="82" t="s">
        <v>202</v>
      </c>
      <c r="B884" s="83" t="s">
        <v>594</v>
      </c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>
        <v>5.5762299999999998</v>
      </c>
      <c r="O884" s="85">
        <f>48.647*0.055</f>
        <v>2.6755849999999999</v>
      </c>
      <c r="P884" s="85">
        <f>156.888*0.055</f>
        <v>8.6288400000000003</v>
      </c>
      <c r="Q884" s="85">
        <f>125.8*0.055</f>
        <v>6.9189999999999996</v>
      </c>
      <c r="R884" s="85">
        <f>122.826*0.055</f>
        <v>6.7554299999999996</v>
      </c>
      <c r="S884" s="85">
        <f>105.99*0.055</f>
        <v>5.8294499999999996</v>
      </c>
      <c r="T884" s="85">
        <f>141*0.055</f>
        <v>7.7549999999999999</v>
      </c>
      <c r="U884" s="85">
        <f>75.59*0.055</f>
        <v>4.1574499999999999</v>
      </c>
      <c r="V884" s="85">
        <f>2.7*0.055</f>
        <v>0.14850000000000002</v>
      </c>
      <c r="W884" s="85">
        <f>76.9*0.055</f>
        <v>4.2295000000000007</v>
      </c>
      <c r="X884" s="85">
        <f>93.26*0.055</f>
        <v>5.1293000000000006</v>
      </c>
      <c r="Y884" s="85">
        <f>46.81*0.055</f>
        <v>2.5745500000000003</v>
      </c>
      <c r="Z884" s="85">
        <f>104.856*0.055</f>
        <v>5.76708</v>
      </c>
      <c r="AA884" s="85">
        <f>79.34*0.055</f>
        <v>4.3637000000000006</v>
      </c>
      <c r="AB884" s="85">
        <f>68.54*0.055</f>
        <v>3.7697000000000003</v>
      </c>
      <c r="AC884" s="85">
        <f>79.36*0.055</f>
        <v>4.3647999999999998</v>
      </c>
      <c r="AD884" s="85"/>
    </row>
    <row r="885" spans="1:30">
      <c r="A885" s="82" t="s">
        <v>202</v>
      </c>
      <c r="B885" s="87" t="s">
        <v>643</v>
      </c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>
        <v>0</v>
      </c>
      <c r="O885" s="85">
        <v>0</v>
      </c>
      <c r="P885" s="85">
        <v>0</v>
      </c>
      <c r="Q885" s="85">
        <v>0</v>
      </c>
      <c r="R885" s="85">
        <v>0</v>
      </c>
      <c r="S885" s="85">
        <v>0</v>
      </c>
      <c r="T885" s="85">
        <v>0</v>
      </c>
      <c r="U885" s="85">
        <v>0</v>
      </c>
      <c r="V885" s="85">
        <v>0</v>
      </c>
      <c r="W885" s="85">
        <v>0</v>
      </c>
      <c r="X885" s="85">
        <v>0</v>
      </c>
      <c r="Y885" s="85">
        <v>0</v>
      </c>
      <c r="Z885" s="85">
        <v>0</v>
      </c>
      <c r="AA885" s="85">
        <v>0</v>
      </c>
      <c r="AB885" s="85">
        <v>0</v>
      </c>
      <c r="AC885" s="85">
        <v>0</v>
      </c>
      <c r="AD885" s="85"/>
    </row>
    <row r="886" spans="1:30">
      <c r="A886" s="82" t="s">
        <v>566</v>
      </c>
      <c r="B886" s="83" t="s">
        <v>597</v>
      </c>
      <c r="C886" s="84" t="s">
        <v>680</v>
      </c>
      <c r="D886" s="84" t="s">
        <v>680</v>
      </c>
      <c r="E886" s="84" t="s">
        <v>680</v>
      </c>
      <c r="F886" s="84" t="s">
        <v>680</v>
      </c>
      <c r="G886" s="84" t="s">
        <v>680</v>
      </c>
      <c r="H886" s="84" t="s">
        <v>680</v>
      </c>
      <c r="I886" s="84" t="s">
        <v>680</v>
      </c>
      <c r="J886" s="84" t="s">
        <v>680</v>
      </c>
      <c r="K886" s="84" t="s">
        <v>680</v>
      </c>
      <c r="L886" s="84" t="s">
        <v>680</v>
      </c>
      <c r="M886" s="85">
        <v>0</v>
      </c>
      <c r="N886" s="85">
        <v>0</v>
      </c>
      <c r="O886" s="85">
        <v>0</v>
      </c>
      <c r="P886" s="85">
        <v>0</v>
      </c>
      <c r="Q886" s="85">
        <v>0</v>
      </c>
      <c r="R886" s="85">
        <v>0</v>
      </c>
      <c r="S886" s="85">
        <v>0</v>
      </c>
      <c r="T886" s="85">
        <v>0</v>
      </c>
      <c r="U886" s="85">
        <v>0</v>
      </c>
      <c r="V886" s="85">
        <v>0</v>
      </c>
      <c r="W886" s="85">
        <v>0</v>
      </c>
      <c r="X886" s="85">
        <v>0</v>
      </c>
      <c r="Y886" s="85">
        <v>0</v>
      </c>
      <c r="Z886" s="85">
        <v>0</v>
      </c>
      <c r="AA886" s="85">
        <v>0</v>
      </c>
      <c r="AB886" s="85">
        <v>0</v>
      </c>
      <c r="AC886" s="85">
        <v>0</v>
      </c>
      <c r="AD886" s="85"/>
    </row>
    <row r="887" spans="1:30">
      <c r="A887" s="82" t="s">
        <v>566</v>
      </c>
      <c r="B887" s="83" t="s">
        <v>600</v>
      </c>
      <c r="C887" s="84" t="s">
        <v>680</v>
      </c>
      <c r="D887" s="84" t="s">
        <v>680</v>
      </c>
      <c r="E887" s="84" t="s">
        <v>680</v>
      </c>
      <c r="F887" s="84" t="s">
        <v>680</v>
      </c>
      <c r="G887" s="84" t="s">
        <v>680</v>
      </c>
      <c r="H887" s="84" t="s">
        <v>680</v>
      </c>
      <c r="I887" s="84" t="s">
        <v>680</v>
      </c>
      <c r="J887" s="84" t="s">
        <v>680</v>
      </c>
      <c r="K887" s="84" t="s">
        <v>680</v>
      </c>
      <c r="L887" s="84" t="s">
        <v>680</v>
      </c>
      <c r="M887" s="85">
        <v>0</v>
      </c>
      <c r="N887" s="85">
        <v>0</v>
      </c>
      <c r="O887" s="85">
        <v>0</v>
      </c>
      <c r="P887" s="85">
        <v>0</v>
      </c>
      <c r="Q887" s="85">
        <v>0</v>
      </c>
      <c r="R887" s="85">
        <v>0</v>
      </c>
      <c r="S887" s="85">
        <v>0</v>
      </c>
      <c r="T887" s="85">
        <v>0</v>
      </c>
      <c r="U887" s="85">
        <v>0</v>
      </c>
      <c r="V887" s="85">
        <v>0</v>
      </c>
      <c r="W887" s="85">
        <v>0</v>
      </c>
      <c r="X887" s="85">
        <v>0</v>
      </c>
      <c r="Y887" s="85">
        <v>0</v>
      </c>
      <c r="Z887" s="85">
        <v>0</v>
      </c>
      <c r="AA887" s="85">
        <v>0</v>
      </c>
      <c r="AB887" s="85">
        <v>0</v>
      </c>
      <c r="AC887" s="85">
        <v>0</v>
      </c>
      <c r="AD887" s="85"/>
    </row>
    <row r="888" spans="1:30">
      <c r="A888" s="82" t="s">
        <v>566</v>
      </c>
      <c r="B888" s="83" t="s">
        <v>595</v>
      </c>
      <c r="C888" s="84" t="s">
        <v>680</v>
      </c>
      <c r="D888" s="84" t="s">
        <v>680</v>
      </c>
      <c r="E888" s="84" t="s">
        <v>680</v>
      </c>
      <c r="F888" s="84" t="s">
        <v>680</v>
      </c>
      <c r="G888" s="84" t="s">
        <v>680</v>
      </c>
      <c r="H888" s="84" t="s">
        <v>680</v>
      </c>
      <c r="I888" s="84" t="s">
        <v>680</v>
      </c>
      <c r="J888" s="84" t="s">
        <v>680</v>
      </c>
      <c r="K888" s="84" t="s">
        <v>680</v>
      </c>
      <c r="L888" s="84" t="s">
        <v>680</v>
      </c>
      <c r="M888" s="85">
        <v>0</v>
      </c>
      <c r="N888" s="85">
        <v>0</v>
      </c>
      <c r="O888" s="85">
        <v>0</v>
      </c>
      <c r="P888" s="85">
        <v>0</v>
      </c>
      <c r="Q888" s="85">
        <v>0</v>
      </c>
      <c r="R888" s="85">
        <v>0</v>
      </c>
      <c r="S888" s="85">
        <v>0</v>
      </c>
      <c r="T888" s="85">
        <v>0</v>
      </c>
      <c r="U888" s="85">
        <v>0</v>
      </c>
      <c r="V888" s="85">
        <v>0</v>
      </c>
      <c r="W888" s="85">
        <v>0</v>
      </c>
      <c r="X888" s="85">
        <v>0</v>
      </c>
      <c r="Y888" s="85">
        <v>0</v>
      </c>
      <c r="Z888" s="85">
        <v>0</v>
      </c>
      <c r="AA888" s="85">
        <v>0</v>
      </c>
      <c r="AB888" s="85">
        <v>0</v>
      </c>
      <c r="AC888" s="85">
        <v>0</v>
      </c>
      <c r="AD888" s="85"/>
    </row>
    <row r="889" spans="1:30">
      <c r="A889" s="82" t="s">
        <v>566</v>
      </c>
      <c r="B889" s="83" t="s">
        <v>596</v>
      </c>
      <c r="C889" s="84" t="s">
        <v>680</v>
      </c>
      <c r="D889" s="84" t="s">
        <v>680</v>
      </c>
      <c r="E889" s="84" t="s">
        <v>680</v>
      </c>
      <c r="F889" s="84" t="s">
        <v>680</v>
      </c>
      <c r="G889" s="84" t="s">
        <v>680</v>
      </c>
      <c r="H889" s="84" t="s">
        <v>680</v>
      </c>
      <c r="I889" s="84" t="s">
        <v>680</v>
      </c>
      <c r="J889" s="84" t="s">
        <v>680</v>
      </c>
      <c r="K889" s="84" t="s">
        <v>680</v>
      </c>
      <c r="L889" s="84" t="s">
        <v>680</v>
      </c>
      <c r="M889" s="85">
        <v>0</v>
      </c>
      <c r="N889" s="85">
        <v>0</v>
      </c>
      <c r="O889" s="85">
        <v>0</v>
      </c>
      <c r="P889" s="85">
        <v>0</v>
      </c>
      <c r="Q889" s="85">
        <f>0.03*0.065</f>
        <v>1.9499999999999999E-3</v>
      </c>
      <c r="R889" s="85">
        <f>0.03*0.065</f>
        <v>1.9499999999999999E-3</v>
      </c>
      <c r="S889" s="88">
        <f>0.01*0.065</f>
        <v>6.5000000000000008E-4</v>
      </c>
      <c r="T889" s="85">
        <v>0</v>
      </c>
      <c r="U889" s="85">
        <v>0</v>
      </c>
      <c r="V889" s="85">
        <v>0</v>
      </c>
      <c r="W889" s="85">
        <v>0</v>
      </c>
      <c r="X889" s="85">
        <v>0</v>
      </c>
      <c r="Y889" s="85">
        <v>0</v>
      </c>
      <c r="Z889" s="85">
        <v>0</v>
      </c>
      <c r="AA889" s="85">
        <v>0</v>
      </c>
      <c r="AB889" s="85">
        <v>0</v>
      </c>
      <c r="AC889" s="85">
        <v>0</v>
      </c>
      <c r="AD889" s="85"/>
    </row>
    <row r="890" spans="1:30">
      <c r="A890" s="82" t="s">
        <v>566</v>
      </c>
      <c r="B890" s="83" t="s">
        <v>594</v>
      </c>
      <c r="C890" s="84" t="s">
        <v>680</v>
      </c>
      <c r="D890" s="84" t="s">
        <v>680</v>
      </c>
      <c r="E890" s="84" t="s">
        <v>680</v>
      </c>
      <c r="F890" s="84" t="s">
        <v>680</v>
      </c>
      <c r="G890" s="84" t="s">
        <v>680</v>
      </c>
      <c r="H890" s="84" t="s">
        <v>680</v>
      </c>
      <c r="I890" s="84" t="s">
        <v>680</v>
      </c>
      <c r="J890" s="84" t="s">
        <v>680</v>
      </c>
      <c r="K890" s="84" t="s">
        <v>680</v>
      </c>
      <c r="L890" s="84" t="s">
        <v>680</v>
      </c>
      <c r="M890" s="85">
        <f>0.228*0.055</f>
        <v>1.2540000000000001E-2</v>
      </c>
      <c r="N890" s="85">
        <f>0.54*0.055</f>
        <v>2.9700000000000001E-2</v>
      </c>
      <c r="O890" s="85">
        <f>0.63*0.055</f>
        <v>3.465E-2</v>
      </c>
      <c r="P890" s="85">
        <f>0.33*0.055</f>
        <v>1.8149999999999999E-2</v>
      </c>
      <c r="Q890" s="85">
        <f>1.59*0.055</f>
        <v>8.745E-2</v>
      </c>
      <c r="R890" s="85">
        <f>1.62*0.055</f>
        <v>8.9100000000000013E-2</v>
      </c>
      <c r="S890" s="85">
        <f>0.19*0.055</f>
        <v>1.0450000000000001E-2</v>
      </c>
      <c r="T890" s="85">
        <f>0.37*0.055</f>
        <v>2.035E-2</v>
      </c>
      <c r="U890" s="85">
        <f>0.0136*0.055</f>
        <v>7.4799999999999997E-4</v>
      </c>
      <c r="V890" s="88">
        <f>0.0454*0.055</f>
        <v>2.4970000000000001E-3</v>
      </c>
      <c r="W890" s="88">
        <f>0.2951*0.055</f>
        <v>1.6230499999999998E-2</v>
      </c>
      <c r="X890" s="88">
        <f>0.1179*0.055</f>
        <v>6.4845000000000007E-3</v>
      </c>
      <c r="Y890" s="88">
        <f>0.204*0.055</f>
        <v>1.1219999999999999E-2</v>
      </c>
      <c r="Z890" s="88">
        <f>0.0272*0.055</f>
        <v>1.4959999999999999E-3</v>
      </c>
      <c r="AA890" s="88">
        <v>0</v>
      </c>
      <c r="AB890" s="88">
        <f>0.03*0.055</f>
        <v>1.65E-3</v>
      </c>
      <c r="AC890" s="85">
        <v>0</v>
      </c>
      <c r="AD890" s="88"/>
    </row>
    <row r="891" spans="1:30">
      <c r="A891" s="82" t="s">
        <v>566</v>
      </c>
      <c r="B891" s="83" t="s">
        <v>643</v>
      </c>
      <c r="C891" s="84" t="s">
        <v>680</v>
      </c>
      <c r="D891" s="84" t="s">
        <v>680</v>
      </c>
      <c r="E891" s="84" t="s">
        <v>680</v>
      </c>
      <c r="F891" s="84" t="s">
        <v>680</v>
      </c>
      <c r="G891" s="84" t="s">
        <v>680</v>
      </c>
      <c r="H891" s="84" t="s">
        <v>680</v>
      </c>
      <c r="I891" s="84" t="s">
        <v>680</v>
      </c>
      <c r="J891" s="84" t="s">
        <v>680</v>
      </c>
      <c r="K891" s="84" t="s">
        <v>680</v>
      </c>
      <c r="L891" s="84" t="s">
        <v>680</v>
      </c>
      <c r="M891" s="85">
        <v>0</v>
      </c>
      <c r="N891" s="85">
        <v>0</v>
      </c>
      <c r="O891" s="85">
        <v>0</v>
      </c>
      <c r="P891" s="85">
        <v>0</v>
      </c>
      <c r="Q891" s="85">
        <v>0</v>
      </c>
      <c r="R891" s="85">
        <v>0</v>
      </c>
      <c r="S891" s="85">
        <v>0</v>
      </c>
      <c r="T891" s="85">
        <v>0</v>
      </c>
      <c r="U891" s="85">
        <v>0</v>
      </c>
      <c r="V891" s="85">
        <v>0</v>
      </c>
      <c r="W891" s="85">
        <v>0</v>
      </c>
      <c r="X891" s="85">
        <v>0</v>
      </c>
      <c r="Y891" s="85">
        <v>0</v>
      </c>
      <c r="Z891" s="85">
        <v>0</v>
      </c>
      <c r="AA891" s="85">
        <v>0</v>
      </c>
      <c r="AB891" s="85">
        <v>0</v>
      </c>
      <c r="AC891" s="85">
        <v>0</v>
      </c>
      <c r="AD891" s="85"/>
    </row>
    <row r="892" spans="1:30">
      <c r="A892" s="82" t="s">
        <v>567</v>
      </c>
      <c r="B892" s="83" t="s">
        <v>597</v>
      </c>
      <c r="C892" s="85">
        <v>0</v>
      </c>
      <c r="D892" s="85">
        <v>0</v>
      </c>
      <c r="E892" s="85">
        <v>0</v>
      </c>
      <c r="F892" s="85">
        <v>0</v>
      </c>
      <c r="G892" s="85">
        <v>0</v>
      </c>
      <c r="H892" s="85">
        <v>0</v>
      </c>
      <c r="I892" s="85">
        <v>0</v>
      </c>
      <c r="J892" s="85">
        <v>0</v>
      </c>
      <c r="K892" s="85">
        <v>0</v>
      </c>
      <c r="L892" s="85">
        <v>0</v>
      </c>
      <c r="M892" s="85">
        <v>0</v>
      </c>
      <c r="N892" s="85">
        <v>0</v>
      </c>
      <c r="O892" s="85">
        <v>0</v>
      </c>
      <c r="P892" s="85">
        <v>0</v>
      </c>
      <c r="Q892" s="85">
        <v>0</v>
      </c>
      <c r="R892" s="85">
        <v>0</v>
      </c>
      <c r="S892" s="85">
        <v>0</v>
      </c>
      <c r="T892" s="85">
        <v>0</v>
      </c>
      <c r="U892" s="85">
        <v>0</v>
      </c>
      <c r="V892" s="85">
        <v>0</v>
      </c>
      <c r="W892" s="85">
        <v>0</v>
      </c>
      <c r="X892" s="85">
        <v>0</v>
      </c>
      <c r="Y892" s="85">
        <v>0</v>
      </c>
      <c r="Z892" s="85">
        <v>0</v>
      </c>
      <c r="AA892" s="85">
        <v>0</v>
      </c>
      <c r="AB892" s="85">
        <v>0</v>
      </c>
      <c r="AC892" s="85">
        <v>0</v>
      </c>
      <c r="AD892" s="85"/>
    </row>
    <row r="893" spans="1:30">
      <c r="A893" s="82" t="s">
        <v>567</v>
      </c>
      <c r="B893" s="83" t="s">
        <v>600</v>
      </c>
      <c r="C893" s="85">
        <v>0</v>
      </c>
      <c r="D893" s="85">
        <v>0</v>
      </c>
      <c r="E893" s="85">
        <v>0</v>
      </c>
      <c r="F893" s="85">
        <v>0</v>
      </c>
      <c r="G893" s="85">
        <v>0</v>
      </c>
      <c r="H893" s="85">
        <v>0</v>
      </c>
      <c r="I893" s="85">
        <v>0</v>
      </c>
      <c r="J893" s="85">
        <v>0</v>
      </c>
      <c r="K893" s="85">
        <v>0</v>
      </c>
      <c r="L893" s="85">
        <v>0</v>
      </c>
      <c r="M893" s="85">
        <v>0</v>
      </c>
      <c r="N893" s="85">
        <v>0</v>
      </c>
      <c r="O893" s="85">
        <v>0</v>
      </c>
      <c r="P893" s="85">
        <v>0</v>
      </c>
      <c r="Q893" s="85">
        <v>0</v>
      </c>
      <c r="R893" s="85">
        <v>0</v>
      </c>
      <c r="S893" s="85">
        <v>0</v>
      </c>
      <c r="T893" s="85">
        <v>0</v>
      </c>
      <c r="U893" s="85">
        <v>0</v>
      </c>
      <c r="V893" s="85">
        <v>0</v>
      </c>
      <c r="W893" s="85">
        <v>0</v>
      </c>
      <c r="X893" s="85">
        <v>0</v>
      </c>
      <c r="Y893" s="85">
        <v>0</v>
      </c>
      <c r="Z893" s="85">
        <v>0</v>
      </c>
      <c r="AA893" s="85">
        <v>0</v>
      </c>
      <c r="AB893" s="85">
        <v>0</v>
      </c>
      <c r="AC893" s="85">
        <v>0</v>
      </c>
      <c r="AD893" s="85"/>
    </row>
    <row r="894" spans="1:30">
      <c r="A894" s="82" t="s">
        <v>567</v>
      </c>
      <c r="B894" s="83" t="s">
        <v>595</v>
      </c>
      <c r="C894" s="85">
        <v>0</v>
      </c>
      <c r="D894" s="85">
        <v>0</v>
      </c>
      <c r="E894" s="85">
        <v>0</v>
      </c>
      <c r="F894" s="85">
        <v>0</v>
      </c>
      <c r="G894" s="85">
        <v>0</v>
      </c>
      <c r="H894" s="85">
        <v>0</v>
      </c>
      <c r="I894" s="85">
        <v>0</v>
      </c>
      <c r="J894" s="85">
        <v>0</v>
      </c>
      <c r="K894" s="85">
        <v>0</v>
      </c>
      <c r="L894" s="85">
        <v>0</v>
      </c>
      <c r="M894" s="85">
        <v>0</v>
      </c>
      <c r="N894" s="85">
        <v>0</v>
      </c>
      <c r="O894" s="85">
        <v>0</v>
      </c>
      <c r="P894" s="85">
        <v>0</v>
      </c>
      <c r="Q894" s="85">
        <v>0</v>
      </c>
      <c r="R894" s="85">
        <v>0</v>
      </c>
      <c r="S894" s="85">
        <v>0</v>
      </c>
      <c r="T894" s="85">
        <v>0</v>
      </c>
      <c r="U894" s="85">
        <v>0</v>
      </c>
      <c r="V894" s="85">
        <v>0</v>
      </c>
      <c r="W894" s="85">
        <v>0</v>
      </c>
      <c r="X894" s="85">
        <v>0</v>
      </c>
      <c r="Y894" s="85">
        <v>0</v>
      </c>
      <c r="Z894" s="85">
        <v>0</v>
      </c>
      <c r="AA894" s="85">
        <v>0</v>
      </c>
      <c r="AB894" s="85">
        <v>0</v>
      </c>
      <c r="AC894" s="85">
        <v>0</v>
      </c>
      <c r="AD894" s="85"/>
    </row>
    <row r="895" spans="1:30">
      <c r="A895" s="82" t="s">
        <v>567</v>
      </c>
      <c r="B895" s="83" t="s">
        <v>596</v>
      </c>
      <c r="C895" s="85">
        <v>0</v>
      </c>
      <c r="D895" s="85">
        <v>0</v>
      </c>
      <c r="E895" s="85">
        <v>0</v>
      </c>
      <c r="F895" s="85">
        <v>0</v>
      </c>
      <c r="G895" s="85">
        <v>0</v>
      </c>
      <c r="H895" s="85">
        <v>0</v>
      </c>
      <c r="I895" s="85">
        <v>0</v>
      </c>
      <c r="J895" s="85">
        <v>0</v>
      </c>
      <c r="K895" s="85">
        <v>0</v>
      </c>
      <c r="L895" s="85">
        <v>0</v>
      </c>
      <c r="M895" s="85">
        <v>0</v>
      </c>
      <c r="N895" s="85">
        <v>0</v>
      </c>
      <c r="O895" s="85">
        <v>0</v>
      </c>
      <c r="P895" s="85">
        <v>0</v>
      </c>
      <c r="Q895" s="85">
        <v>0</v>
      </c>
      <c r="R895" s="85">
        <v>0</v>
      </c>
      <c r="S895" s="85">
        <v>0</v>
      </c>
      <c r="T895" s="85">
        <v>0</v>
      </c>
      <c r="U895" s="85">
        <v>0</v>
      </c>
      <c r="V895" s="85">
        <v>0</v>
      </c>
      <c r="W895" s="85">
        <v>0</v>
      </c>
      <c r="X895" s="85">
        <v>0</v>
      </c>
      <c r="Y895" s="85">
        <v>0</v>
      </c>
      <c r="Z895" s="85">
        <v>0</v>
      </c>
      <c r="AA895" s="85">
        <v>0</v>
      </c>
      <c r="AB895" s="85">
        <v>0</v>
      </c>
      <c r="AC895" s="85">
        <v>0</v>
      </c>
      <c r="AD895" s="85"/>
    </row>
    <row r="896" spans="1:30">
      <c r="A896" s="82" t="s">
        <v>567</v>
      </c>
      <c r="B896" s="83" t="s">
        <v>594</v>
      </c>
      <c r="C896" s="85">
        <f>17.1*0.055</f>
        <v>0.94050000000000011</v>
      </c>
      <c r="D896" s="85">
        <f>19.3*0.055</f>
        <v>1.0615000000000001</v>
      </c>
      <c r="E896" s="85">
        <f>21.23*0.055</f>
        <v>1.1676500000000001</v>
      </c>
      <c r="F896" s="85">
        <f>22.72*0.055</f>
        <v>1.2496</v>
      </c>
      <c r="G896" s="85">
        <f>24.76*0.055</f>
        <v>1.3618000000000001</v>
      </c>
      <c r="H896" s="85">
        <f>26.8*0.055</f>
        <v>1.474</v>
      </c>
      <c r="I896" s="85">
        <f>28.4*0.055</f>
        <v>1.5619999999999998</v>
      </c>
      <c r="J896" s="85">
        <f>30.3*0.055</f>
        <v>1.6665000000000001</v>
      </c>
      <c r="K896" s="85">
        <f>3.66*0.055</f>
        <v>0.20130000000000001</v>
      </c>
      <c r="L896" s="85">
        <f>2.03*0.055</f>
        <v>0.11164999999999999</v>
      </c>
      <c r="M896" s="85">
        <v>0</v>
      </c>
      <c r="N896" s="85">
        <f>0.3*0.055</f>
        <v>1.6500000000000001E-2</v>
      </c>
      <c r="O896" s="85">
        <v>0</v>
      </c>
      <c r="P896" s="85">
        <f>0.62*0.055</f>
        <v>3.4099999999999998E-2</v>
      </c>
      <c r="Q896" s="85">
        <f>0.11*0.055</f>
        <v>6.0499999999999998E-3</v>
      </c>
      <c r="R896" s="85">
        <f>5.232*0.055</f>
        <v>0.28776000000000002</v>
      </c>
      <c r="S896" s="85">
        <f>2.239*0.055</f>
        <v>0.12314499999999999</v>
      </c>
      <c r="T896" s="85">
        <f>0.887*0.055</f>
        <v>4.8785000000000002E-2</v>
      </c>
      <c r="U896" s="85">
        <v>0</v>
      </c>
      <c r="V896" s="85">
        <v>0</v>
      </c>
      <c r="W896" s="85">
        <v>0</v>
      </c>
      <c r="X896" s="85">
        <v>0</v>
      </c>
      <c r="Y896" s="85">
        <v>0</v>
      </c>
      <c r="Z896" s="85">
        <f>1.39*0.055</f>
        <v>7.644999999999999E-2</v>
      </c>
      <c r="AA896" s="85">
        <f>1.27*0.055</f>
        <v>6.9849999999999995E-2</v>
      </c>
      <c r="AB896" s="85">
        <f>1.04*0.055</f>
        <v>5.7200000000000001E-2</v>
      </c>
      <c r="AC896" s="85">
        <f>1.157*0.055</f>
        <v>6.3634999999999997E-2</v>
      </c>
      <c r="AD896" s="85"/>
    </row>
    <row r="897" spans="1:30">
      <c r="A897" s="82" t="s">
        <v>567</v>
      </c>
      <c r="B897" s="87" t="s">
        <v>643</v>
      </c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>
        <v>0</v>
      </c>
      <c r="O897" s="85">
        <v>0</v>
      </c>
      <c r="P897" s="85">
        <v>0</v>
      </c>
      <c r="Q897" s="85">
        <v>0</v>
      </c>
      <c r="R897" s="85">
        <v>0</v>
      </c>
      <c r="S897" s="85">
        <v>0</v>
      </c>
      <c r="T897" s="85">
        <v>0</v>
      </c>
      <c r="U897" s="85">
        <v>0</v>
      </c>
      <c r="V897" s="85">
        <v>0</v>
      </c>
      <c r="W897" s="85">
        <v>0</v>
      </c>
      <c r="X897" s="85">
        <v>0</v>
      </c>
      <c r="Y897" s="85">
        <v>0</v>
      </c>
      <c r="Z897" s="85">
        <v>0</v>
      </c>
      <c r="AA897" s="85">
        <v>0</v>
      </c>
      <c r="AB897" s="85">
        <v>0</v>
      </c>
      <c r="AC897" s="85">
        <v>0</v>
      </c>
      <c r="AD897" s="85"/>
    </row>
    <row r="898" spans="1:30">
      <c r="A898" s="82" t="s">
        <v>644</v>
      </c>
      <c r="B898" s="83" t="s">
        <v>597</v>
      </c>
      <c r="C898" s="85">
        <v>0</v>
      </c>
      <c r="D898" s="85">
        <v>0</v>
      </c>
      <c r="E898" s="85">
        <v>0</v>
      </c>
      <c r="F898" s="85">
        <v>0</v>
      </c>
      <c r="G898" s="85">
        <v>0</v>
      </c>
      <c r="H898" s="85">
        <v>0</v>
      </c>
      <c r="I898" s="85">
        <v>0</v>
      </c>
      <c r="J898" s="85">
        <v>0</v>
      </c>
      <c r="K898" s="85">
        <v>0</v>
      </c>
      <c r="L898" s="85">
        <v>0</v>
      </c>
      <c r="M898" s="85">
        <f>3.15*0.02</f>
        <v>6.3E-2</v>
      </c>
      <c r="N898" s="85">
        <v>0</v>
      </c>
      <c r="O898" s="85">
        <v>0</v>
      </c>
      <c r="P898" s="85">
        <v>0</v>
      </c>
      <c r="Q898" s="85"/>
      <c r="R898" s="85">
        <f>0.16*0.02</f>
        <v>3.2000000000000002E-3</v>
      </c>
      <c r="S898" s="85">
        <v>0</v>
      </c>
      <c r="T898" s="85">
        <f>0.27*0.02</f>
        <v>5.4000000000000003E-3</v>
      </c>
      <c r="U898" s="85">
        <f>0.27*0.02</f>
        <v>5.4000000000000003E-3</v>
      </c>
      <c r="V898" s="85">
        <f>0.27*0.02</f>
        <v>5.4000000000000003E-3</v>
      </c>
      <c r="W898" s="85">
        <v>0</v>
      </c>
      <c r="X898" s="85">
        <v>0</v>
      </c>
      <c r="Y898" s="85">
        <v>0</v>
      </c>
      <c r="Z898" s="85">
        <v>0</v>
      </c>
      <c r="AA898" s="85">
        <v>0</v>
      </c>
      <c r="AB898" s="85">
        <v>0</v>
      </c>
      <c r="AC898" s="85">
        <v>0</v>
      </c>
      <c r="AD898" s="85"/>
    </row>
    <row r="899" spans="1:30">
      <c r="A899" s="82" t="s">
        <v>644</v>
      </c>
      <c r="B899" s="83" t="s">
        <v>600</v>
      </c>
      <c r="C899" s="85">
        <v>0</v>
      </c>
      <c r="D899" s="85">
        <v>0</v>
      </c>
      <c r="E899" s="85">
        <v>0</v>
      </c>
      <c r="F899" s="85">
        <v>0</v>
      </c>
      <c r="G899" s="85">
        <v>0</v>
      </c>
      <c r="H899" s="85">
        <v>0</v>
      </c>
      <c r="I899" s="85">
        <v>0</v>
      </c>
      <c r="J899" s="85">
        <v>0</v>
      </c>
      <c r="K899" s="85">
        <v>0</v>
      </c>
      <c r="L899" s="85">
        <v>0</v>
      </c>
      <c r="M899" s="85">
        <v>0</v>
      </c>
      <c r="N899" s="85">
        <v>0</v>
      </c>
      <c r="O899" s="85">
        <v>0</v>
      </c>
      <c r="P899" s="85">
        <v>0</v>
      </c>
      <c r="Q899" s="85"/>
      <c r="R899" s="85">
        <v>0</v>
      </c>
      <c r="S899" s="85">
        <v>0</v>
      </c>
      <c r="T899" s="85">
        <v>0</v>
      </c>
      <c r="U899" s="85">
        <v>0</v>
      </c>
      <c r="V899" s="85">
        <v>0</v>
      </c>
      <c r="W899" s="85">
        <v>0</v>
      </c>
      <c r="X899" s="85">
        <v>0</v>
      </c>
      <c r="Y899" s="85">
        <v>0</v>
      </c>
      <c r="Z899" s="85">
        <v>0</v>
      </c>
      <c r="AA899" s="85">
        <v>0</v>
      </c>
      <c r="AB899" s="85">
        <v>0</v>
      </c>
      <c r="AC899" s="85">
        <v>0</v>
      </c>
      <c r="AD899" s="85"/>
    </row>
    <row r="900" spans="1:30">
      <c r="A900" s="82" t="s">
        <v>644</v>
      </c>
      <c r="B900" s="83" t="s">
        <v>595</v>
      </c>
      <c r="C900" s="85">
        <v>0</v>
      </c>
      <c r="D900" s="85">
        <v>0</v>
      </c>
      <c r="E900" s="85">
        <v>0</v>
      </c>
      <c r="F900" s="85">
        <v>0</v>
      </c>
      <c r="G900" s="85">
        <v>0</v>
      </c>
      <c r="H900" s="85">
        <v>0</v>
      </c>
      <c r="I900" s="85">
        <v>0</v>
      </c>
      <c r="J900" s="85">
        <v>0</v>
      </c>
      <c r="K900" s="85">
        <v>0</v>
      </c>
      <c r="L900" s="85">
        <v>0</v>
      </c>
      <c r="M900" s="85">
        <v>0</v>
      </c>
      <c r="N900" s="85">
        <v>0</v>
      </c>
      <c r="O900" s="85">
        <v>0</v>
      </c>
      <c r="P900" s="85">
        <v>0</v>
      </c>
      <c r="Q900" s="85"/>
      <c r="R900" s="85">
        <v>0</v>
      </c>
      <c r="S900" s="85">
        <v>0</v>
      </c>
      <c r="T900" s="85">
        <v>0</v>
      </c>
      <c r="U900" s="85">
        <v>0</v>
      </c>
      <c r="V900" s="85">
        <v>0</v>
      </c>
      <c r="W900" s="85">
        <v>0</v>
      </c>
      <c r="X900" s="85">
        <v>0</v>
      </c>
      <c r="Y900" s="85">
        <v>0</v>
      </c>
      <c r="Z900" s="85">
        <v>0</v>
      </c>
      <c r="AA900" s="85">
        <v>0</v>
      </c>
      <c r="AB900" s="85">
        <v>0</v>
      </c>
      <c r="AC900" s="85">
        <v>0</v>
      </c>
      <c r="AD900" s="85"/>
    </row>
    <row r="901" spans="1:30">
      <c r="A901" s="82" t="s">
        <v>644</v>
      </c>
      <c r="B901" s="83" t="s">
        <v>596</v>
      </c>
      <c r="C901" s="85">
        <v>0</v>
      </c>
      <c r="D901" s="85">
        <v>0</v>
      </c>
      <c r="E901" s="85">
        <v>0</v>
      </c>
      <c r="F901" s="85">
        <v>0</v>
      </c>
      <c r="G901" s="85">
        <v>0</v>
      </c>
      <c r="H901" s="85">
        <v>0</v>
      </c>
      <c r="I901" s="85">
        <v>0</v>
      </c>
      <c r="J901" s="85">
        <v>0</v>
      </c>
      <c r="K901" s="85">
        <v>0</v>
      </c>
      <c r="L901" s="85">
        <v>0</v>
      </c>
      <c r="M901" s="85">
        <v>0</v>
      </c>
      <c r="N901" s="85">
        <v>0</v>
      </c>
      <c r="O901" s="85">
        <v>0</v>
      </c>
      <c r="P901" s="85">
        <v>0</v>
      </c>
      <c r="Q901" s="85"/>
      <c r="R901" s="85">
        <v>0</v>
      </c>
      <c r="S901" s="85">
        <v>0</v>
      </c>
      <c r="T901" s="85">
        <v>0</v>
      </c>
      <c r="U901" s="85">
        <v>0</v>
      </c>
      <c r="V901" s="85">
        <v>0</v>
      </c>
      <c r="W901" s="85">
        <v>0</v>
      </c>
      <c r="X901" s="85">
        <v>0</v>
      </c>
      <c r="Y901" s="85">
        <v>0</v>
      </c>
      <c r="Z901" s="85">
        <v>0</v>
      </c>
      <c r="AA901" s="85">
        <v>0</v>
      </c>
      <c r="AB901" s="85">
        <v>0</v>
      </c>
      <c r="AC901" s="85">
        <v>0</v>
      </c>
      <c r="AD901" s="85"/>
    </row>
    <row r="902" spans="1:30">
      <c r="A902" s="82" t="s">
        <v>644</v>
      </c>
      <c r="B902" s="83" t="s">
        <v>594</v>
      </c>
      <c r="C902" s="85">
        <f>40*0.055</f>
        <v>2.2000000000000002</v>
      </c>
      <c r="D902" s="85">
        <f>42.5*0.055</f>
        <v>2.3374999999999999</v>
      </c>
      <c r="E902" s="85">
        <f>7.12*0.055</f>
        <v>0.3916</v>
      </c>
      <c r="F902" s="85">
        <v>0</v>
      </c>
      <c r="G902" s="85">
        <v>0</v>
      </c>
      <c r="H902" s="85">
        <v>0</v>
      </c>
      <c r="I902" s="85">
        <v>0</v>
      </c>
      <c r="J902" s="85">
        <v>0</v>
      </c>
      <c r="K902" s="85">
        <v>0</v>
      </c>
      <c r="L902" s="85">
        <v>0</v>
      </c>
      <c r="M902" s="85">
        <v>0</v>
      </c>
      <c r="N902" s="85">
        <v>0</v>
      </c>
      <c r="O902" s="85">
        <f>37.19*0.055</f>
        <v>2.0454499999999998</v>
      </c>
      <c r="P902" s="85">
        <f>26.9*0.055</f>
        <v>1.4795</v>
      </c>
      <c r="Q902" s="85"/>
      <c r="R902" s="85">
        <f>36.04*0.055</f>
        <v>1.9822</v>
      </c>
      <c r="S902" s="85">
        <f>181.23*0.055</f>
        <v>9.967649999999999</v>
      </c>
      <c r="T902" s="85">
        <f>171.65*0.055</f>
        <v>9.4407499999999995</v>
      </c>
      <c r="U902" s="85">
        <f>29.69*0.055</f>
        <v>1.6329500000000001</v>
      </c>
      <c r="V902" s="85">
        <f>29.69*0.055</f>
        <v>1.6329500000000001</v>
      </c>
      <c r="W902" s="85">
        <f>21.49*0.055</f>
        <v>1.1819499999999998</v>
      </c>
      <c r="X902" s="85">
        <f>20.99*0.055</f>
        <v>1.15445</v>
      </c>
      <c r="Y902" s="85">
        <f>20.89*0.055</f>
        <v>1.1489500000000001</v>
      </c>
      <c r="Z902" s="85">
        <f>20.8*0.055</f>
        <v>1.1440000000000001</v>
      </c>
      <c r="AA902" s="85">
        <f>20.73*0.055</f>
        <v>1.14015</v>
      </c>
      <c r="AB902" s="85">
        <f>18.67*0.055</f>
        <v>1.02685</v>
      </c>
      <c r="AC902" s="85">
        <f>16.44*0.055</f>
        <v>0.90420000000000011</v>
      </c>
      <c r="AD902" s="85"/>
    </row>
    <row r="903" spans="1:30">
      <c r="A903" s="82" t="s">
        <v>644</v>
      </c>
      <c r="B903" s="87" t="s">
        <v>643</v>
      </c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>
        <v>0</v>
      </c>
      <c r="N903" s="85">
        <v>0</v>
      </c>
      <c r="O903" s="85">
        <v>0</v>
      </c>
      <c r="P903" s="85">
        <v>0</v>
      </c>
      <c r="Q903" s="85"/>
      <c r="R903" s="85">
        <v>0</v>
      </c>
      <c r="S903" s="85">
        <v>0</v>
      </c>
      <c r="T903" s="85">
        <v>0</v>
      </c>
      <c r="U903" s="85">
        <v>0</v>
      </c>
      <c r="V903" s="85">
        <v>0</v>
      </c>
      <c r="W903" s="85">
        <v>0</v>
      </c>
      <c r="X903" s="85">
        <v>0</v>
      </c>
      <c r="Y903" s="85">
        <v>0</v>
      </c>
      <c r="Z903" s="85">
        <v>0</v>
      </c>
      <c r="AA903" s="85">
        <v>0</v>
      </c>
      <c r="AB903" s="85">
        <v>0</v>
      </c>
      <c r="AC903" s="85">
        <v>0</v>
      </c>
      <c r="AD903" s="85"/>
    </row>
    <row r="904" spans="1:30">
      <c r="A904" s="82" t="s">
        <v>568</v>
      </c>
      <c r="B904" s="83" t="s">
        <v>597</v>
      </c>
      <c r="C904" s="85">
        <v>0</v>
      </c>
      <c r="D904" s="85">
        <v>0</v>
      </c>
      <c r="E904" s="85">
        <v>0</v>
      </c>
      <c r="F904" s="85">
        <v>0</v>
      </c>
      <c r="G904" s="85">
        <v>0</v>
      </c>
      <c r="H904" s="85">
        <v>0</v>
      </c>
      <c r="I904" s="88">
        <v>0</v>
      </c>
      <c r="J904" s="85">
        <v>0</v>
      </c>
      <c r="K904" s="85">
        <v>0</v>
      </c>
      <c r="L904" s="85">
        <v>0</v>
      </c>
      <c r="M904" s="85">
        <v>0</v>
      </c>
      <c r="N904" s="85">
        <v>0.02</v>
      </c>
      <c r="O904" s="85">
        <v>0</v>
      </c>
      <c r="P904" s="85">
        <f>0.91*0.02</f>
        <v>1.8200000000000001E-2</v>
      </c>
      <c r="Q904" s="85">
        <f>1.59*0.02</f>
        <v>3.1800000000000002E-2</v>
      </c>
      <c r="R904" s="85">
        <f>2.12*0.02</f>
        <v>4.24E-2</v>
      </c>
      <c r="S904" s="85">
        <f>0.57*0.02</f>
        <v>1.1399999999999999E-2</v>
      </c>
      <c r="T904" s="85">
        <v>0</v>
      </c>
      <c r="U904" s="85">
        <f>0.74*0.02</f>
        <v>1.4800000000000001E-2</v>
      </c>
      <c r="V904" s="85">
        <f>1.54*0.02</f>
        <v>3.0800000000000001E-2</v>
      </c>
      <c r="W904" s="85">
        <f>1.6*0.02</f>
        <v>3.2000000000000001E-2</v>
      </c>
      <c r="X904" s="85">
        <f>2.02*0.02</f>
        <v>4.0399999999999998E-2</v>
      </c>
      <c r="Y904" s="85">
        <f>1.3*0.02</f>
        <v>2.6000000000000002E-2</v>
      </c>
      <c r="Z904" s="85">
        <f>1.51*0.02</f>
        <v>3.0200000000000001E-2</v>
      </c>
      <c r="AA904" s="85">
        <f>1.11*0.02</f>
        <v>2.2200000000000001E-2</v>
      </c>
      <c r="AB904" s="85">
        <f>2.55*0.02</f>
        <v>5.0999999999999997E-2</v>
      </c>
      <c r="AC904" s="85">
        <f>1.28*0.02</f>
        <v>2.5600000000000001E-2</v>
      </c>
      <c r="AD904" s="85"/>
    </row>
    <row r="905" spans="1:30">
      <c r="A905" s="82" t="s">
        <v>568</v>
      </c>
      <c r="B905" s="83" t="s">
        <v>600</v>
      </c>
      <c r="C905" s="85">
        <v>0</v>
      </c>
      <c r="D905" s="85">
        <v>0</v>
      </c>
      <c r="E905" s="85">
        <v>0</v>
      </c>
      <c r="F905" s="85">
        <v>0</v>
      </c>
      <c r="G905" s="85">
        <v>0</v>
      </c>
      <c r="H905" s="85">
        <v>0</v>
      </c>
      <c r="I905" s="85">
        <v>0</v>
      </c>
      <c r="J905" s="85">
        <v>0</v>
      </c>
      <c r="K905" s="85">
        <v>0</v>
      </c>
      <c r="L905" s="85">
        <v>0</v>
      </c>
      <c r="M905" s="85">
        <v>0</v>
      </c>
      <c r="N905" s="85">
        <v>0</v>
      </c>
      <c r="O905" s="85">
        <v>0</v>
      </c>
      <c r="P905" s="85">
        <v>0</v>
      </c>
      <c r="Q905" s="85">
        <f>2.46*0.022</f>
        <v>5.4119999999999994E-2</v>
      </c>
      <c r="R905" s="85">
        <f>5.82*0.022</f>
        <v>0.12803999999999999</v>
      </c>
      <c r="S905" s="85">
        <f>4.03*0.022</f>
        <v>8.8660000000000003E-2</v>
      </c>
      <c r="T905" s="85">
        <v>0</v>
      </c>
      <c r="U905" s="85">
        <f>7.14*0.022</f>
        <v>0.15708</v>
      </c>
      <c r="V905" s="85">
        <f>6.22*0.022</f>
        <v>0.13683999999999999</v>
      </c>
      <c r="W905" s="85">
        <f>3.36*0.022</f>
        <v>7.392E-2</v>
      </c>
      <c r="X905" s="85">
        <f>2.42*0.022</f>
        <v>5.3239999999999996E-2</v>
      </c>
      <c r="Y905" s="85">
        <f>5.45*0.022</f>
        <v>0.11989999999999999</v>
      </c>
      <c r="Z905" s="85">
        <f>0.52*0.022</f>
        <v>1.1440000000000001E-2</v>
      </c>
      <c r="AA905" s="85">
        <f>1.31*0.022</f>
        <v>2.8819999999999998E-2</v>
      </c>
      <c r="AB905" s="85">
        <f>0.44*0.022</f>
        <v>9.6799999999999994E-3</v>
      </c>
      <c r="AC905" s="85">
        <f>0.78*0.022</f>
        <v>1.7159999999999998E-2</v>
      </c>
      <c r="AD905" s="85"/>
    </row>
    <row r="906" spans="1:30">
      <c r="A906" s="82" t="s">
        <v>568</v>
      </c>
      <c r="B906" s="83" t="s">
        <v>595</v>
      </c>
      <c r="C906" s="85">
        <v>0</v>
      </c>
      <c r="D906" s="85">
        <f>43.86*0.11</f>
        <v>4.8246000000000002</v>
      </c>
      <c r="E906" s="85">
        <f>48.14*0.11</f>
        <v>5.2953999999999999</v>
      </c>
      <c r="F906" s="85">
        <v>0</v>
      </c>
      <c r="G906" s="85">
        <f>4.54*0.11</f>
        <v>0.49940000000000001</v>
      </c>
      <c r="H906" s="85">
        <f>6.58*0.11</f>
        <v>0.7238</v>
      </c>
      <c r="I906" s="88">
        <f>5.72*0.11</f>
        <v>0.62919999999999998</v>
      </c>
      <c r="J906" s="85">
        <f>2.05*0.11</f>
        <v>0.22549999999999998</v>
      </c>
      <c r="K906" s="85">
        <f>3.76*0.11</f>
        <v>0.41359999999999997</v>
      </c>
      <c r="L906" s="85">
        <f>7.29*0.11</f>
        <v>0.80190000000000006</v>
      </c>
      <c r="M906" s="85">
        <f>15.02*0.11</f>
        <v>1.6521999999999999</v>
      </c>
      <c r="N906" s="85">
        <v>0.58740000000000003</v>
      </c>
      <c r="O906" s="85">
        <f>16.7*0.11</f>
        <v>1.837</v>
      </c>
      <c r="P906" s="85">
        <f>15.49*0.11</f>
        <v>1.7039</v>
      </c>
      <c r="Q906" s="85">
        <f>15.54*0.11</f>
        <v>1.7093999999999998</v>
      </c>
      <c r="R906" s="85">
        <f>20.12*0.11</f>
        <v>2.2132000000000001</v>
      </c>
      <c r="S906" s="85">
        <f>8.38*0.11</f>
        <v>0.92180000000000006</v>
      </c>
      <c r="T906" s="85">
        <v>0</v>
      </c>
      <c r="U906" s="85">
        <f>6.38*0.11</f>
        <v>0.70179999999999998</v>
      </c>
      <c r="V906" s="85">
        <v>0</v>
      </c>
      <c r="W906" s="85">
        <f>14.81*0.11</f>
        <v>1.6291</v>
      </c>
      <c r="X906" s="85">
        <v>0</v>
      </c>
      <c r="Y906" s="85">
        <f>13.42*0.11</f>
        <v>1.4762</v>
      </c>
      <c r="Z906" s="85">
        <f>12.11*0.11</f>
        <v>1.3320999999999998</v>
      </c>
      <c r="AA906" s="85">
        <f>4.08*0.11</f>
        <v>0.44880000000000003</v>
      </c>
      <c r="AB906" s="85">
        <f>8.68*0.11</f>
        <v>0.95479999999999998</v>
      </c>
      <c r="AC906" s="85">
        <f>2.54*0.11</f>
        <v>0.27939999999999998</v>
      </c>
      <c r="AD906" s="85"/>
    </row>
    <row r="907" spans="1:30">
      <c r="A907" s="82" t="s">
        <v>568</v>
      </c>
      <c r="B907" s="83" t="s">
        <v>700</v>
      </c>
      <c r="C907" s="85"/>
      <c r="D907" s="85"/>
      <c r="E907" s="85"/>
      <c r="F907" s="85"/>
      <c r="G907" s="85"/>
      <c r="H907" s="85"/>
      <c r="I907" s="88"/>
      <c r="J907" s="85"/>
      <c r="K907" s="85"/>
      <c r="L907" s="85"/>
      <c r="M907" s="85"/>
      <c r="N907" s="85"/>
      <c r="O907" s="85"/>
      <c r="P907" s="85"/>
      <c r="Q907" s="85">
        <f>48.58*0.11</f>
        <v>5.3437999999999999</v>
      </c>
      <c r="R907" s="85">
        <f>52.32*0.11</f>
        <v>5.7552000000000003</v>
      </c>
      <c r="S907" s="85">
        <f>41.95*0.11</f>
        <v>4.6145000000000005</v>
      </c>
      <c r="T907" s="85">
        <v>0</v>
      </c>
      <c r="U907" s="85">
        <f>60.88*0.11</f>
        <v>6.6968000000000005</v>
      </c>
      <c r="V907" s="85">
        <f>51.62*0.11</f>
        <v>5.6781999999999995</v>
      </c>
      <c r="W907" s="85">
        <f>35.69*0.11</f>
        <v>3.9258999999999999</v>
      </c>
      <c r="X907" s="85">
        <f>42.85*0.11</f>
        <v>4.7134999999999998</v>
      </c>
      <c r="Y907" s="85">
        <f>49.75*0.11</f>
        <v>5.4725000000000001</v>
      </c>
      <c r="Z907" s="85">
        <f>58.89*0.11</f>
        <v>6.4779</v>
      </c>
      <c r="AA907" s="85">
        <f>51.47*0.11</f>
        <v>5.6616999999999997</v>
      </c>
      <c r="AB907" s="85">
        <f>46.07*0.11</f>
        <v>5.0677000000000003</v>
      </c>
      <c r="AC907" s="85">
        <f>33.19*0.11</f>
        <v>3.6508999999999996</v>
      </c>
      <c r="AD907" s="85"/>
    </row>
    <row r="908" spans="1:30">
      <c r="A908" s="82" t="s">
        <v>568</v>
      </c>
      <c r="B908" s="83" t="s">
        <v>596</v>
      </c>
      <c r="C908" s="85">
        <v>0</v>
      </c>
      <c r="D908" s="85">
        <v>0</v>
      </c>
      <c r="E908" s="85">
        <v>0</v>
      </c>
      <c r="F908" s="85">
        <v>0</v>
      </c>
      <c r="G908" s="85">
        <v>0</v>
      </c>
      <c r="H908" s="85">
        <v>0</v>
      </c>
      <c r="I908" s="88">
        <v>0</v>
      </c>
      <c r="J908" s="85">
        <v>0</v>
      </c>
      <c r="K908" s="85">
        <v>0</v>
      </c>
      <c r="L908" s="85">
        <v>0</v>
      </c>
      <c r="M908" s="85">
        <v>0</v>
      </c>
      <c r="N908" s="85">
        <v>0</v>
      </c>
      <c r="O908" s="85">
        <f>6.4*0.065</f>
        <v>0.41600000000000004</v>
      </c>
      <c r="P908" s="85">
        <v>0</v>
      </c>
      <c r="Q908" s="85">
        <f>11.88*0.065</f>
        <v>0.77220000000000011</v>
      </c>
      <c r="R908" s="85">
        <f>7.47*0.065</f>
        <v>0.48554999999999998</v>
      </c>
      <c r="S908" s="85">
        <f>6.36*0.065</f>
        <v>0.41340000000000005</v>
      </c>
      <c r="T908" s="85">
        <v>0</v>
      </c>
      <c r="U908" s="85">
        <f>3.02*0.065</f>
        <v>0.1963</v>
      </c>
      <c r="V908" s="85">
        <f>2.65*0.065</f>
        <v>0.17224999999999999</v>
      </c>
      <c r="W908" s="85">
        <f>0.98*0.065</f>
        <v>6.3700000000000007E-2</v>
      </c>
      <c r="X908" s="85">
        <f>1.35*0.065</f>
        <v>8.7750000000000009E-2</v>
      </c>
      <c r="Y908" s="85">
        <f>0.84*0.065</f>
        <v>5.4600000000000003E-2</v>
      </c>
      <c r="Z908" s="85">
        <f>0.31*0.065</f>
        <v>2.0150000000000001E-2</v>
      </c>
      <c r="AA908" s="85">
        <f>0.33*0.065</f>
        <v>2.145E-2</v>
      </c>
      <c r="AB908" s="85">
        <f>0.45*0.065</f>
        <v>2.9250000000000002E-2</v>
      </c>
      <c r="AC908" s="85">
        <v>0</v>
      </c>
      <c r="AD908" s="85"/>
    </row>
    <row r="909" spans="1:30">
      <c r="A909" s="82" t="s">
        <v>568</v>
      </c>
      <c r="B909" s="83" t="s">
        <v>594</v>
      </c>
      <c r="C909" s="85">
        <f>42.09*0.055</f>
        <v>2.3149500000000001</v>
      </c>
      <c r="D909" s="85">
        <f>129.16*0.055</f>
        <v>7.1037999999999997</v>
      </c>
      <c r="E909" s="85">
        <f>151.65*0.055</f>
        <v>8.3407499999999999</v>
      </c>
      <c r="F909" s="85">
        <f>190.01*0.055</f>
        <v>10.45055</v>
      </c>
      <c r="G909" s="85">
        <f>169.17*0.055</f>
        <v>9.3043499999999995</v>
      </c>
      <c r="H909" s="85">
        <f>173.97*0.055</f>
        <v>9.5683500000000006</v>
      </c>
      <c r="I909" s="88">
        <f>236.08*0.055</f>
        <v>12.984400000000001</v>
      </c>
      <c r="J909" s="85">
        <f>134.47*0.055</f>
        <v>7.3958500000000003</v>
      </c>
      <c r="K909" s="85">
        <f>155.94*0.055</f>
        <v>8.5767000000000007</v>
      </c>
      <c r="L909" s="85">
        <f>222.53*0.055</f>
        <v>12.23915</v>
      </c>
      <c r="M909" s="85">
        <f>204.97*0.055</f>
        <v>11.273350000000001</v>
      </c>
      <c r="N909" s="85">
        <v>15.085399999999998</v>
      </c>
      <c r="O909" s="85">
        <f>286.6*0.055</f>
        <v>15.763000000000002</v>
      </c>
      <c r="P909" s="85">
        <f>316.68*0.055</f>
        <v>17.417400000000001</v>
      </c>
      <c r="Q909" s="85">
        <f>378.26*0.055</f>
        <v>20.804300000000001</v>
      </c>
      <c r="R909" s="85">
        <f>397.05*0.055</f>
        <v>21.83775</v>
      </c>
      <c r="S909" s="85">
        <f>294.26*0.055</f>
        <v>16.1843</v>
      </c>
      <c r="T909" s="85">
        <f>455.58*0.055</f>
        <v>25.056899999999999</v>
      </c>
      <c r="U909" s="85">
        <f>261.89*0.055</f>
        <v>14.40395</v>
      </c>
      <c r="V909" s="85">
        <v>0</v>
      </c>
      <c r="W909" s="85">
        <v>0</v>
      </c>
      <c r="X909" s="85">
        <f>295.35*0.055</f>
        <v>16.244250000000001</v>
      </c>
      <c r="Y909" s="85">
        <f>273.04*0.055</f>
        <v>15.017200000000001</v>
      </c>
      <c r="Z909" s="85">
        <f>139.06*0.055</f>
        <v>7.6482999999999999</v>
      </c>
      <c r="AA909" s="85">
        <f>246.57*0.055</f>
        <v>13.561349999999999</v>
      </c>
      <c r="AB909" s="85">
        <f>183.7*0.055</f>
        <v>10.103499999999999</v>
      </c>
      <c r="AC909" s="85">
        <f>203.25*0.055</f>
        <v>11.178750000000001</v>
      </c>
      <c r="AD909" s="85"/>
    </row>
    <row r="910" spans="1:30">
      <c r="A910" s="82" t="s">
        <v>568</v>
      </c>
      <c r="B910" s="87" t="s">
        <v>643</v>
      </c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>
        <v>0</v>
      </c>
      <c r="O910" s="85">
        <v>0</v>
      </c>
      <c r="P910" s="85">
        <v>0</v>
      </c>
      <c r="Q910" s="85">
        <v>0</v>
      </c>
      <c r="R910" s="85">
        <v>0</v>
      </c>
      <c r="S910" s="85">
        <v>0</v>
      </c>
      <c r="T910" s="85">
        <v>0</v>
      </c>
      <c r="U910" s="85">
        <v>0</v>
      </c>
      <c r="V910" s="85">
        <v>0</v>
      </c>
      <c r="W910" s="85">
        <v>0</v>
      </c>
      <c r="X910" s="85">
        <v>0</v>
      </c>
      <c r="Y910" s="85">
        <v>0</v>
      </c>
      <c r="Z910" s="85">
        <v>0</v>
      </c>
      <c r="AA910" s="85">
        <v>0</v>
      </c>
      <c r="AB910" s="85">
        <v>0</v>
      </c>
      <c r="AC910" s="85">
        <v>0</v>
      </c>
      <c r="AD910" s="85"/>
    </row>
    <row r="911" spans="1:30">
      <c r="A911" s="82" t="s">
        <v>569</v>
      </c>
      <c r="B911" s="83" t="s">
        <v>597</v>
      </c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>
        <v>0</v>
      </c>
      <c r="O911" s="85">
        <v>0</v>
      </c>
      <c r="P911" s="85">
        <v>0</v>
      </c>
      <c r="Q911" s="85">
        <v>0</v>
      </c>
      <c r="R911" s="85">
        <v>0</v>
      </c>
      <c r="S911" s="85">
        <v>0</v>
      </c>
      <c r="T911" s="85">
        <v>0</v>
      </c>
      <c r="U911" s="85">
        <v>0</v>
      </c>
      <c r="V911" s="85">
        <v>0</v>
      </c>
      <c r="W911" s="85">
        <v>0</v>
      </c>
      <c r="X911" s="85">
        <v>0</v>
      </c>
      <c r="Y911" s="85">
        <v>0</v>
      </c>
      <c r="Z911" s="85">
        <v>0</v>
      </c>
      <c r="AA911" s="85">
        <v>0</v>
      </c>
      <c r="AB911" s="85">
        <v>0</v>
      </c>
      <c r="AC911" s="85">
        <v>0</v>
      </c>
      <c r="AD911" s="85"/>
    </row>
    <row r="912" spans="1:30">
      <c r="A912" s="82" t="s">
        <v>569</v>
      </c>
      <c r="B912" s="83" t="s">
        <v>600</v>
      </c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>
        <v>0</v>
      </c>
      <c r="O912" s="85">
        <v>0</v>
      </c>
      <c r="P912" s="85">
        <v>0</v>
      </c>
      <c r="Q912" s="85">
        <v>0</v>
      </c>
      <c r="R912" s="85">
        <v>0</v>
      </c>
      <c r="S912" s="85">
        <v>0</v>
      </c>
      <c r="T912" s="85">
        <v>0</v>
      </c>
      <c r="U912" s="85">
        <v>0</v>
      </c>
      <c r="V912" s="85">
        <v>0</v>
      </c>
      <c r="W912" s="85">
        <v>0</v>
      </c>
      <c r="X912" s="85">
        <v>0</v>
      </c>
      <c r="Y912" s="85">
        <v>0</v>
      </c>
      <c r="Z912" s="85">
        <v>0</v>
      </c>
      <c r="AA912" s="85">
        <f>0.0034*0.022</f>
        <v>7.4799999999999989E-5</v>
      </c>
      <c r="AB912" s="85">
        <v>0</v>
      </c>
      <c r="AC912" s="85">
        <v>0</v>
      </c>
      <c r="AD912" s="85"/>
    </row>
    <row r="913" spans="1:30">
      <c r="A913" s="82" t="s">
        <v>569</v>
      </c>
      <c r="B913" s="83" t="s">
        <v>595</v>
      </c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>
        <v>0</v>
      </c>
      <c r="O913" s="85">
        <v>0</v>
      </c>
      <c r="P913" s="85">
        <v>0</v>
      </c>
      <c r="Q913" s="85">
        <v>0</v>
      </c>
      <c r="R913" s="85">
        <v>0</v>
      </c>
      <c r="S913" s="85">
        <v>0</v>
      </c>
      <c r="T913" s="85">
        <v>0</v>
      </c>
      <c r="U913" s="85">
        <v>0</v>
      </c>
      <c r="V913" s="85">
        <v>0</v>
      </c>
      <c r="W913" s="85">
        <v>0</v>
      </c>
      <c r="X913" s="85">
        <v>0</v>
      </c>
      <c r="Y913" s="85">
        <v>0</v>
      </c>
      <c r="Z913" s="85">
        <v>0</v>
      </c>
      <c r="AA913" s="85">
        <v>0</v>
      </c>
      <c r="AB913" s="85">
        <v>0</v>
      </c>
      <c r="AC913" s="85">
        <v>0</v>
      </c>
      <c r="AD913" s="85"/>
    </row>
    <row r="914" spans="1:30">
      <c r="A914" s="82" t="s">
        <v>569</v>
      </c>
      <c r="B914" s="83" t="s">
        <v>596</v>
      </c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>
        <f>0.08*0.065</f>
        <v>5.2000000000000006E-3</v>
      </c>
      <c r="O914" s="85">
        <f>0.06*0.065</f>
        <v>3.8999999999999998E-3</v>
      </c>
      <c r="P914" s="85">
        <f>0.08*0.065</f>
        <v>5.2000000000000006E-3</v>
      </c>
      <c r="Q914" s="85">
        <f>0.09*0.065</f>
        <v>5.8500000000000002E-3</v>
      </c>
      <c r="R914" s="85">
        <f>0.33*0.065</f>
        <v>2.145E-2</v>
      </c>
      <c r="S914" s="85">
        <f>0.05*0.065</f>
        <v>3.2500000000000003E-3</v>
      </c>
      <c r="T914" s="85">
        <v>0</v>
      </c>
      <c r="U914" s="85">
        <v>0</v>
      </c>
      <c r="V914" s="85">
        <v>0</v>
      </c>
      <c r="W914" s="85">
        <v>0</v>
      </c>
      <c r="X914" s="85">
        <v>0</v>
      </c>
      <c r="Y914" s="85">
        <v>0</v>
      </c>
      <c r="Z914" s="85">
        <v>0</v>
      </c>
      <c r="AA914" s="85">
        <f>0.002*0.065</f>
        <v>1.3000000000000002E-4</v>
      </c>
      <c r="AB914" s="85">
        <v>0</v>
      </c>
      <c r="AC914" s="85">
        <v>0</v>
      </c>
      <c r="AD914" s="85"/>
    </row>
    <row r="915" spans="1:30">
      <c r="A915" s="82" t="s">
        <v>569</v>
      </c>
      <c r="B915" s="83" t="s">
        <v>594</v>
      </c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>
        <f>2.58*0.055</f>
        <v>0.1419</v>
      </c>
      <c r="O915" s="85">
        <f>4.59*0.055</f>
        <v>0.25245000000000001</v>
      </c>
      <c r="P915" s="85">
        <f>4.66*0.055</f>
        <v>0.25630000000000003</v>
      </c>
      <c r="Q915" s="85">
        <f>1.46*0.055</f>
        <v>8.0299999999999996E-2</v>
      </c>
      <c r="R915" s="85">
        <f>8*0.055</f>
        <v>0.44</v>
      </c>
      <c r="S915" s="85">
        <f>1.35*0.055</f>
        <v>7.425000000000001E-2</v>
      </c>
      <c r="T915" s="85">
        <f>1.09*0.055</f>
        <v>5.9950000000000003E-2</v>
      </c>
      <c r="U915" s="85">
        <f>1.09*0.055</f>
        <v>5.9950000000000003E-2</v>
      </c>
      <c r="V915" s="85">
        <f>0.65*0.055</f>
        <v>3.5750000000000004E-2</v>
      </c>
      <c r="W915" s="85">
        <f>0.35*0.055</f>
        <v>1.925E-2</v>
      </c>
      <c r="X915" s="85">
        <v>0</v>
      </c>
      <c r="Y915" s="85">
        <f>0.222*0.055</f>
        <v>1.221E-2</v>
      </c>
      <c r="Z915" s="85">
        <f>0.2856*0.055</f>
        <v>1.5708E-2</v>
      </c>
      <c r="AA915" s="85">
        <f>0.212*0.055</f>
        <v>1.166E-2</v>
      </c>
      <c r="AB915" s="85">
        <v>0</v>
      </c>
      <c r="AC915" s="85">
        <f>0.1496*0.055</f>
        <v>8.2280000000000009E-3</v>
      </c>
      <c r="AD915" s="85"/>
    </row>
    <row r="916" spans="1:30">
      <c r="A916" s="82" t="s">
        <v>569</v>
      </c>
      <c r="B916" s="87" t="s">
        <v>643</v>
      </c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>
        <v>0</v>
      </c>
      <c r="O916" s="85">
        <v>0</v>
      </c>
      <c r="P916" s="85">
        <v>0</v>
      </c>
      <c r="Q916" s="85">
        <v>0</v>
      </c>
      <c r="R916" s="85">
        <v>0</v>
      </c>
      <c r="S916" s="85">
        <v>0</v>
      </c>
      <c r="T916" s="85">
        <v>0</v>
      </c>
      <c r="U916" s="85">
        <v>0</v>
      </c>
      <c r="V916" s="85">
        <v>0</v>
      </c>
      <c r="W916" s="85">
        <v>0</v>
      </c>
      <c r="X916" s="85">
        <v>0</v>
      </c>
      <c r="Y916" s="85">
        <v>0</v>
      </c>
      <c r="Z916" s="85">
        <v>0</v>
      </c>
      <c r="AA916" s="85">
        <v>0</v>
      </c>
      <c r="AB916" s="85">
        <v>0</v>
      </c>
      <c r="AC916" s="85">
        <v>0</v>
      </c>
      <c r="AD916" s="85"/>
    </row>
    <row r="917" spans="1:30">
      <c r="A917" s="82" t="s">
        <v>645</v>
      </c>
      <c r="B917" s="83" t="s">
        <v>597</v>
      </c>
      <c r="C917" s="85">
        <v>0</v>
      </c>
      <c r="D917" s="85">
        <f>1.9*0.02</f>
        <v>3.7999999999999999E-2</v>
      </c>
      <c r="E917" s="85">
        <f>1.3*0.02</f>
        <v>2.6000000000000002E-2</v>
      </c>
      <c r="F917" s="85">
        <f>1.2*0.02</f>
        <v>2.4E-2</v>
      </c>
      <c r="G917" s="85">
        <f>0.5*0.02</f>
        <v>0.01</v>
      </c>
      <c r="H917" s="85">
        <v>0</v>
      </c>
      <c r="I917" s="85">
        <f>24.33*0.02</f>
        <v>0.48659999999999998</v>
      </c>
      <c r="J917" s="85">
        <f>54.56*0.02</f>
        <v>1.0912000000000002</v>
      </c>
      <c r="K917" s="85">
        <v>0</v>
      </c>
      <c r="L917" s="85">
        <f>66.08*0.02</f>
        <v>1.3215999999999999</v>
      </c>
      <c r="M917" s="85">
        <f>42.2*0.02</f>
        <v>0.84400000000000008</v>
      </c>
      <c r="N917" s="85">
        <f>3.45*0.02</f>
        <v>6.9000000000000006E-2</v>
      </c>
      <c r="O917" s="85">
        <f>4*0.02</f>
        <v>0.08</v>
      </c>
      <c r="P917" s="85">
        <f>10.09*0.02</f>
        <v>0.20180000000000001</v>
      </c>
      <c r="Q917" s="85">
        <f>5*0.02</f>
        <v>0.1</v>
      </c>
      <c r="R917" s="85">
        <f>1.63*0.02</f>
        <v>3.2599999999999997E-2</v>
      </c>
      <c r="S917" s="85">
        <f>12.03*0.02</f>
        <v>0.24059999999999998</v>
      </c>
      <c r="T917" s="85">
        <f>10.49*0.02</f>
        <v>0.20980000000000001</v>
      </c>
      <c r="U917" s="85">
        <v>0</v>
      </c>
      <c r="V917" s="85">
        <f>4*0.02</f>
        <v>0.08</v>
      </c>
      <c r="W917" s="85">
        <v>0</v>
      </c>
      <c r="X917" s="85">
        <v>0</v>
      </c>
      <c r="Y917" s="85">
        <v>0</v>
      </c>
      <c r="Z917" s="85">
        <v>0</v>
      </c>
      <c r="AA917" s="85">
        <v>0</v>
      </c>
      <c r="AB917" s="85">
        <v>0</v>
      </c>
      <c r="AC917" s="85">
        <v>0</v>
      </c>
      <c r="AD917" s="85"/>
    </row>
    <row r="918" spans="1:30">
      <c r="A918" s="82" t="s">
        <v>645</v>
      </c>
      <c r="B918" s="83" t="s">
        <v>600</v>
      </c>
      <c r="C918" s="85">
        <v>0</v>
      </c>
      <c r="D918" s="85">
        <v>0</v>
      </c>
      <c r="E918" s="85">
        <v>0</v>
      </c>
      <c r="F918" s="85">
        <v>0</v>
      </c>
      <c r="G918" s="85">
        <v>0</v>
      </c>
      <c r="H918" s="85">
        <f>9.56*0.022</f>
        <v>0.21032000000000001</v>
      </c>
      <c r="I918" s="85">
        <f>38.61*0.022</f>
        <v>0.84941999999999995</v>
      </c>
      <c r="J918" s="85">
        <f>64.63*0.022</f>
        <v>1.4218599999999999</v>
      </c>
      <c r="K918" s="85">
        <f>68.18*0.022</f>
        <v>1.49996</v>
      </c>
      <c r="L918" s="85">
        <f>111.89*0.022</f>
        <v>2.4615799999999997</v>
      </c>
      <c r="M918" s="85">
        <f>331.96*0.022</f>
        <v>7.3031199999999989</v>
      </c>
      <c r="N918" s="85">
        <f>96.16*0.022</f>
        <v>2.1155199999999996</v>
      </c>
      <c r="O918" s="85">
        <f>34.98*0.022</f>
        <v>0.76955999999999991</v>
      </c>
      <c r="P918" s="85">
        <f>14.51*0.022</f>
        <v>0.31922</v>
      </c>
      <c r="Q918" s="85">
        <v>0</v>
      </c>
      <c r="R918" s="85">
        <v>0</v>
      </c>
      <c r="S918" s="85">
        <v>0</v>
      </c>
      <c r="T918" s="85">
        <f>6.01*0.022</f>
        <v>0.13221999999999998</v>
      </c>
      <c r="U918" s="85">
        <v>0</v>
      </c>
      <c r="V918" s="85">
        <f>9.6*0.022</f>
        <v>0.21119999999999997</v>
      </c>
      <c r="W918" s="85">
        <v>0</v>
      </c>
      <c r="X918" s="85">
        <v>0</v>
      </c>
      <c r="Y918" s="85">
        <v>0</v>
      </c>
      <c r="Z918" s="85">
        <v>0</v>
      </c>
      <c r="AA918" s="85">
        <v>0</v>
      </c>
      <c r="AB918" s="85">
        <v>0</v>
      </c>
      <c r="AC918" s="85">
        <v>0</v>
      </c>
      <c r="AD918" s="85"/>
    </row>
    <row r="919" spans="1:30">
      <c r="A919" s="82" t="s">
        <v>645</v>
      </c>
      <c r="B919" s="83" t="s">
        <v>595</v>
      </c>
      <c r="C919" s="85">
        <f>2.1*0.11</f>
        <v>0.23100000000000001</v>
      </c>
      <c r="D919" s="85">
        <f>1.3*0.11</f>
        <v>0.14300000000000002</v>
      </c>
      <c r="E919" s="85">
        <f>14.9*0.11</f>
        <v>1.639</v>
      </c>
      <c r="F919" s="85">
        <f>601*0.11</f>
        <v>66.11</v>
      </c>
      <c r="G919" s="85">
        <f>60.8*0.11</f>
        <v>6.6879999999999997</v>
      </c>
      <c r="H919" s="85">
        <f>88.22*0.11</f>
        <v>9.7042000000000002</v>
      </c>
      <c r="I919" s="85">
        <f>459.02*0.11</f>
        <v>50.492199999999997</v>
      </c>
      <c r="J919" s="85">
        <f>133.93*0.11</f>
        <v>14.7323</v>
      </c>
      <c r="K919" s="85">
        <f>125.52*0.11</f>
        <v>13.8072</v>
      </c>
      <c r="L919" s="85">
        <f>285.61*0.11</f>
        <v>31.417100000000001</v>
      </c>
      <c r="M919" s="85">
        <f>569.28*0.11</f>
        <v>62.620799999999996</v>
      </c>
      <c r="N919" s="85">
        <f>225.6*0.11</f>
        <v>24.815999999999999</v>
      </c>
      <c r="O919" s="85">
        <f>417.46*0.11</f>
        <v>45.9206</v>
      </c>
      <c r="P919" s="85">
        <f>185.99*0.11</f>
        <v>20.4589</v>
      </c>
      <c r="Q919" s="85">
        <f>342.81*0.11</f>
        <v>37.709099999999999</v>
      </c>
      <c r="R919" s="85">
        <f>376.56*0.11</f>
        <v>41.421599999999998</v>
      </c>
      <c r="S919" s="85">
        <f>176.8*0.11</f>
        <v>19.448</v>
      </c>
      <c r="T919" s="85">
        <f>469.12*0.11</f>
        <v>51.603200000000001</v>
      </c>
      <c r="U919" s="85">
        <f>93.06*0.11</f>
        <v>10.236600000000001</v>
      </c>
      <c r="V919" s="85">
        <f>94*0.11</f>
        <v>10.34</v>
      </c>
      <c r="W919" s="85">
        <v>0</v>
      </c>
      <c r="X919" s="85">
        <f>100*0.11</f>
        <v>11</v>
      </c>
      <c r="Y919" s="85">
        <f>18.8*0.11</f>
        <v>2.0680000000000001</v>
      </c>
      <c r="Z919" s="85">
        <v>0</v>
      </c>
      <c r="AA919" s="85">
        <v>0</v>
      </c>
      <c r="AB919" s="85">
        <f>12*0.11</f>
        <v>1.32</v>
      </c>
      <c r="AC919" s="85">
        <f>25*0.11</f>
        <v>2.75</v>
      </c>
      <c r="AD919" s="85"/>
    </row>
    <row r="920" spans="1:30">
      <c r="A920" s="82" t="s">
        <v>645</v>
      </c>
      <c r="B920" s="83" t="s">
        <v>700</v>
      </c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>
        <f>4.57*0.11</f>
        <v>0.50270000000000004</v>
      </c>
      <c r="S920" s="85">
        <f>4.5*0.11</f>
        <v>0.495</v>
      </c>
      <c r="T920" s="85">
        <f>17.47*0.11</f>
        <v>1.9217</v>
      </c>
      <c r="U920" s="85">
        <v>0</v>
      </c>
      <c r="V920" s="85">
        <f>56.37*0.11</f>
        <v>6.2006999999999994</v>
      </c>
      <c r="W920" s="85">
        <f>58.187*0.11</f>
        <v>6.4005700000000001</v>
      </c>
      <c r="X920" s="85">
        <f>5.112*0.11</f>
        <v>0.56232000000000004</v>
      </c>
      <c r="Y920" s="85">
        <f>49.43*0.11</f>
        <v>5.4372999999999996</v>
      </c>
      <c r="Z920" s="85">
        <v>0</v>
      </c>
      <c r="AA920" s="85">
        <v>0</v>
      </c>
      <c r="AB920" s="85">
        <f>2.3*0.11</f>
        <v>0.253</v>
      </c>
      <c r="AC920" s="85">
        <v>0</v>
      </c>
      <c r="AD920" s="85"/>
    </row>
    <row r="921" spans="1:30">
      <c r="A921" s="82" t="s">
        <v>645</v>
      </c>
      <c r="B921" s="83" t="s">
        <v>596</v>
      </c>
      <c r="C921" s="85">
        <v>0</v>
      </c>
      <c r="D921" s="85">
        <v>0</v>
      </c>
      <c r="E921" s="85">
        <v>0</v>
      </c>
      <c r="F921" s="85">
        <v>0</v>
      </c>
      <c r="G921" s="85">
        <v>0</v>
      </c>
      <c r="H921" s="85">
        <v>0</v>
      </c>
      <c r="I921" s="85">
        <f>1.5*0.065</f>
        <v>9.7500000000000003E-2</v>
      </c>
      <c r="J921" s="85">
        <f>30.27*0.065</f>
        <v>1.9675500000000001</v>
      </c>
      <c r="K921" s="85">
        <v>0</v>
      </c>
      <c r="L921" s="85">
        <f>3.06*0.065</f>
        <v>0.19890000000000002</v>
      </c>
      <c r="M921" s="85">
        <f>216.66*0.065</f>
        <v>14.0829</v>
      </c>
      <c r="N921" s="85">
        <f>109.63*0.065</f>
        <v>7.1259499999999996</v>
      </c>
      <c r="O921" s="85">
        <f>148.54*0.065</f>
        <v>9.6550999999999991</v>
      </c>
      <c r="P921" s="85">
        <f>138.97*0.065</f>
        <v>9.0330499999999994</v>
      </c>
      <c r="Q921" s="85">
        <f>115.21*0.065</f>
        <v>7.4886499999999998</v>
      </c>
      <c r="R921" s="85">
        <f>59.68*0.065</f>
        <v>3.8792</v>
      </c>
      <c r="S921" s="85">
        <v>0</v>
      </c>
      <c r="T921" s="85">
        <f>10*0.065</f>
        <v>0.65</v>
      </c>
      <c r="U921" s="85">
        <v>0</v>
      </c>
      <c r="V921" s="85">
        <f>20*0.065</f>
        <v>1.3</v>
      </c>
      <c r="W921" s="85">
        <v>0</v>
      </c>
      <c r="X921" s="85">
        <f>20*0.065</f>
        <v>1.3</v>
      </c>
      <c r="Y921" s="85">
        <v>0</v>
      </c>
      <c r="Z921" s="85">
        <v>0</v>
      </c>
      <c r="AA921" s="85">
        <v>0</v>
      </c>
      <c r="AB921" s="85">
        <v>0</v>
      </c>
      <c r="AC921" s="85">
        <v>0</v>
      </c>
      <c r="AD921" s="85"/>
    </row>
    <row r="922" spans="1:30">
      <c r="A922" s="82" t="s">
        <v>645</v>
      </c>
      <c r="B922" s="83" t="s">
        <v>594</v>
      </c>
      <c r="C922" s="85">
        <f>(982.3-209.7+1207.3)*0.055</f>
        <v>108.89449999999999</v>
      </c>
      <c r="D922" s="85">
        <f>(319.1-514.4+1561.1)*0.055</f>
        <v>75.119</v>
      </c>
      <c r="E922" s="85">
        <f>(562.5-202.5+1617.7)*0.055</f>
        <v>108.7735</v>
      </c>
      <c r="F922" s="85">
        <f>(1480-209+1206)*0.055</f>
        <v>136.23500000000001</v>
      </c>
      <c r="G922" s="85">
        <f>(758.1-72.11+455.71)*0.055</f>
        <v>62.793500000000002</v>
      </c>
      <c r="H922" s="85">
        <f>(1155.21-127.32+569)*0.055</f>
        <v>87.828950000000006</v>
      </c>
      <c r="I922" s="85">
        <f>(2781.79-91.46+773.37)*0.055</f>
        <v>190.5035</v>
      </c>
      <c r="J922" s="85">
        <f>(1013.14-64.97+492.67)*0.055</f>
        <v>79.246200000000002</v>
      </c>
      <c r="K922" s="85">
        <f>(740.42-39.95+443.44)*0.055</f>
        <v>62.915049999999994</v>
      </c>
      <c r="L922" s="85">
        <f>(993.81+2551.71-9-10.8-9-50.46-20.4)*0.055</f>
        <v>189.52229999999997</v>
      </c>
      <c r="M922" s="85">
        <f>(3455.48-48.9+636.2)*0.055</f>
        <v>222.35289999999998</v>
      </c>
      <c r="N922" s="85">
        <f>(1416.82-7.2+1002.89)*0.055</f>
        <v>132.68804999999998</v>
      </c>
      <c r="O922" s="85">
        <f>(2473.98+1162.67)*0.055</f>
        <v>200.01575</v>
      </c>
      <c r="P922" s="85">
        <f>(763.54+1391.05)*0.055</f>
        <v>118.50245000000001</v>
      </c>
      <c r="Q922" s="85">
        <f>(800.84+2306.93)*0.055</f>
        <v>170.92734999999999</v>
      </c>
      <c r="R922" s="85">
        <f>(602.73+2166.92)*0.055</f>
        <v>152.33074999999999</v>
      </c>
      <c r="S922" s="85">
        <f>(200.76+2442.55)*0.055</f>
        <v>145.38205000000002</v>
      </c>
      <c r="T922" s="85">
        <f>(604.87+2914.09)*0.055</f>
        <v>193.5428</v>
      </c>
      <c r="U922" s="85">
        <f>(60.274+2203.949)*0.055</f>
        <v>124.532265</v>
      </c>
      <c r="V922" s="85">
        <f>(119.73+1565.63)*0.055</f>
        <v>92.694800000000001</v>
      </c>
      <c r="W922" s="85">
        <f>(154.74+676.498)*0.055</f>
        <v>45.718090000000004</v>
      </c>
      <c r="X922" s="85">
        <f>259.864*0.055</f>
        <v>14.292519999999998</v>
      </c>
      <c r="Y922" s="85">
        <f>257.22*0.055</f>
        <v>14.147100000000002</v>
      </c>
      <c r="Z922" s="85">
        <f>34.092*0.055</f>
        <v>1.8750599999999999</v>
      </c>
      <c r="AA922" s="85">
        <f>0.8*0.055</f>
        <v>4.4000000000000004E-2</v>
      </c>
      <c r="AB922" s="85">
        <f>149.6*0.055</f>
        <v>8.2279999999999998</v>
      </c>
      <c r="AC922" s="85">
        <f>176.8*0.055</f>
        <v>9.7240000000000002</v>
      </c>
      <c r="AD922" s="85"/>
    </row>
    <row r="923" spans="1:30">
      <c r="A923" s="82" t="s">
        <v>645</v>
      </c>
      <c r="B923" s="87" t="s">
        <v>643</v>
      </c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>
        <v>0</v>
      </c>
      <c r="O923" s="85">
        <v>0</v>
      </c>
      <c r="P923" s="85">
        <v>0</v>
      </c>
      <c r="Q923" s="85">
        <v>0</v>
      </c>
      <c r="R923" s="85">
        <v>0</v>
      </c>
      <c r="S923" s="85">
        <v>0</v>
      </c>
      <c r="T923" s="85">
        <v>0</v>
      </c>
      <c r="U923" s="85">
        <v>0</v>
      </c>
      <c r="V923" s="85">
        <v>0</v>
      </c>
      <c r="W923" s="85">
        <v>0</v>
      </c>
      <c r="X923" s="85">
        <v>0</v>
      </c>
      <c r="Y923" s="85">
        <v>0</v>
      </c>
      <c r="Z923" s="85">
        <v>0</v>
      </c>
      <c r="AA923" s="85">
        <v>0</v>
      </c>
      <c r="AB923" s="85">
        <v>0</v>
      </c>
      <c r="AC923" s="85">
        <v>0</v>
      </c>
      <c r="AD923" s="85"/>
    </row>
    <row r="924" spans="1:30">
      <c r="A924" s="82" t="s">
        <v>504</v>
      </c>
      <c r="B924" s="83" t="s">
        <v>597</v>
      </c>
      <c r="C924" s="85">
        <f>34*0.02</f>
        <v>0.68</v>
      </c>
      <c r="D924" s="85">
        <f>30*0.02</f>
        <v>0.6</v>
      </c>
      <c r="E924" s="85">
        <f>40*0.02</f>
        <v>0.8</v>
      </c>
      <c r="F924" s="85">
        <f>40*0.02</f>
        <v>0.8</v>
      </c>
      <c r="G924" s="85">
        <v>0</v>
      </c>
      <c r="H924" s="85">
        <v>0</v>
      </c>
      <c r="I924" s="85">
        <f>70*0.02</f>
        <v>1.4000000000000001</v>
      </c>
      <c r="J924" s="85">
        <f>60*0.02</f>
        <v>1.2</v>
      </c>
      <c r="K924" s="85">
        <v>0</v>
      </c>
      <c r="L924" s="85">
        <f>16*0.02</f>
        <v>0.32</v>
      </c>
      <c r="M924" s="85">
        <f>22*0.02</f>
        <v>0.44</v>
      </c>
      <c r="N924" s="85">
        <v>1.21634</v>
      </c>
      <c r="O924" s="85">
        <f>39.804*0.02</f>
        <v>0.79608000000000001</v>
      </c>
      <c r="P924" s="85">
        <f>9*0.02</f>
        <v>0.18</v>
      </c>
      <c r="Q924" s="85">
        <f>1*0.02</f>
        <v>0.02</v>
      </c>
      <c r="R924" s="85">
        <v>0</v>
      </c>
      <c r="S924" s="85">
        <f>8.7*0.02</f>
        <v>0.17399999999999999</v>
      </c>
      <c r="T924" s="85">
        <f>2.7*0.02</f>
        <v>5.4000000000000006E-2</v>
      </c>
      <c r="U924" s="85">
        <f>53.844*0.02</f>
        <v>1.0768800000000001</v>
      </c>
      <c r="V924" s="85">
        <f>19.2856*0.02</f>
        <v>0.385712</v>
      </c>
      <c r="W924" s="85">
        <f>93.126*0.02</f>
        <v>1.8625200000000002</v>
      </c>
      <c r="X924" s="85">
        <f>44.622*0.02</f>
        <v>0.89244000000000001</v>
      </c>
      <c r="Y924" s="85">
        <f>16.522*0.02</f>
        <v>0.33043999999999996</v>
      </c>
      <c r="Z924" s="85">
        <f>16.344*0.02</f>
        <v>0.32688</v>
      </c>
      <c r="AA924" s="85">
        <f>16.344*0.02</f>
        <v>0.32688</v>
      </c>
      <c r="AB924" s="85">
        <v>0</v>
      </c>
      <c r="AC924" s="85">
        <f>8.172*0.02</f>
        <v>0.16344</v>
      </c>
      <c r="AD924" s="85"/>
    </row>
    <row r="925" spans="1:30">
      <c r="A925" s="82" t="s">
        <v>504</v>
      </c>
      <c r="B925" s="83" t="s">
        <v>600</v>
      </c>
      <c r="C925" s="85">
        <v>0</v>
      </c>
      <c r="D925" s="85">
        <v>0</v>
      </c>
      <c r="E925" s="85">
        <v>0</v>
      </c>
      <c r="F925" s="85">
        <v>0</v>
      </c>
      <c r="G925" s="85">
        <v>0</v>
      </c>
      <c r="H925" s="85">
        <v>0</v>
      </c>
      <c r="I925" s="85">
        <v>0</v>
      </c>
      <c r="J925" s="85">
        <v>0</v>
      </c>
      <c r="K925" s="85">
        <v>0</v>
      </c>
      <c r="L925" s="85">
        <v>0</v>
      </c>
      <c r="M925" s="85">
        <f>103*0.022</f>
        <v>2.266</v>
      </c>
      <c r="N925" s="85">
        <v>0</v>
      </c>
      <c r="O925" s="85">
        <v>0</v>
      </c>
      <c r="P925" s="85">
        <v>0</v>
      </c>
      <c r="Q925" s="85">
        <v>0</v>
      </c>
      <c r="R925" s="85">
        <v>0</v>
      </c>
      <c r="S925" s="85">
        <v>0</v>
      </c>
      <c r="T925" s="85">
        <v>0</v>
      </c>
      <c r="U925" s="85">
        <v>0</v>
      </c>
      <c r="V925" s="85">
        <v>0</v>
      </c>
      <c r="W925" s="85">
        <v>0</v>
      </c>
      <c r="X925" s="85">
        <v>0</v>
      </c>
      <c r="Y925" s="85">
        <v>0</v>
      </c>
      <c r="Z925" s="85">
        <v>0</v>
      </c>
      <c r="AA925" s="85">
        <v>0</v>
      </c>
      <c r="AB925" s="85">
        <v>0</v>
      </c>
      <c r="AC925" s="85">
        <v>0</v>
      </c>
      <c r="AD925" s="85"/>
    </row>
    <row r="926" spans="1:30">
      <c r="A926" s="82" t="s">
        <v>504</v>
      </c>
      <c r="B926" s="83" t="s">
        <v>595</v>
      </c>
      <c r="C926" s="85">
        <f>27*0.11</f>
        <v>2.97</v>
      </c>
      <c r="D926" s="85">
        <f>30*0.11</f>
        <v>3.3</v>
      </c>
      <c r="E926" s="85">
        <f>30*0.11</f>
        <v>3.3</v>
      </c>
      <c r="F926" s="85">
        <f>35*0.11</f>
        <v>3.85</v>
      </c>
      <c r="G926" s="85">
        <f>25*0.11</f>
        <v>2.75</v>
      </c>
      <c r="H926" s="85">
        <f>25*0.11</f>
        <v>2.75</v>
      </c>
      <c r="I926" s="85">
        <f>80*0.11</f>
        <v>8.8000000000000007</v>
      </c>
      <c r="J926" s="85">
        <f>85*0.11</f>
        <v>9.35</v>
      </c>
      <c r="K926" s="85">
        <v>0</v>
      </c>
      <c r="L926" s="85">
        <f>296*0.11</f>
        <v>32.56</v>
      </c>
      <c r="M926" s="85">
        <f>325*0.11</f>
        <v>35.75</v>
      </c>
      <c r="N926" s="85">
        <v>37.950000000000003</v>
      </c>
      <c r="O926" s="85">
        <f>358*0.11</f>
        <v>39.380000000000003</v>
      </c>
      <c r="P926" s="85">
        <f>367*0.11</f>
        <v>40.369999999999997</v>
      </c>
      <c r="Q926" s="85">
        <f>478*0.11</f>
        <v>52.58</v>
      </c>
      <c r="R926" s="85">
        <v>0</v>
      </c>
      <c r="S926" s="85">
        <f>468*0.11</f>
        <v>51.48</v>
      </c>
      <c r="T926" s="85">
        <f>342*0.11</f>
        <v>37.619999999999997</v>
      </c>
      <c r="U926" s="85">
        <f>206.5*0.11</f>
        <v>22.715</v>
      </c>
      <c r="V926" s="85">
        <f>145*0.11</f>
        <v>15.95</v>
      </c>
      <c r="W926" s="85">
        <v>0</v>
      </c>
      <c r="X926" s="85">
        <v>0</v>
      </c>
      <c r="Y926" s="85">
        <v>0</v>
      </c>
      <c r="Z926" s="85">
        <v>0</v>
      </c>
      <c r="AA926" s="85">
        <v>0</v>
      </c>
      <c r="AB926" s="85">
        <v>0</v>
      </c>
      <c r="AC926" s="85">
        <v>0</v>
      </c>
      <c r="AD926" s="85"/>
    </row>
    <row r="927" spans="1:30">
      <c r="A927" s="82" t="s">
        <v>504</v>
      </c>
      <c r="B927" s="83" t="s">
        <v>700</v>
      </c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>
        <f>6200*0.11</f>
        <v>682</v>
      </c>
      <c r="R927" s="85">
        <v>0</v>
      </c>
      <c r="S927" s="85">
        <f>1896*0.11</f>
        <v>208.56</v>
      </c>
      <c r="T927" s="85">
        <f>1972*0.11</f>
        <v>216.92</v>
      </c>
      <c r="U927" s="85">
        <f>1976*0.11</f>
        <v>217.36</v>
      </c>
      <c r="V927" s="85">
        <f>2908*0.11</f>
        <v>319.88</v>
      </c>
      <c r="W927" s="85">
        <f>3297.68*0.11</f>
        <v>362.7448</v>
      </c>
      <c r="X927" s="85">
        <f>3237.551*0.11</f>
        <v>356.13060999999999</v>
      </c>
      <c r="Y927" s="85">
        <f>1878.9982*0.11</f>
        <v>206.68980200000001</v>
      </c>
      <c r="Z927" s="85">
        <f>1145.495*0.11</f>
        <v>126.00444999999999</v>
      </c>
      <c r="AA927" s="85">
        <f>687.29*0.11</f>
        <v>75.601900000000001</v>
      </c>
      <c r="AB927" s="85">
        <f>147.66*0.11</f>
        <v>16.242599999999999</v>
      </c>
      <c r="AC927" s="85">
        <f>87.5*0.11</f>
        <v>9.625</v>
      </c>
      <c r="AD927" s="85"/>
    </row>
    <row r="928" spans="1:30">
      <c r="A928" s="82" t="s">
        <v>504</v>
      </c>
      <c r="B928" s="83" t="s">
        <v>596</v>
      </c>
      <c r="C928" s="85">
        <v>0</v>
      </c>
      <c r="D928" s="85">
        <v>0</v>
      </c>
      <c r="E928" s="85">
        <v>0</v>
      </c>
      <c r="F928" s="85">
        <v>0</v>
      </c>
      <c r="G928" s="85">
        <f>18*0.065</f>
        <v>1.17</v>
      </c>
      <c r="H928" s="85">
        <f>18*0.065</f>
        <v>1.17</v>
      </c>
      <c r="I928" s="85">
        <v>0</v>
      </c>
      <c r="J928" s="85">
        <v>0</v>
      </c>
      <c r="K928" s="85">
        <v>0</v>
      </c>
      <c r="L928" s="85">
        <v>0</v>
      </c>
      <c r="M928" s="85">
        <v>0</v>
      </c>
      <c r="N928" s="85">
        <v>0</v>
      </c>
      <c r="O928" s="85">
        <v>0</v>
      </c>
      <c r="P928" s="85">
        <v>0</v>
      </c>
      <c r="Q928" s="85">
        <v>0</v>
      </c>
      <c r="R928" s="85">
        <v>0</v>
      </c>
      <c r="S928" s="85">
        <v>0</v>
      </c>
      <c r="T928" s="85">
        <v>0</v>
      </c>
      <c r="U928" s="85">
        <v>0</v>
      </c>
      <c r="V928" s="85">
        <v>0</v>
      </c>
      <c r="W928" s="85">
        <v>0</v>
      </c>
      <c r="X928" s="85">
        <v>0</v>
      </c>
      <c r="Y928" s="85">
        <v>0</v>
      </c>
      <c r="Z928" s="85">
        <v>0</v>
      </c>
      <c r="AA928" s="85">
        <v>0</v>
      </c>
      <c r="AB928" s="85">
        <v>0</v>
      </c>
      <c r="AC928" s="85">
        <v>0</v>
      </c>
      <c r="AD928" s="85"/>
    </row>
    <row r="929" spans="1:30">
      <c r="A929" s="82" t="s">
        <v>504</v>
      </c>
      <c r="B929" s="83" t="s">
        <v>594</v>
      </c>
      <c r="C929" s="85">
        <f>510*0.055</f>
        <v>28.05</v>
      </c>
      <c r="D929" s="85">
        <f>650*0.055</f>
        <v>35.75</v>
      </c>
      <c r="E929" s="85">
        <f>700*0.055</f>
        <v>38.5</v>
      </c>
      <c r="F929" s="85">
        <f>740*0.055</f>
        <v>40.700000000000003</v>
      </c>
      <c r="G929" s="85">
        <f>609*0.055</f>
        <v>33.494999999999997</v>
      </c>
      <c r="H929" s="85">
        <f>609*0.055</f>
        <v>33.494999999999997</v>
      </c>
      <c r="I929" s="85">
        <f>900*0.055</f>
        <v>49.5</v>
      </c>
      <c r="J929" s="85">
        <f>1010*0.055</f>
        <v>55.55</v>
      </c>
      <c r="K929" s="85">
        <v>0</v>
      </c>
      <c r="L929" s="85">
        <f>1585*0.055</f>
        <v>87.174999999999997</v>
      </c>
      <c r="M929" s="85">
        <f>(1723.776-14.776)*0.055</f>
        <v>93.995000000000005</v>
      </c>
      <c r="N929" s="85">
        <v>117.23761499999999</v>
      </c>
      <c r="O929" s="85">
        <f>(2346.585-22.7)*0.055</f>
        <v>127.81367500000002</v>
      </c>
      <c r="P929" s="85">
        <f>2420*0.055</f>
        <v>133.1</v>
      </c>
      <c r="Q929" s="85">
        <f>2816*0.055</f>
        <v>154.88</v>
      </c>
      <c r="R929" s="85">
        <v>0</v>
      </c>
      <c r="S929" s="85">
        <f>3120*0.055</f>
        <v>171.6</v>
      </c>
      <c r="T929" s="85">
        <f>2933*0.055</f>
        <v>161.315</v>
      </c>
      <c r="U929" s="85">
        <f>3253.967*0.055</f>
        <v>178.96818500000001</v>
      </c>
      <c r="V929" s="85">
        <f>3516.708*0.055</f>
        <v>193.41893999999999</v>
      </c>
      <c r="W929" s="85">
        <f>3431.003*0.055</f>
        <v>188.70516500000002</v>
      </c>
      <c r="X929" s="85">
        <f>3522.614*0.055</f>
        <v>193.74377000000001</v>
      </c>
      <c r="Y929" s="85">
        <f>3565.106*0.055</f>
        <v>196.08083000000002</v>
      </c>
      <c r="Z929" s="85">
        <f>3516.232*0.055</f>
        <v>193.39276000000001</v>
      </c>
      <c r="AA929" s="85">
        <f>3558.5525*0.055</f>
        <v>195.72038749999999</v>
      </c>
      <c r="AB929" s="85">
        <f>2585.024*0.055</f>
        <v>142.17632</v>
      </c>
      <c r="AC929" s="85">
        <f>2574.948*0.055</f>
        <v>141.62214</v>
      </c>
      <c r="AD929" s="85"/>
    </row>
    <row r="930" spans="1:30">
      <c r="A930" s="82" t="s">
        <v>504</v>
      </c>
      <c r="B930" s="87" t="s">
        <v>643</v>
      </c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>
        <v>0</v>
      </c>
      <c r="O930" s="85">
        <v>0</v>
      </c>
      <c r="P930" s="85">
        <v>0</v>
      </c>
      <c r="Q930" s="85">
        <v>0</v>
      </c>
      <c r="R930" s="85">
        <v>0</v>
      </c>
      <c r="S930" s="85">
        <f>0.2*0.07</f>
        <v>1.4000000000000002E-2</v>
      </c>
      <c r="T930" s="85">
        <f>13.42*0.07</f>
        <v>0.93940000000000012</v>
      </c>
      <c r="U930" s="85">
        <f>1.29*0.07</f>
        <v>9.0300000000000005E-2</v>
      </c>
      <c r="V930" s="85">
        <f>15.275*0.07</f>
        <v>1.06925</v>
      </c>
      <c r="W930" s="85">
        <f>30.45*0.07</f>
        <v>2.1315</v>
      </c>
      <c r="X930" s="85">
        <f>16*0.07</f>
        <v>1.1200000000000001</v>
      </c>
      <c r="Y930" s="85">
        <f>13.9*0.07</f>
        <v>0.97300000000000009</v>
      </c>
      <c r="Z930" s="85">
        <f>26.865*0.07</f>
        <v>1.8805500000000002</v>
      </c>
      <c r="AA930" s="85">
        <f>21.46*0.07</f>
        <v>1.5022000000000002</v>
      </c>
      <c r="AB930" s="85">
        <v>0</v>
      </c>
      <c r="AC930" s="85">
        <v>0</v>
      </c>
      <c r="AD930" s="85"/>
    </row>
    <row r="931" spans="1:30">
      <c r="A931" s="82" t="s">
        <v>571</v>
      </c>
      <c r="B931" s="83" t="s">
        <v>597</v>
      </c>
      <c r="C931" s="85">
        <v>0</v>
      </c>
      <c r="D931" s="85">
        <v>0</v>
      </c>
      <c r="E931" s="85">
        <v>0</v>
      </c>
      <c r="F931" s="85">
        <v>0</v>
      </c>
      <c r="G931" s="85">
        <v>0</v>
      </c>
      <c r="H931" s="85">
        <v>0</v>
      </c>
      <c r="I931" s="85">
        <v>0</v>
      </c>
      <c r="J931" s="85">
        <v>0</v>
      </c>
      <c r="K931" s="85">
        <v>0</v>
      </c>
      <c r="L931" s="85">
        <v>0</v>
      </c>
      <c r="M931" s="85">
        <v>0</v>
      </c>
      <c r="N931" s="85">
        <v>0</v>
      </c>
      <c r="O931" s="85">
        <v>0</v>
      </c>
      <c r="P931" s="85">
        <v>0</v>
      </c>
      <c r="Q931" s="85">
        <v>0</v>
      </c>
      <c r="R931" s="85">
        <v>0</v>
      </c>
      <c r="S931" s="85">
        <v>0</v>
      </c>
      <c r="T931" s="85">
        <v>0</v>
      </c>
      <c r="U931" s="85">
        <v>0</v>
      </c>
      <c r="V931" s="85">
        <v>0</v>
      </c>
      <c r="W931" s="85">
        <v>0</v>
      </c>
      <c r="X931" s="85">
        <v>0</v>
      </c>
      <c r="Y931" s="85">
        <v>0</v>
      </c>
      <c r="Z931" s="85">
        <v>0</v>
      </c>
      <c r="AA931" s="85">
        <v>0</v>
      </c>
      <c r="AB931" s="85">
        <v>0</v>
      </c>
      <c r="AC931" s="85">
        <v>0</v>
      </c>
      <c r="AD931" s="85"/>
    </row>
    <row r="932" spans="1:30">
      <c r="A932" s="82" t="s">
        <v>571</v>
      </c>
      <c r="B932" s="83" t="s">
        <v>600</v>
      </c>
      <c r="C932" s="85">
        <v>0</v>
      </c>
      <c r="D932" s="85">
        <v>0</v>
      </c>
      <c r="E932" s="85">
        <v>0</v>
      </c>
      <c r="F932" s="85">
        <v>0</v>
      </c>
      <c r="G932" s="85">
        <v>0</v>
      </c>
      <c r="H932" s="85">
        <v>0</v>
      </c>
      <c r="I932" s="85">
        <v>0</v>
      </c>
      <c r="J932" s="85">
        <v>0</v>
      </c>
      <c r="K932" s="85">
        <v>0</v>
      </c>
      <c r="L932" s="85">
        <v>0</v>
      </c>
      <c r="M932" s="85">
        <v>0</v>
      </c>
      <c r="N932" s="85">
        <v>0</v>
      </c>
      <c r="O932" s="85">
        <v>0</v>
      </c>
      <c r="P932" s="85">
        <v>0</v>
      </c>
      <c r="Q932" s="85">
        <v>0</v>
      </c>
      <c r="R932" s="85">
        <v>0</v>
      </c>
      <c r="S932" s="85">
        <v>0</v>
      </c>
      <c r="T932" s="85">
        <v>0</v>
      </c>
      <c r="U932" s="85">
        <v>0</v>
      </c>
      <c r="V932" s="85">
        <v>0</v>
      </c>
      <c r="W932" s="85">
        <v>0</v>
      </c>
      <c r="X932" s="85">
        <v>0</v>
      </c>
      <c r="Y932" s="85">
        <v>0</v>
      </c>
      <c r="Z932" s="85">
        <v>0</v>
      </c>
      <c r="AA932" s="85">
        <v>0</v>
      </c>
      <c r="AB932" s="85">
        <v>0</v>
      </c>
      <c r="AC932" s="85">
        <v>0</v>
      </c>
      <c r="AD932" s="85"/>
    </row>
    <row r="933" spans="1:30">
      <c r="A933" s="82" t="s">
        <v>571</v>
      </c>
      <c r="B933" s="83" t="s">
        <v>595</v>
      </c>
      <c r="C933" s="85">
        <v>0</v>
      </c>
      <c r="D933" s="85">
        <v>0</v>
      </c>
      <c r="E933" s="85">
        <v>0</v>
      </c>
      <c r="F933" s="85">
        <v>0</v>
      </c>
      <c r="G933" s="85">
        <v>0</v>
      </c>
      <c r="H933" s="85">
        <v>0</v>
      </c>
      <c r="I933" s="85">
        <v>0</v>
      </c>
      <c r="J933" s="85">
        <v>0</v>
      </c>
      <c r="K933" s="85">
        <v>0</v>
      </c>
      <c r="L933" s="85">
        <v>0</v>
      </c>
      <c r="M933" s="85">
        <v>0</v>
      </c>
      <c r="N933" s="85">
        <f>7.2*0.11</f>
        <v>0.79200000000000004</v>
      </c>
      <c r="O933" s="85">
        <f>6.7*0.11</f>
        <v>0.73699999999999999</v>
      </c>
      <c r="P933" s="85">
        <f>9.2*0.11</f>
        <v>1.012</v>
      </c>
      <c r="Q933" s="85">
        <v>0</v>
      </c>
      <c r="R933" s="85">
        <f>11.19*0.11</f>
        <v>1.2308999999999999</v>
      </c>
      <c r="S933" s="85">
        <f>4.75*0.11</f>
        <v>0.52249999999999996</v>
      </c>
      <c r="T933" s="85">
        <f>7.33*0.11</f>
        <v>0.80630000000000002</v>
      </c>
      <c r="U933" s="85">
        <f>8.1*0.11</f>
        <v>0.89100000000000001</v>
      </c>
      <c r="V933" s="85">
        <f>8.84*0.11</f>
        <v>0.97240000000000004</v>
      </c>
      <c r="W933" s="85">
        <f>9.6*0.11</f>
        <v>1.056</v>
      </c>
      <c r="X933" s="85">
        <f>10.5*0.11</f>
        <v>1.155</v>
      </c>
      <c r="Y933" s="85">
        <f>11*0.11</f>
        <v>1.21</v>
      </c>
      <c r="Z933" s="85">
        <f>11*0.11</f>
        <v>1.21</v>
      </c>
      <c r="AA933" s="85">
        <f>9.5*0.11</f>
        <v>1.0449999999999999</v>
      </c>
      <c r="AB933" s="85">
        <f>8*0.11</f>
        <v>0.88</v>
      </c>
      <c r="AC933" s="85">
        <f>4.64*0.11</f>
        <v>0.51039999999999996</v>
      </c>
      <c r="AD933" s="85"/>
    </row>
    <row r="934" spans="1:30">
      <c r="A934" s="82" t="s">
        <v>571</v>
      </c>
      <c r="B934" s="83" t="s">
        <v>700</v>
      </c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>
        <f>251.4*0.11</f>
        <v>27.654</v>
      </c>
      <c r="S934" s="85">
        <f>78.13*0.11</f>
        <v>8.5942999999999987</v>
      </c>
      <c r="T934" s="85">
        <f>140.16*0.11</f>
        <v>15.4176</v>
      </c>
      <c r="U934" s="85">
        <f>149.68*0.11</f>
        <v>16.4648</v>
      </c>
      <c r="V934" s="85">
        <f>110.85*0.11</f>
        <v>12.1935</v>
      </c>
      <c r="W934" s="85">
        <f>90.46*0.11</f>
        <v>9.9505999999999997</v>
      </c>
      <c r="X934" s="85">
        <f>75.68*0.11</f>
        <v>8.3248000000000015</v>
      </c>
      <c r="Y934" s="85">
        <f>80*0.11</f>
        <v>8.8000000000000007</v>
      </c>
      <c r="Z934" s="85">
        <f>83*0.11</f>
        <v>9.1300000000000008</v>
      </c>
      <c r="AA934" s="85">
        <f>87*0.11</f>
        <v>9.57</v>
      </c>
      <c r="AB934" s="85">
        <f>90*0.11</f>
        <v>9.9</v>
      </c>
      <c r="AC934" s="85">
        <f>73.36*0.11</f>
        <v>8.0695999999999994</v>
      </c>
      <c r="AD934" s="85"/>
    </row>
    <row r="935" spans="1:30">
      <c r="A935" s="82" t="s">
        <v>571</v>
      </c>
      <c r="B935" s="83" t="s">
        <v>596</v>
      </c>
      <c r="C935" s="85">
        <v>0</v>
      </c>
      <c r="D935" s="85">
        <v>0</v>
      </c>
      <c r="E935" s="85">
        <v>0</v>
      </c>
      <c r="F935" s="85">
        <v>0</v>
      </c>
      <c r="G935" s="85">
        <v>0</v>
      </c>
      <c r="H935" s="85">
        <v>0</v>
      </c>
      <c r="I935" s="85">
        <v>0</v>
      </c>
      <c r="J935" s="85">
        <v>0</v>
      </c>
      <c r="K935" s="85">
        <v>0</v>
      </c>
      <c r="L935" s="85">
        <v>0</v>
      </c>
      <c r="M935" s="85">
        <v>0</v>
      </c>
      <c r="N935" s="85">
        <v>0</v>
      </c>
      <c r="O935" s="85">
        <v>0</v>
      </c>
      <c r="P935" s="85">
        <v>0</v>
      </c>
      <c r="Q935" s="85">
        <v>0</v>
      </c>
      <c r="R935" s="85">
        <f>16.57*0.065</f>
        <v>1.0770500000000001</v>
      </c>
      <c r="S935" s="85">
        <f>15.5*0.065</f>
        <v>1.0075000000000001</v>
      </c>
      <c r="T935" s="85">
        <f>20.99*0.065</f>
        <v>1.36435</v>
      </c>
      <c r="U935" s="85">
        <f>26.02*0.065</f>
        <v>1.6913</v>
      </c>
      <c r="V935" s="85">
        <f>28.41*0.065</f>
        <v>1.8466500000000001</v>
      </c>
      <c r="W935" s="85">
        <f>15.73*0.065</f>
        <v>1.0224500000000001</v>
      </c>
      <c r="X935" s="85">
        <f>11.84*0.065</f>
        <v>0.76960000000000006</v>
      </c>
      <c r="Y935" s="85">
        <f>12*0.065</f>
        <v>0.78</v>
      </c>
      <c r="Z935" s="85">
        <f>13*0.065</f>
        <v>0.84499999999999997</v>
      </c>
      <c r="AA935" s="85">
        <f>9*0.065</f>
        <v>0.58499999999999996</v>
      </c>
      <c r="AB935" s="85">
        <f>5*0.065</f>
        <v>0.32500000000000001</v>
      </c>
      <c r="AC935" s="85">
        <f>3.45*0.065</f>
        <v>0.22425000000000003</v>
      </c>
      <c r="AD935" s="85"/>
    </row>
    <row r="936" spans="1:30">
      <c r="A936" s="82" t="s">
        <v>571</v>
      </c>
      <c r="B936" s="83" t="s">
        <v>594</v>
      </c>
      <c r="C936" s="85">
        <f>618.76*0.055</f>
        <v>34.031799999999997</v>
      </c>
      <c r="D936" s="85">
        <f>640.73*0.055</f>
        <v>35.24015</v>
      </c>
      <c r="E936" s="85">
        <f>674.76*0.055</f>
        <v>37.111800000000002</v>
      </c>
      <c r="F936" s="85">
        <f>697.04*0.055</f>
        <v>38.337199999999996</v>
      </c>
      <c r="G936" s="85">
        <f>706.45*0.055</f>
        <v>38.854750000000003</v>
      </c>
      <c r="H936" s="85">
        <f>729.08*0.055</f>
        <v>40.099400000000003</v>
      </c>
      <c r="I936" s="85">
        <f>854.6*0.055</f>
        <v>47.003</v>
      </c>
      <c r="J936" s="85">
        <f>910*0.055</f>
        <v>50.05</v>
      </c>
      <c r="K936" s="85">
        <f>973.6*0.055</f>
        <v>53.548000000000002</v>
      </c>
      <c r="L936" s="85">
        <f>1140*0.055</f>
        <v>62.7</v>
      </c>
      <c r="M936" s="85">
        <f>1264*0.055</f>
        <v>69.52</v>
      </c>
      <c r="N936" s="85">
        <f>1853*0.055</f>
        <v>101.91500000000001</v>
      </c>
      <c r="O936" s="85">
        <f>2212.04*0.055</f>
        <v>121.6622</v>
      </c>
      <c r="P936" s="85">
        <f>2761*0.055</f>
        <v>151.85499999999999</v>
      </c>
      <c r="Q936" s="85">
        <v>0</v>
      </c>
      <c r="R936" s="85">
        <f>2841.51*0.055</f>
        <v>156.28305</v>
      </c>
      <c r="S936" s="85">
        <f>1279.05*0.055</f>
        <v>70.347750000000005</v>
      </c>
      <c r="T936" s="85">
        <f>1813.99*0.055</f>
        <v>99.769450000000006</v>
      </c>
      <c r="U936" s="85">
        <f>2064.99*0.055</f>
        <v>113.57444999999998</v>
      </c>
      <c r="V936" s="85">
        <f>1800.49718484349*0.055</f>
        <v>99.027345166391953</v>
      </c>
      <c r="W936" s="85">
        <f>1781*0.055</f>
        <v>97.954999999999998</v>
      </c>
      <c r="X936" s="85">
        <f>1643*0.055</f>
        <v>90.364999999999995</v>
      </c>
      <c r="Y936" s="85">
        <f>1680*0.055</f>
        <v>92.4</v>
      </c>
      <c r="Z936" s="85">
        <f>1700*0.055</f>
        <v>93.5</v>
      </c>
      <c r="AA936" s="85">
        <f>1750*0.055</f>
        <v>96.25</v>
      </c>
      <c r="AB936" s="85">
        <f>1780*0.055</f>
        <v>97.9</v>
      </c>
      <c r="AC936" s="85">
        <f>1783.09*0.055</f>
        <v>98.069949999999992</v>
      </c>
      <c r="AD936" s="85"/>
    </row>
    <row r="937" spans="1:30">
      <c r="A937" s="82" t="s">
        <v>571</v>
      </c>
      <c r="B937" s="87" t="s">
        <v>643</v>
      </c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>
        <v>0</v>
      </c>
      <c r="O937" s="85">
        <v>0</v>
      </c>
      <c r="P937" s="85">
        <v>0</v>
      </c>
      <c r="Q937" s="85">
        <v>0</v>
      </c>
      <c r="R937" s="85">
        <v>0</v>
      </c>
      <c r="S937" s="85">
        <v>0</v>
      </c>
      <c r="T937" s="85">
        <v>0</v>
      </c>
      <c r="U937" s="85">
        <v>0</v>
      </c>
      <c r="V937" s="85">
        <v>0</v>
      </c>
      <c r="W937" s="85">
        <v>0</v>
      </c>
      <c r="X937" s="85">
        <v>0</v>
      </c>
      <c r="Y937" s="85">
        <v>0</v>
      </c>
      <c r="Z937" s="85">
        <v>0</v>
      </c>
      <c r="AA937" s="85">
        <v>0</v>
      </c>
      <c r="AB937" s="85">
        <v>0</v>
      </c>
      <c r="AC937" s="85">
        <v>0</v>
      </c>
      <c r="AD937" s="85"/>
    </row>
    <row r="938" spans="1:30">
      <c r="A938" s="82" t="s">
        <v>572</v>
      </c>
      <c r="B938" s="83" t="s">
        <v>597</v>
      </c>
      <c r="C938" s="85">
        <v>0</v>
      </c>
      <c r="D938" s="85">
        <v>0</v>
      </c>
      <c r="E938" s="85">
        <v>0</v>
      </c>
      <c r="F938" s="85">
        <v>0</v>
      </c>
      <c r="G938" s="85">
        <v>0</v>
      </c>
      <c r="H938" s="85">
        <v>0</v>
      </c>
      <c r="I938" s="85">
        <v>0</v>
      </c>
      <c r="J938" s="85">
        <v>0</v>
      </c>
      <c r="K938" s="85">
        <v>0</v>
      </c>
      <c r="L938" s="85">
        <v>0</v>
      </c>
      <c r="M938" s="85">
        <v>0</v>
      </c>
      <c r="N938" s="85">
        <v>0</v>
      </c>
      <c r="O938" s="85">
        <v>0</v>
      </c>
      <c r="P938" s="85">
        <v>0</v>
      </c>
      <c r="Q938" s="85">
        <v>0</v>
      </c>
      <c r="R938" s="85">
        <v>0</v>
      </c>
      <c r="S938" s="85">
        <v>0</v>
      </c>
      <c r="T938" s="85">
        <v>0</v>
      </c>
      <c r="U938" s="85">
        <v>0</v>
      </c>
      <c r="V938" s="85">
        <v>0</v>
      </c>
      <c r="W938" s="85">
        <v>0</v>
      </c>
      <c r="X938" s="85">
        <v>0</v>
      </c>
      <c r="Y938" s="85">
        <v>0</v>
      </c>
      <c r="Z938" s="85">
        <v>0</v>
      </c>
      <c r="AA938" s="85">
        <v>0</v>
      </c>
      <c r="AB938" s="85">
        <v>0</v>
      </c>
      <c r="AC938" s="85">
        <v>0</v>
      </c>
      <c r="AD938" s="85"/>
    </row>
    <row r="939" spans="1:30">
      <c r="A939" s="82" t="s">
        <v>572</v>
      </c>
      <c r="B939" s="83" t="s">
        <v>600</v>
      </c>
      <c r="C939" s="85">
        <v>0</v>
      </c>
      <c r="D939" s="85">
        <v>0</v>
      </c>
      <c r="E939" s="85">
        <v>0</v>
      </c>
      <c r="F939" s="85">
        <v>0</v>
      </c>
      <c r="G939" s="85">
        <v>0</v>
      </c>
      <c r="H939" s="85">
        <v>0</v>
      </c>
      <c r="I939" s="85">
        <v>0</v>
      </c>
      <c r="J939" s="85">
        <v>0</v>
      </c>
      <c r="K939" s="85">
        <v>0</v>
      </c>
      <c r="L939" s="85">
        <v>0</v>
      </c>
      <c r="M939" s="85">
        <v>0</v>
      </c>
      <c r="N939" s="85">
        <v>0</v>
      </c>
      <c r="O939" s="85">
        <v>0</v>
      </c>
      <c r="P939" s="85">
        <v>0</v>
      </c>
      <c r="Q939" s="85">
        <v>0</v>
      </c>
      <c r="R939" s="85">
        <v>0</v>
      </c>
      <c r="S939" s="85">
        <v>0</v>
      </c>
      <c r="T939" s="85">
        <v>0</v>
      </c>
      <c r="U939" s="85">
        <v>0</v>
      </c>
      <c r="V939" s="85">
        <v>0</v>
      </c>
      <c r="W939" s="85">
        <v>0</v>
      </c>
      <c r="X939" s="85">
        <v>0</v>
      </c>
      <c r="Y939" s="85">
        <v>0</v>
      </c>
      <c r="Z939" s="85">
        <v>0</v>
      </c>
      <c r="AA939" s="85">
        <v>0</v>
      </c>
      <c r="AB939" s="85">
        <v>0</v>
      </c>
      <c r="AC939" s="85">
        <v>0</v>
      </c>
      <c r="AD939" s="85"/>
    </row>
    <row r="940" spans="1:30">
      <c r="A940" s="82" t="s">
        <v>572</v>
      </c>
      <c r="B940" s="83" t="s">
        <v>595</v>
      </c>
      <c r="C940" s="85">
        <v>0</v>
      </c>
      <c r="D940" s="85">
        <v>0</v>
      </c>
      <c r="E940" s="85">
        <v>0</v>
      </c>
      <c r="F940" s="85">
        <v>0</v>
      </c>
      <c r="G940" s="85">
        <v>0</v>
      </c>
      <c r="H940" s="85">
        <v>0</v>
      </c>
      <c r="I940" s="85">
        <v>0</v>
      </c>
      <c r="J940" s="85">
        <v>0</v>
      </c>
      <c r="K940" s="85">
        <v>0</v>
      </c>
      <c r="L940" s="85">
        <v>0</v>
      </c>
      <c r="M940" s="85">
        <v>0</v>
      </c>
      <c r="N940" s="85">
        <v>0</v>
      </c>
      <c r="O940" s="85">
        <v>0</v>
      </c>
      <c r="P940" s="85">
        <v>0</v>
      </c>
      <c r="Q940" s="85">
        <v>0</v>
      </c>
      <c r="R940" s="85">
        <v>0</v>
      </c>
      <c r="S940" s="85">
        <v>0</v>
      </c>
      <c r="T940" s="85">
        <v>0</v>
      </c>
      <c r="U940" s="85">
        <v>0</v>
      </c>
      <c r="V940" s="85">
        <v>0</v>
      </c>
      <c r="W940" s="85">
        <v>0</v>
      </c>
      <c r="X940" s="85">
        <v>0</v>
      </c>
      <c r="Y940" s="85">
        <v>0</v>
      </c>
      <c r="Z940" s="85">
        <v>0</v>
      </c>
      <c r="AA940" s="85">
        <v>0</v>
      </c>
      <c r="AB940" s="85">
        <v>0</v>
      </c>
      <c r="AC940" s="85">
        <v>0</v>
      </c>
      <c r="AD940" s="85"/>
    </row>
    <row r="941" spans="1:30">
      <c r="A941" s="82" t="s">
        <v>572</v>
      </c>
      <c r="B941" s="83" t="s">
        <v>596</v>
      </c>
      <c r="C941" s="85">
        <v>0</v>
      </c>
      <c r="D941" s="85">
        <v>0</v>
      </c>
      <c r="E941" s="85">
        <v>0</v>
      </c>
      <c r="F941" s="85">
        <v>0</v>
      </c>
      <c r="G941" s="85">
        <v>0</v>
      </c>
      <c r="H941" s="85">
        <v>0</v>
      </c>
      <c r="I941" s="85">
        <v>0</v>
      </c>
      <c r="J941" s="85">
        <v>0</v>
      </c>
      <c r="K941" s="85">
        <v>0</v>
      </c>
      <c r="L941" s="85">
        <v>0</v>
      </c>
      <c r="M941" s="85">
        <v>0</v>
      </c>
      <c r="N941" s="85">
        <v>0</v>
      </c>
      <c r="O941" s="85">
        <v>0</v>
      </c>
      <c r="P941" s="85">
        <v>0</v>
      </c>
      <c r="Q941" s="85">
        <v>0</v>
      </c>
      <c r="R941" s="85">
        <v>0</v>
      </c>
      <c r="S941" s="85">
        <v>0</v>
      </c>
      <c r="T941" s="85">
        <v>0</v>
      </c>
      <c r="U941" s="85">
        <v>0</v>
      </c>
      <c r="V941" s="85">
        <v>0</v>
      </c>
      <c r="W941" s="85">
        <v>0</v>
      </c>
      <c r="X941" s="85">
        <v>0</v>
      </c>
      <c r="Y941" s="85">
        <v>0</v>
      </c>
      <c r="Z941" s="85">
        <v>0</v>
      </c>
      <c r="AA941" s="85">
        <v>0</v>
      </c>
      <c r="AB941" s="85">
        <v>0</v>
      </c>
      <c r="AC941" s="85">
        <v>0</v>
      </c>
      <c r="AD941" s="85"/>
    </row>
    <row r="942" spans="1:30">
      <c r="A942" s="82" t="s">
        <v>572</v>
      </c>
      <c r="B942" s="83" t="s">
        <v>594</v>
      </c>
      <c r="C942" s="85">
        <f>12.32*0.055</f>
        <v>0.67759999999999998</v>
      </c>
      <c r="D942" s="85">
        <f>14.5*0.055</f>
        <v>0.79749999999999999</v>
      </c>
      <c r="E942" s="85">
        <f>13.8*0.055</f>
        <v>0.75900000000000001</v>
      </c>
      <c r="F942" s="85">
        <f>15.83*0.055</f>
        <v>0.87065000000000003</v>
      </c>
      <c r="G942" s="85">
        <f>18.22*0.055</f>
        <v>1.0021</v>
      </c>
      <c r="H942" s="85">
        <f>18.2*0.055</f>
        <v>1.0009999999999999</v>
      </c>
      <c r="I942" s="85">
        <f>9.1*0.055</f>
        <v>0.50049999999999994</v>
      </c>
      <c r="J942" s="85">
        <f>14*0.055</f>
        <v>0.77</v>
      </c>
      <c r="K942" s="85">
        <f>15*0.055</f>
        <v>0.82499999999999996</v>
      </c>
      <c r="L942" s="85">
        <f>14.01*0.055</f>
        <v>0.77054999999999996</v>
      </c>
      <c r="M942" s="85">
        <f>15*0.055</f>
        <v>0.82499999999999996</v>
      </c>
      <c r="N942" s="85">
        <v>0.74250000000000005</v>
      </c>
      <c r="O942" s="85">
        <f>12.5*0.055</f>
        <v>0.6875</v>
      </c>
      <c r="P942" s="85">
        <f>12*0.055</f>
        <v>0.66</v>
      </c>
      <c r="Q942" s="85">
        <f>12*0.055</f>
        <v>0.66</v>
      </c>
      <c r="R942" s="85">
        <f>167.9*0.055</f>
        <v>9.2345000000000006</v>
      </c>
      <c r="S942" s="85">
        <f>167.8*0.055</f>
        <v>9.229000000000001</v>
      </c>
      <c r="T942" s="85">
        <f>55*0.055</f>
        <v>3.0249999999999999</v>
      </c>
      <c r="U942" s="85">
        <f>136.25*0.055</f>
        <v>7.4937500000000004</v>
      </c>
      <c r="V942" s="85">
        <f>80*0.055</f>
        <v>4.4000000000000004</v>
      </c>
      <c r="W942" s="85">
        <f>55*0.055</f>
        <v>3.0249999999999999</v>
      </c>
      <c r="X942" s="85">
        <f>50*0.055</f>
        <v>2.75</v>
      </c>
      <c r="Y942" s="85">
        <f>45*0.055</f>
        <v>2.4750000000000001</v>
      </c>
      <c r="Z942" s="85">
        <f>40*0.055</f>
        <v>2.2000000000000002</v>
      </c>
      <c r="AA942" s="85">
        <f>40*0.055</f>
        <v>2.2000000000000002</v>
      </c>
      <c r="AB942" s="85">
        <f>40*0.055</f>
        <v>2.2000000000000002</v>
      </c>
      <c r="AC942" s="85">
        <f>39.9*0.055</f>
        <v>2.1945000000000001</v>
      </c>
      <c r="AD942" s="85"/>
    </row>
    <row r="943" spans="1:30">
      <c r="A943" s="82" t="s">
        <v>572</v>
      </c>
      <c r="B943" s="87" t="s">
        <v>643</v>
      </c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>
        <v>0</v>
      </c>
      <c r="O943" s="85">
        <v>0</v>
      </c>
      <c r="P943" s="85">
        <v>0</v>
      </c>
      <c r="Q943" s="85">
        <v>0</v>
      </c>
      <c r="R943" s="85">
        <v>0</v>
      </c>
      <c r="S943" s="85">
        <v>0</v>
      </c>
      <c r="T943" s="85">
        <v>0</v>
      </c>
      <c r="U943" s="85">
        <v>0</v>
      </c>
      <c r="V943" s="85">
        <v>0</v>
      </c>
      <c r="W943" s="85">
        <v>0</v>
      </c>
      <c r="X943" s="85">
        <v>0</v>
      </c>
      <c r="Y943" s="85">
        <v>0</v>
      </c>
      <c r="Z943" s="85">
        <v>0</v>
      </c>
      <c r="AA943" s="85">
        <v>0</v>
      </c>
      <c r="AB943" s="85">
        <v>0</v>
      </c>
      <c r="AC943" s="85">
        <v>0</v>
      </c>
      <c r="AD943" s="85"/>
    </row>
    <row r="944" spans="1:30">
      <c r="A944" s="82" t="s">
        <v>573</v>
      </c>
      <c r="B944" s="83" t="s">
        <v>597</v>
      </c>
      <c r="C944" s="85">
        <v>0</v>
      </c>
      <c r="D944" s="85">
        <v>0</v>
      </c>
      <c r="E944" s="85">
        <v>0</v>
      </c>
      <c r="F944" s="85">
        <v>0</v>
      </c>
      <c r="G944" s="85">
        <v>0</v>
      </c>
      <c r="H944" s="85">
        <v>0</v>
      </c>
      <c r="I944" s="85">
        <v>0</v>
      </c>
      <c r="J944" s="85">
        <v>0</v>
      </c>
      <c r="K944" s="85">
        <v>0</v>
      </c>
      <c r="L944" s="85">
        <v>0</v>
      </c>
      <c r="M944" s="85">
        <v>0</v>
      </c>
      <c r="N944" s="85">
        <v>0</v>
      </c>
      <c r="O944" s="85">
        <v>0</v>
      </c>
      <c r="P944" s="85">
        <v>0</v>
      </c>
      <c r="Q944" s="85">
        <v>0</v>
      </c>
      <c r="R944" s="85">
        <v>0</v>
      </c>
      <c r="S944" s="85">
        <v>0</v>
      </c>
      <c r="T944" s="85">
        <v>0</v>
      </c>
      <c r="U944" s="85">
        <v>0</v>
      </c>
      <c r="V944" s="85">
        <v>0</v>
      </c>
      <c r="W944" s="85">
        <v>0</v>
      </c>
      <c r="X944" s="85">
        <v>0</v>
      </c>
      <c r="Y944" s="85">
        <v>0</v>
      </c>
      <c r="Z944" s="85">
        <v>0</v>
      </c>
      <c r="AA944" s="85">
        <v>0</v>
      </c>
      <c r="AB944" s="85">
        <v>0</v>
      </c>
      <c r="AC944" s="85">
        <v>0</v>
      </c>
      <c r="AD944" s="85"/>
    </row>
    <row r="945" spans="1:30">
      <c r="A945" s="82" t="s">
        <v>573</v>
      </c>
      <c r="B945" s="83" t="s">
        <v>600</v>
      </c>
      <c r="C945" s="85">
        <v>0</v>
      </c>
      <c r="D945" s="85">
        <v>0</v>
      </c>
      <c r="E945" s="85">
        <v>0</v>
      </c>
      <c r="F945" s="85">
        <v>0</v>
      </c>
      <c r="G945" s="85">
        <v>0</v>
      </c>
      <c r="H945" s="85">
        <v>0</v>
      </c>
      <c r="I945" s="85">
        <v>0</v>
      </c>
      <c r="J945" s="85">
        <v>0</v>
      </c>
      <c r="K945" s="85">
        <v>0</v>
      </c>
      <c r="L945" s="85">
        <v>0</v>
      </c>
      <c r="M945" s="85">
        <v>0</v>
      </c>
      <c r="N945" s="85">
        <v>0</v>
      </c>
      <c r="O945" s="85">
        <v>0</v>
      </c>
      <c r="P945" s="85">
        <v>0</v>
      </c>
      <c r="Q945" s="85">
        <v>0</v>
      </c>
      <c r="R945" s="85">
        <v>0</v>
      </c>
      <c r="S945" s="85">
        <v>0</v>
      </c>
      <c r="T945" s="85">
        <v>0</v>
      </c>
      <c r="U945" s="85">
        <v>0</v>
      </c>
      <c r="V945" s="85">
        <v>0</v>
      </c>
      <c r="W945" s="85">
        <v>0</v>
      </c>
      <c r="X945" s="85">
        <v>0</v>
      </c>
      <c r="Y945" s="85">
        <v>0</v>
      </c>
      <c r="Z945" s="85">
        <v>0</v>
      </c>
      <c r="AA945" s="85">
        <v>0</v>
      </c>
      <c r="AB945" s="85">
        <v>0</v>
      </c>
      <c r="AC945" s="85">
        <v>0</v>
      </c>
      <c r="AD945" s="85"/>
    </row>
    <row r="946" spans="1:30">
      <c r="A946" s="82" t="s">
        <v>573</v>
      </c>
      <c r="B946" s="83" t="s">
        <v>595</v>
      </c>
      <c r="C946" s="85">
        <v>0</v>
      </c>
      <c r="D946" s="85">
        <f>3.8*0.11</f>
        <v>0.41799999999999998</v>
      </c>
      <c r="E946" s="85">
        <v>0</v>
      </c>
      <c r="F946" s="85">
        <f>20*0.11</f>
        <v>2.2000000000000002</v>
      </c>
      <c r="G946" s="85">
        <v>0</v>
      </c>
      <c r="H946" s="85">
        <v>0</v>
      </c>
      <c r="I946" s="85">
        <f>10*0.11</f>
        <v>1.1000000000000001</v>
      </c>
      <c r="J946" s="85">
        <v>0</v>
      </c>
      <c r="K946" s="85">
        <v>0</v>
      </c>
      <c r="L946" s="85">
        <v>0</v>
      </c>
      <c r="M946" s="85">
        <f>1.42*0.11</f>
        <v>0.15620000000000001</v>
      </c>
      <c r="N946" s="85">
        <v>0</v>
      </c>
      <c r="O946" s="85">
        <v>0</v>
      </c>
      <c r="P946" s="85">
        <f>0.2*0.11</f>
        <v>2.2000000000000002E-2</v>
      </c>
      <c r="Q946" s="85">
        <v>0</v>
      </c>
      <c r="R946" s="85">
        <f>9.99*0.11</f>
        <v>1.0989</v>
      </c>
      <c r="S946" s="85">
        <f>4.86*0.11</f>
        <v>0.53460000000000008</v>
      </c>
      <c r="T946" s="85">
        <f>0.55*0.11</f>
        <v>6.0500000000000005E-2</v>
      </c>
      <c r="U946" s="85">
        <f>0.272*0.11</f>
        <v>2.9920000000000002E-2</v>
      </c>
      <c r="V946" s="85">
        <f>0.408*0.11</f>
        <v>4.4879999999999996E-2</v>
      </c>
      <c r="W946" s="85">
        <f>0.35*0.11</f>
        <v>3.85E-2</v>
      </c>
      <c r="X946" s="85">
        <v>0</v>
      </c>
      <c r="Y946" s="85">
        <v>0</v>
      </c>
      <c r="Z946" s="85">
        <v>0</v>
      </c>
      <c r="AA946" s="85">
        <v>0</v>
      </c>
      <c r="AB946" s="85">
        <v>0</v>
      </c>
      <c r="AC946" s="85">
        <v>0</v>
      </c>
      <c r="AD946" s="85"/>
    </row>
    <row r="947" spans="1:30">
      <c r="A947" s="82" t="s">
        <v>573</v>
      </c>
      <c r="B947" s="83" t="s">
        <v>700</v>
      </c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>
        <f>74.96*0.11</f>
        <v>8.2455999999999996</v>
      </c>
      <c r="S947" s="85">
        <f>72.61*0.11</f>
        <v>7.9870999999999999</v>
      </c>
      <c r="T947" s="85">
        <f>58.95*0.11</f>
        <v>6.4845000000000006</v>
      </c>
      <c r="U947" s="85">
        <f>54.86*0.11</f>
        <v>6.0346000000000002</v>
      </c>
      <c r="V947" s="85">
        <f>54.6*0.11</f>
        <v>6.0060000000000002</v>
      </c>
      <c r="W947" s="85">
        <v>0</v>
      </c>
      <c r="X947" s="85">
        <v>0</v>
      </c>
      <c r="Y947" s="85">
        <v>0</v>
      </c>
      <c r="Z947" s="85">
        <v>0</v>
      </c>
      <c r="AA947" s="85">
        <v>0</v>
      </c>
      <c r="AB947" s="85">
        <v>0</v>
      </c>
      <c r="AC947" s="85">
        <v>0</v>
      </c>
      <c r="AD947" s="85"/>
    </row>
    <row r="948" spans="1:30">
      <c r="A948" s="82" t="s">
        <v>573</v>
      </c>
      <c r="B948" s="83" t="s">
        <v>596</v>
      </c>
      <c r="C948" s="85">
        <f>3.55*0.065</f>
        <v>0.23074999999999998</v>
      </c>
      <c r="D948" s="85">
        <v>0</v>
      </c>
      <c r="E948" s="85">
        <v>0</v>
      </c>
      <c r="F948" s="85">
        <v>0</v>
      </c>
      <c r="G948" s="85">
        <v>0</v>
      </c>
      <c r="H948" s="85">
        <v>0</v>
      </c>
      <c r="I948" s="85">
        <v>0</v>
      </c>
      <c r="J948" s="85">
        <v>0</v>
      </c>
      <c r="K948" s="85">
        <v>0</v>
      </c>
      <c r="L948" s="85">
        <v>0</v>
      </c>
      <c r="M948" s="85">
        <f>1.42*0.065</f>
        <v>9.2299999999999993E-2</v>
      </c>
      <c r="N948" s="85">
        <v>0</v>
      </c>
      <c r="O948" s="85">
        <v>0</v>
      </c>
      <c r="P948" s="85">
        <v>0</v>
      </c>
      <c r="Q948" s="85">
        <v>0</v>
      </c>
      <c r="R948" s="85">
        <v>0</v>
      </c>
      <c r="S948" s="85">
        <v>0</v>
      </c>
      <c r="T948" s="85">
        <v>0</v>
      </c>
      <c r="U948" s="85">
        <v>0</v>
      </c>
      <c r="V948" s="85">
        <v>0</v>
      </c>
      <c r="W948" s="85">
        <v>0</v>
      </c>
      <c r="X948" s="85">
        <v>0</v>
      </c>
      <c r="Y948" s="85">
        <f>7.19*0.065</f>
        <v>0.46735000000000004</v>
      </c>
      <c r="Z948" s="85">
        <f>5.3*0.065</f>
        <v>0.34449999999999997</v>
      </c>
      <c r="AA948" s="85">
        <f>1.63*0.065</f>
        <v>0.10595</v>
      </c>
      <c r="AB948" s="85">
        <f>0.2788*0.065</f>
        <v>1.8121999999999999E-2</v>
      </c>
      <c r="AC948" s="85">
        <v>0</v>
      </c>
      <c r="AD948" s="85"/>
    </row>
    <row r="949" spans="1:30">
      <c r="A949" s="82" t="s">
        <v>573</v>
      </c>
      <c r="B949" s="83" t="s">
        <v>594</v>
      </c>
      <c r="C949" s="85">
        <f>338.2*0.055</f>
        <v>18.600999999999999</v>
      </c>
      <c r="D949" s="85">
        <f>365.4*0.055</f>
        <v>20.096999999999998</v>
      </c>
      <c r="E949" s="85">
        <f>60.33*0.055</f>
        <v>3.3181499999999997</v>
      </c>
      <c r="F949" s="85">
        <f>100*0.055</f>
        <v>5.5</v>
      </c>
      <c r="G949" s="85">
        <f>2*0.055</f>
        <v>0.11</v>
      </c>
      <c r="H949" s="85">
        <f>148.14*0.055</f>
        <v>8.1476999999999986</v>
      </c>
      <c r="I949" s="85">
        <f>259.22*0.055</f>
        <v>14.257100000000001</v>
      </c>
      <c r="J949" s="85">
        <f>73.84*0.055</f>
        <v>4.0612000000000004</v>
      </c>
      <c r="K949" s="85">
        <f>61.16*0.055</f>
        <v>3.3637999999999999</v>
      </c>
      <c r="L949" s="85">
        <f>65.75*0.055</f>
        <v>3.61625</v>
      </c>
      <c r="M949" s="85">
        <f>140*0.055</f>
        <v>7.7</v>
      </c>
      <c r="N949" s="85">
        <f>173.75*0.055</f>
        <v>9.5562500000000004</v>
      </c>
      <c r="O949" s="85">
        <f>299.31*0.055</f>
        <v>16.462050000000001</v>
      </c>
      <c r="P949" s="85">
        <f>157.8*0.055</f>
        <v>8.6790000000000003</v>
      </c>
      <c r="Q949" s="85">
        <f>225*0.055</f>
        <v>12.375</v>
      </c>
      <c r="R949" s="85">
        <f>316.4*0.055</f>
        <v>17.401999999999997</v>
      </c>
      <c r="S949" s="85">
        <f>350.69*0.055</f>
        <v>19.287949999999999</v>
      </c>
      <c r="T949" s="85">
        <f>294.84*0.055</f>
        <v>16.216199999999997</v>
      </c>
      <c r="U949" s="85">
        <f>286.46*0.055</f>
        <v>15.755299999999998</v>
      </c>
      <c r="V949" s="85">
        <f>241.4*0.055</f>
        <v>13.277000000000001</v>
      </c>
      <c r="W949" s="85">
        <f>256.8*0.055</f>
        <v>14.124000000000001</v>
      </c>
      <c r="X949" s="85">
        <f>172.576*0.055</f>
        <v>9.4916800000000006</v>
      </c>
      <c r="Y949" s="85">
        <f>185.19*0.055</f>
        <v>10.185449999999999</v>
      </c>
      <c r="Z949" s="85">
        <f>176.75*0.055</f>
        <v>9.7212499999999995</v>
      </c>
      <c r="AA949" s="85">
        <f>177.18*0.055</f>
        <v>9.7449000000000012</v>
      </c>
      <c r="AB949" s="85">
        <f>113.872*0.055</f>
        <v>6.2629599999999996</v>
      </c>
      <c r="AC949" s="85">
        <f>74.565*0.055</f>
        <v>4.1010749999999998</v>
      </c>
      <c r="AD949" s="85"/>
    </row>
    <row r="950" spans="1:30">
      <c r="A950" s="82" t="s">
        <v>573</v>
      </c>
      <c r="B950" s="87" t="s">
        <v>643</v>
      </c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>
        <v>0</v>
      </c>
      <c r="O950" s="85">
        <v>0</v>
      </c>
      <c r="P950" s="85">
        <v>0</v>
      </c>
      <c r="Q950" s="85">
        <v>0</v>
      </c>
      <c r="R950" s="85">
        <v>0</v>
      </c>
      <c r="S950" s="85">
        <v>0</v>
      </c>
      <c r="T950" s="85">
        <v>0</v>
      </c>
      <c r="U950" s="85">
        <v>0</v>
      </c>
      <c r="V950" s="85">
        <v>0</v>
      </c>
      <c r="W950" s="85">
        <v>0</v>
      </c>
      <c r="X950" s="85">
        <v>0</v>
      </c>
      <c r="Y950" s="85">
        <v>0</v>
      </c>
      <c r="Z950" s="85">
        <v>0</v>
      </c>
      <c r="AA950" s="85">
        <v>0</v>
      </c>
      <c r="AB950" s="85">
        <v>0</v>
      </c>
      <c r="AC950" s="85">
        <v>0</v>
      </c>
      <c r="AD950" s="85"/>
    </row>
  </sheetData>
  <phoneticPr fontId="6" type="noConversion"/>
  <pageMargins left="0.27559055118110237" right="0.23622047244094491" top="0.78740157480314965" bottom="0.47244094488188981" header="0.51181102362204722" footer="0.19685039370078741"/>
  <pageSetup scale="80" orientation="portrait" r:id="rId1"/>
  <headerFooter alignWithMargins="0">
    <oddHeader xml:space="preserve">&amp;C&amp;UHCFC DATA&amp;U
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XFD803"/>
  <sheetViews>
    <sheetView zoomScale="110" zoomScaleNormal="110" workbookViewId="0">
      <pane ySplit="768" activePane="bottomLeft"/>
      <selection sqref="A1:XFD1048576"/>
      <selection pane="bottomLeft" activeCell="C16" sqref="C16"/>
    </sheetView>
  </sheetViews>
  <sheetFormatPr defaultColWidth="9.33203125" defaultRowHeight="10.199999999999999"/>
  <cols>
    <col min="1" max="1" width="23.109375" style="139" customWidth="1"/>
    <col min="2" max="2" width="5.33203125" style="139" customWidth="1"/>
    <col min="3" max="3" width="13.77734375" style="122" customWidth="1"/>
    <col min="4" max="4" width="6" style="122" customWidth="1"/>
    <col min="5" max="5" width="7.88671875" style="122" customWidth="1"/>
    <col min="6" max="6" width="6.5546875" style="127" customWidth="1"/>
    <col min="7" max="7" width="7" style="127" customWidth="1"/>
    <col min="8" max="8" width="10.88671875" style="127" customWidth="1"/>
    <col min="9" max="9" width="10.5546875" style="127" customWidth="1"/>
    <col min="10" max="10" width="11.88671875" style="127" customWidth="1"/>
    <col min="11" max="14" width="9.44140625" style="127" customWidth="1"/>
    <col min="15" max="15" width="10.109375" style="127" customWidth="1"/>
    <col min="16" max="16" width="11.6640625" style="127" customWidth="1"/>
    <col min="17" max="17" width="9.77734375" style="127" customWidth="1"/>
    <col min="18" max="18" width="10.88671875" style="127" customWidth="1"/>
    <col min="19" max="19" width="12.44140625" style="122" bestFit="1" customWidth="1"/>
    <col min="20" max="20" width="9.33203125" style="122"/>
    <col min="21" max="21" width="12.33203125" style="123" customWidth="1"/>
    <col min="22" max="22" width="14.6640625" style="123" customWidth="1"/>
    <col min="23" max="16384" width="9.33203125" style="122"/>
  </cols>
  <sheetData>
    <row r="1" spans="1:22" s="118" customFormat="1" ht="22.5" customHeight="1">
      <c r="A1" s="115" t="s">
        <v>757</v>
      </c>
      <c r="B1" s="115" t="s">
        <v>0</v>
      </c>
      <c r="C1" s="115" t="s">
        <v>777</v>
      </c>
      <c r="D1" s="115" t="s">
        <v>598</v>
      </c>
      <c r="E1" s="116" t="s">
        <v>778</v>
      </c>
      <c r="F1" s="116" t="s">
        <v>779</v>
      </c>
      <c r="G1" s="117" t="s">
        <v>243</v>
      </c>
      <c r="H1" s="116" t="s">
        <v>384</v>
      </c>
      <c r="I1" s="116" t="s">
        <v>385</v>
      </c>
      <c r="J1" s="116" t="s">
        <v>212</v>
      </c>
      <c r="K1" s="117" t="s">
        <v>780</v>
      </c>
      <c r="L1" s="117" t="s">
        <v>781</v>
      </c>
      <c r="M1" s="117" t="s">
        <v>51</v>
      </c>
      <c r="N1" s="117" t="s">
        <v>336</v>
      </c>
      <c r="O1" s="116" t="s">
        <v>599</v>
      </c>
      <c r="P1" s="116" t="s">
        <v>240</v>
      </c>
      <c r="Q1" s="116" t="s">
        <v>601</v>
      </c>
      <c r="R1" s="116" t="s">
        <v>241</v>
      </c>
      <c r="S1" s="118" t="s">
        <v>63</v>
      </c>
      <c r="T1" s="118" t="s">
        <v>412</v>
      </c>
      <c r="U1" s="118" t="s">
        <v>804</v>
      </c>
      <c r="V1" s="118" t="s">
        <v>805</v>
      </c>
    </row>
    <row r="2" spans="1:22">
      <c r="A2" s="119" t="s">
        <v>510</v>
      </c>
      <c r="B2" s="119" t="s">
        <v>1</v>
      </c>
      <c r="C2" s="120" t="s">
        <v>594</v>
      </c>
      <c r="D2" s="120">
        <v>2021</v>
      </c>
      <c r="E2" s="120"/>
      <c r="F2" s="121"/>
      <c r="G2" s="121"/>
      <c r="H2" s="121">
        <f>I2+J2</f>
        <v>3.3</v>
      </c>
      <c r="I2" s="121"/>
      <c r="J2" s="121">
        <f>60*0.055</f>
        <v>3.3</v>
      </c>
      <c r="K2" s="121"/>
      <c r="L2" s="121"/>
      <c r="M2" s="121"/>
      <c r="N2" s="121"/>
      <c r="O2" s="121">
        <f>F2+H2</f>
        <v>3.3</v>
      </c>
      <c r="P2" s="121">
        <f>60*0.055</f>
        <v>3.3</v>
      </c>
      <c r="Q2" s="121"/>
      <c r="R2" s="121"/>
      <c r="T2" s="122">
        <v>1</v>
      </c>
      <c r="U2" s="123" t="s">
        <v>806</v>
      </c>
      <c r="V2" s="123" t="s">
        <v>807</v>
      </c>
    </row>
    <row r="3" spans="1:22">
      <c r="A3" s="119" t="s">
        <v>510</v>
      </c>
      <c r="B3" s="119" t="s">
        <v>1</v>
      </c>
      <c r="C3" s="120" t="s">
        <v>595</v>
      </c>
      <c r="D3" s="120">
        <v>2021</v>
      </c>
      <c r="E3" s="120"/>
      <c r="F3" s="121"/>
      <c r="G3" s="121"/>
      <c r="H3" s="121"/>
      <c r="I3" s="121"/>
      <c r="J3" s="121"/>
      <c r="K3" s="121"/>
      <c r="L3" s="121"/>
      <c r="M3" s="121"/>
      <c r="N3" s="121"/>
      <c r="O3" s="121">
        <f t="shared" ref="O3:O11" si="0">F3+H3</f>
        <v>0</v>
      </c>
      <c r="P3" s="121"/>
      <c r="Q3" s="121"/>
      <c r="R3" s="121"/>
      <c r="T3" s="122">
        <v>2</v>
      </c>
      <c r="U3" s="123" t="s">
        <v>806</v>
      </c>
      <c r="V3" s="123" t="s">
        <v>807</v>
      </c>
    </row>
    <row r="4" spans="1:22">
      <c r="A4" s="119" t="s">
        <v>510</v>
      </c>
      <c r="B4" s="119" t="s">
        <v>1</v>
      </c>
      <c r="C4" s="120" t="s">
        <v>596</v>
      </c>
      <c r="D4" s="120">
        <v>2021</v>
      </c>
      <c r="E4" s="120"/>
      <c r="F4" s="121"/>
      <c r="G4" s="121"/>
      <c r="H4" s="121"/>
      <c r="I4" s="121"/>
      <c r="J4" s="121"/>
      <c r="K4" s="121"/>
      <c r="L4" s="121"/>
      <c r="M4" s="121"/>
      <c r="N4" s="121"/>
      <c r="O4" s="121">
        <f t="shared" si="0"/>
        <v>0</v>
      </c>
      <c r="P4" s="121"/>
      <c r="Q4" s="121"/>
      <c r="R4" s="121"/>
      <c r="T4" s="122">
        <v>3</v>
      </c>
      <c r="U4" s="123" t="s">
        <v>806</v>
      </c>
      <c r="V4" s="123" t="s">
        <v>807</v>
      </c>
    </row>
    <row r="5" spans="1:22">
      <c r="A5" s="119" t="s">
        <v>510</v>
      </c>
      <c r="B5" s="119" t="s">
        <v>1</v>
      </c>
      <c r="C5" s="120" t="s">
        <v>597</v>
      </c>
      <c r="D5" s="120">
        <v>2021</v>
      </c>
      <c r="E5" s="120"/>
      <c r="F5" s="121"/>
      <c r="G5" s="121"/>
      <c r="H5" s="121"/>
      <c r="I5" s="121"/>
      <c r="J5" s="121"/>
      <c r="K5" s="121"/>
      <c r="L5" s="121"/>
      <c r="M5" s="121"/>
      <c r="N5" s="121"/>
      <c r="O5" s="121">
        <f t="shared" si="0"/>
        <v>0</v>
      </c>
      <c r="P5" s="121"/>
      <c r="Q5" s="121"/>
      <c r="R5" s="121"/>
      <c r="T5" s="122">
        <v>4</v>
      </c>
      <c r="U5" s="123" t="s">
        <v>806</v>
      </c>
      <c r="V5" s="123" t="s">
        <v>807</v>
      </c>
    </row>
    <row r="6" spans="1:22">
      <c r="A6" s="119" t="s">
        <v>510</v>
      </c>
      <c r="B6" s="119" t="s">
        <v>1</v>
      </c>
      <c r="C6" s="120" t="s">
        <v>600</v>
      </c>
      <c r="D6" s="120">
        <v>2021</v>
      </c>
      <c r="E6" s="120"/>
      <c r="F6" s="121"/>
      <c r="G6" s="121"/>
      <c r="H6" s="121"/>
      <c r="I6" s="121"/>
      <c r="J6" s="121"/>
      <c r="K6" s="121"/>
      <c r="L6" s="121"/>
      <c r="M6" s="121"/>
      <c r="N6" s="121"/>
      <c r="O6" s="121">
        <f t="shared" si="0"/>
        <v>0</v>
      </c>
      <c r="P6" s="121"/>
      <c r="Q6" s="121"/>
      <c r="R6" s="121"/>
      <c r="T6" s="122">
        <v>5</v>
      </c>
      <c r="U6" s="123" t="s">
        <v>806</v>
      </c>
      <c r="V6" s="123" t="s">
        <v>807</v>
      </c>
    </row>
    <row r="7" spans="1:22">
      <c r="A7" s="119" t="s">
        <v>738</v>
      </c>
      <c r="B7" s="119" t="s">
        <v>2</v>
      </c>
      <c r="C7" s="120" t="s">
        <v>594</v>
      </c>
      <c r="D7" s="120">
        <v>2021</v>
      </c>
      <c r="E7" s="120"/>
      <c r="F7" s="121"/>
      <c r="G7" s="121"/>
      <c r="H7" s="121">
        <f>I7+J7</f>
        <v>2.0152000000000001</v>
      </c>
      <c r="I7" s="121"/>
      <c r="J7" s="121">
        <f>36.64*0.055</f>
        <v>2.0152000000000001</v>
      </c>
      <c r="K7" s="121"/>
      <c r="L7" s="121"/>
      <c r="M7" s="121"/>
      <c r="N7" s="121"/>
      <c r="O7" s="121">
        <f t="shared" si="0"/>
        <v>2.0152000000000001</v>
      </c>
      <c r="P7" s="121">
        <f>36.64*0.055</f>
        <v>2.0152000000000001</v>
      </c>
      <c r="Q7" s="121"/>
      <c r="R7" s="121"/>
      <c r="T7" s="122">
        <v>1</v>
      </c>
      <c r="U7" s="123" t="s">
        <v>808</v>
      </c>
      <c r="V7" s="123" t="s">
        <v>808</v>
      </c>
    </row>
    <row r="8" spans="1:22">
      <c r="A8" s="119" t="s">
        <v>738</v>
      </c>
      <c r="B8" s="119" t="s">
        <v>2</v>
      </c>
      <c r="C8" s="120" t="s">
        <v>595</v>
      </c>
      <c r="D8" s="120">
        <v>2021</v>
      </c>
      <c r="E8" s="120"/>
      <c r="F8" s="121"/>
      <c r="G8" s="121"/>
      <c r="H8" s="121"/>
      <c r="I8" s="121"/>
      <c r="J8" s="121"/>
      <c r="K8" s="121"/>
      <c r="L8" s="121"/>
      <c r="M8" s="121"/>
      <c r="N8" s="121"/>
      <c r="O8" s="121">
        <f t="shared" si="0"/>
        <v>0</v>
      </c>
      <c r="P8" s="121"/>
      <c r="Q8" s="121"/>
      <c r="R8" s="121"/>
      <c r="T8" s="122">
        <v>2</v>
      </c>
      <c r="U8" s="123" t="s">
        <v>808</v>
      </c>
      <c r="V8" s="123" t="s">
        <v>808</v>
      </c>
    </row>
    <row r="9" spans="1:22">
      <c r="A9" s="119" t="s">
        <v>738</v>
      </c>
      <c r="B9" s="119" t="s">
        <v>2</v>
      </c>
      <c r="C9" s="120" t="s">
        <v>596</v>
      </c>
      <c r="D9" s="120">
        <v>2021</v>
      </c>
      <c r="E9" s="120"/>
      <c r="F9" s="121"/>
      <c r="G9" s="121"/>
      <c r="H9" s="121"/>
      <c r="I9" s="121"/>
      <c r="J9" s="121"/>
      <c r="K9" s="121"/>
      <c r="L9" s="121"/>
      <c r="M9" s="121"/>
      <c r="N9" s="121"/>
      <c r="O9" s="121">
        <f t="shared" si="0"/>
        <v>0</v>
      </c>
      <c r="P9" s="121"/>
      <c r="Q9" s="121"/>
      <c r="R9" s="121"/>
      <c r="T9" s="122">
        <v>3</v>
      </c>
      <c r="U9" s="123" t="s">
        <v>808</v>
      </c>
      <c r="V9" s="123" t="s">
        <v>808</v>
      </c>
    </row>
    <row r="10" spans="1:22">
      <c r="A10" s="119" t="s">
        <v>738</v>
      </c>
      <c r="B10" s="119" t="s">
        <v>2</v>
      </c>
      <c r="C10" s="120" t="s">
        <v>597</v>
      </c>
      <c r="D10" s="120">
        <v>2021</v>
      </c>
      <c r="E10" s="120"/>
      <c r="F10" s="121"/>
      <c r="G10" s="121"/>
      <c r="H10" s="121"/>
      <c r="I10" s="121"/>
      <c r="J10" s="121"/>
      <c r="K10" s="121"/>
      <c r="L10" s="121"/>
      <c r="M10" s="121"/>
      <c r="N10" s="121"/>
      <c r="O10" s="121">
        <f t="shared" si="0"/>
        <v>0</v>
      </c>
      <c r="P10" s="121"/>
      <c r="Q10" s="121"/>
      <c r="R10" s="121"/>
      <c r="T10" s="122">
        <v>4</v>
      </c>
      <c r="U10" s="123" t="s">
        <v>808</v>
      </c>
      <c r="V10" s="123" t="s">
        <v>808</v>
      </c>
    </row>
    <row r="11" spans="1:22">
      <c r="A11" s="119" t="s">
        <v>738</v>
      </c>
      <c r="B11" s="119" t="s">
        <v>2</v>
      </c>
      <c r="C11" s="120" t="s">
        <v>600</v>
      </c>
      <c r="D11" s="120">
        <v>2021</v>
      </c>
      <c r="E11" s="120"/>
      <c r="F11" s="121"/>
      <c r="G11" s="121"/>
      <c r="H11" s="121"/>
      <c r="I11" s="121"/>
      <c r="J11" s="121"/>
      <c r="K11" s="121"/>
      <c r="L11" s="121"/>
      <c r="M11" s="121"/>
      <c r="N11" s="121"/>
      <c r="O11" s="121">
        <f t="shared" si="0"/>
        <v>0</v>
      </c>
      <c r="P11" s="121"/>
      <c r="Q11" s="121"/>
      <c r="R11" s="121"/>
      <c r="T11" s="122">
        <v>5</v>
      </c>
      <c r="U11" s="123" t="s">
        <v>808</v>
      </c>
      <c r="V11" s="123" t="s">
        <v>808</v>
      </c>
    </row>
    <row r="12" spans="1:22">
      <c r="A12" s="119" t="s">
        <v>739</v>
      </c>
      <c r="B12" s="119" t="s">
        <v>3</v>
      </c>
      <c r="C12" s="120" t="s">
        <v>594</v>
      </c>
      <c r="D12" s="120">
        <v>2021</v>
      </c>
      <c r="E12" s="120"/>
      <c r="F12" s="121"/>
      <c r="G12" s="121"/>
      <c r="H12" s="121">
        <f>I12+J12</f>
        <v>38.302</v>
      </c>
      <c r="I12" s="121">
        <f>27.88*0.055</f>
        <v>1.5333999999999999</v>
      </c>
      <c r="J12" s="121">
        <f>668.52*0.055</f>
        <v>36.768599999999999</v>
      </c>
      <c r="K12" s="121"/>
      <c r="L12" s="121"/>
      <c r="M12" s="121"/>
      <c r="N12" s="121"/>
      <c r="O12" s="121">
        <f>F12+H12</f>
        <v>38.302</v>
      </c>
      <c r="P12" s="121">
        <f>696.4*0.055</f>
        <v>38.302</v>
      </c>
      <c r="Q12" s="121"/>
      <c r="R12" s="121"/>
      <c r="T12" s="122">
        <v>1</v>
      </c>
      <c r="U12" s="123" t="s">
        <v>809</v>
      </c>
      <c r="V12" s="123" t="s">
        <v>810</v>
      </c>
    </row>
    <row r="13" spans="1:22">
      <c r="A13" s="119" t="s">
        <v>739</v>
      </c>
      <c r="B13" s="119" t="s">
        <v>3</v>
      </c>
      <c r="C13" s="120" t="s">
        <v>595</v>
      </c>
      <c r="D13" s="120">
        <v>2021</v>
      </c>
      <c r="E13" s="120"/>
      <c r="F13" s="121"/>
      <c r="G13" s="121"/>
      <c r="H13" s="121"/>
      <c r="I13" s="121"/>
      <c r="J13" s="124"/>
      <c r="K13" s="121"/>
      <c r="L13" s="121"/>
      <c r="M13" s="121"/>
      <c r="N13" s="121"/>
      <c r="O13" s="121">
        <f>F13+H13+K13</f>
        <v>0</v>
      </c>
      <c r="P13" s="121"/>
      <c r="Q13" s="121"/>
      <c r="R13" s="121"/>
      <c r="T13" s="122">
        <v>2</v>
      </c>
      <c r="U13" s="123" t="s">
        <v>809</v>
      </c>
      <c r="V13" s="123" t="s">
        <v>810</v>
      </c>
    </row>
    <row r="14" spans="1:22">
      <c r="A14" s="119" t="s">
        <v>739</v>
      </c>
      <c r="B14" s="119" t="s">
        <v>3</v>
      </c>
      <c r="C14" s="125" t="s">
        <v>700</v>
      </c>
      <c r="D14" s="120">
        <v>2021</v>
      </c>
      <c r="E14" s="120"/>
      <c r="F14" s="121">
        <f>46*0.11</f>
        <v>5.0599999999999996</v>
      </c>
      <c r="G14" s="121"/>
      <c r="H14" s="121"/>
      <c r="I14" s="121"/>
      <c r="J14" s="124"/>
      <c r="K14" s="121"/>
      <c r="L14" s="121"/>
      <c r="M14" s="121"/>
      <c r="N14" s="121"/>
      <c r="O14" s="121">
        <f t="shared" ref="O14:O27" si="1">F14+H14</f>
        <v>5.0599999999999996</v>
      </c>
      <c r="P14" s="121">
        <f>46*0.11</f>
        <v>5.0599999999999996</v>
      </c>
      <c r="Q14" s="121"/>
      <c r="R14" s="121"/>
      <c r="U14" s="123" t="s">
        <v>809</v>
      </c>
      <c r="V14" s="123" t="s">
        <v>810</v>
      </c>
    </row>
    <row r="15" spans="1:22">
      <c r="A15" s="119" t="s">
        <v>739</v>
      </c>
      <c r="B15" s="119" t="s">
        <v>3</v>
      </c>
      <c r="C15" s="120" t="s">
        <v>596</v>
      </c>
      <c r="D15" s="120">
        <v>2021</v>
      </c>
      <c r="E15" s="120"/>
      <c r="F15" s="121"/>
      <c r="G15" s="121"/>
      <c r="H15" s="121"/>
      <c r="I15" s="121"/>
      <c r="J15" s="121"/>
      <c r="K15" s="121"/>
      <c r="L15" s="121"/>
      <c r="M15" s="121"/>
      <c r="N15" s="121"/>
      <c r="O15" s="121">
        <f t="shared" si="1"/>
        <v>0</v>
      </c>
      <c r="P15" s="121"/>
      <c r="Q15" s="121"/>
      <c r="R15" s="121"/>
      <c r="T15" s="122">
        <v>3</v>
      </c>
      <c r="U15" s="123" t="s">
        <v>809</v>
      </c>
      <c r="V15" s="123" t="s">
        <v>810</v>
      </c>
    </row>
    <row r="16" spans="1:22">
      <c r="A16" s="119" t="s">
        <v>739</v>
      </c>
      <c r="B16" s="119" t="s">
        <v>3</v>
      </c>
      <c r="C16" s="120" t="s">
        <v>597</v>
      </c>
      <c r="D16" s="120">
        <v>2021</v>
      </c>
      <c r="E16" s="120"/>
      <c r="F16" s="121"/>
      <c r="G16" s="121"/>
      <c r="H16" s="121"/>
      <c r="I16" s="121"/>
      <c r="J16" s="121"/>
      <c r="K16" s="121"/>
      <c r="L16" s="121"/>
      <c r="M16" s="121"/>
      <c r="N16" s="121"/>
      <c r="O16" s="121">
        <f t="shared" si="1"/>
        <v>0</v>
      </c>
      <c r="P16" s="121"/>
      <c r="Q16" s="121"/>
      <c r="R16" s="121"/>
      <c r="T16" s="122">
        <v>4</v>
      </c>
      <c r="U16" s="123" t="s">
        <v>809</v>
      </c>
      <c r="V16" s="123" t="s">
        <v>810</v>
      </c>
    </row>
    <row r="17" spans="1:22">
      <c r="A17" s="119" t="s">
        <v>739</v>
      </c>
      <c r="B17" s="119" t="s">
        <v>3</v>
      </c>
      <c r="C17" s="120" t="s">
        <v>600</v>
      </c>
      <c r="D17" s="120">
        <v>2021</v>
      </c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>
        <f t="shared" si="1"/>
        <v>0</v>
      </c>
      <c r="P17" s="121"/>
      <c r="Q17" s="121"/>
      <c r="R17" s="121"/>
      <c r="T17" s="122">
        <v>5</v>
      </c>
      <c r="U17" s="123" t="s">
        <v>809</v>
      </c>
      <c r="V17" s="123" t="s">
        <v>810</v>
      </c>
    </row>
    <row r="18" spans="1:22">
      <c r="A18" s="119" t="s">
        <v>547</v>
      </c>
      <c r="B18" s="119" t="s">
        <v>4</v>
      </c>
      <c r="C18" s="120" t="s">
        <v>594</v>
      </c>
      <c r="D18" s="120">
        <v>2021</v>
      </c>
      <c r="E18" s="120"/>
      <c r="F18" s="121"/>
      <c r="G18" s="121"/>
      <c r="H18" s="121">
        <f>I18+J18</f>
        <v>6.875</v>
      </c>
      <c r="I18" s="121"/>
      <c r="J18" s="121">
        <f>125*0.055</f>
        <v>6.875</v>
      </c>
      <c r="K18" s="121"/>
      <c r="L18" s="122"/>
      <c r="M18" s="121"/>
      <c r="N18" s="121"/>
      <c r="O18" s="121">
        <f>F18+H18</f>
        <v>6.875</v>
      </c>
      <c r="P18" s="121">
        <f>125*0.055</f>
        <v>6.875</v>
      </c>
      <c r="Q18" s="121"/>
      <c r="R18" s="121"/>
      <c r="T18" s="122">
        <v>1</v>
      </c>
      <c r="U18" s="123" t="s">
        <v>809</v>
      </c>
      <c r="V18" s="123" t="s">
        <v>810</v>
      </c>
    </row>
    <row r="19" spans="1:22">
      <c r="A19" s="119" t="s">
        <v>547</v>
      </c>
      <c r="B19" s="119" t="s">
        <v>4</v>
      </c>
      <c r="C19" s="120" t="s">
        <v>595</v>
      </c>
      <c r="D19" s="120">
        <v>2021</v>
      </c>
      <c r="E19" s="120"/>
      <c r="F19" s="121"/>
      <c r="G19" s="121"/>
      <c r="H19" s="121"/>
      <c r="I19" s="121"/>
      <c r="J19" s="121"/>
      <c r="K19" s="121"/>
      <c r="L19" s="121"/>
      <c r="M19" s="121"/>
      <c r="N19" s="121"/>
      <c r="O19" s="121">
        <f t="shared" si="1"/>
        <v>0</v>
      </c>
      <c r="P19" s="121"/>
      <c r="Q19" s="121"/>
      <c r="R19" s="121"/>
      <c r="T19" s="122">
        <v>2</v>
      </c>
      <c r="U19" s="123" t="s">
        <v>809</v>
      </c>
      <c r="V19" s="123" t="s">
        <v>810</v>
      </c>
    </row>
    <row r="20" spans="1:22">
      <c r="A20" s="119" t="s">
        <v>547</v>
      </c>
      <c r="B20" s="119" t="s">
        <v>4</v>
      </c>
      <c r="C20" s="120" t="s">
        <v>596</v>
      </c>
      <c r="D20" s="120">
        <v>2021</v>
      </c>
      <c r="E20" s="120"/>
      <c r="F20" s="121"/>
      <c r="G20" s="121"/>
      <c r="H20" s="121"/>
      <c r="I20" s="121"/>
      <c r="J20" s="121"/>
      <c r="K20" s="121"/>
      <c r="L20" s="121"/>
      <c r="M20" s="121"/>
      <c r="N20" s="121"/>
      <c r="O20" s="121">
        <f t="shared" si="1"/>
        <v>0</v>
      </c>
      <c r="P20" s="121"/>
      <c r="Q20" s="121"/>
      <c r="R20" s="121"/>
      <c r="T20" s="122">
        <v>3</v>
      </c>
      <c r="U20" s="123" t="s">
        <v>809</v>
      </c>
      <c r="V20" s="123" t="s">
        <v>810</v>
      </c>
    </row>
    <row r="21" spans="1:22">
      <c r="A21" s="119" t="s">
        <v>547</v>
      </c>
      <c r="B21" s="119" t="s">
        <v>4</v>
      </c>
      <c r="C21" s="120" t="s">
        <v>597</v>
      </c>
      <c r="D21" s="120">
        <v>2021</v>
      </c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>
        <f t="shared" si="1"/>
        <v>0</v>
      </c>
      <c r="P21" s="121"/>
      <c r="Q21" s="121"/>
      <c r="R21" s="121"/>
      <c r="T21" s="122">
        <v>4</v>
      </c>
      <c r="U21" s="123" t="s">
        <v>809</v>
      </c>
      <c r="V21" s="123" t="s">
        <v>810</v>
      </c>
    </row>
    <row r="22" spans="1:22">
      <c r="A22" s="119" t="s">
        <v>547</v>
      </c>
      <c r="B22" s="119" t="s">
        <v>4</v>
      </c>
      <c r="C22" s="120" t="s">
        <v>600</v>
      </c>
      <c r="D22" s="120">
        <v>2021</v>
      </c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>
        <f t="shared" si="1"/>
        <v>0</v>
      </c>
      <c r="P22" s="121"/>
      <c r="Q22" s="121"/>
      <c r="R22" s="121"/>
      <c r="T22" s="122">
        <v>5</v>
      </c>
      <c r="U22" s="123" t="s">
        <v>809</v>
      </c>
      <c r="V22" s="123" t="s">
        <v>810</v>
      </c>
    </row>
    <row r="23" spans="1:22">
      <c r="A23" s="119" t="s">
        <v>740</v>
      </c>
      <c r="B23" s="119" t="s">
        <v>5</v>
      </c>
      <c r="C23" s="120" t="s">
        <v>594</v>
      </c>
      <c r="D23" s="120">
        <v>2021</v>
      </c>
      <c r="E23" s="120"/>
      <c r="F23" s="121"/>
      <c r="G23" s="121"/>
      <c r="H23" s="121">
        <f>I23+J23</f>
        <v>5.9124999999999997E-2</v>
      </c>
      <c r="I23" s="121"/>
      <c r="J23" s="121">
        <f>1.075*0.055</f>
        <v>5.9124999999999997E-2</v>
      </c>
      <c r="K23" s="121"/>
      <c r="L23" s="121"/>
      <c r="M23" s="121"/>
      <c r="N23" s="121"/>
      <c r="O23" s="121">
        <f t="shared" si="1"/>
        <v>5.9124999999999997E-2</v>
      </c>
      <c r="P23" s="121">
        <f>1.075*0.055</f>
        <v>5.9124999999999997E-2</v>
      </c>
      <c r="Q23" s="121"/>
      <c r="R23" s="121"/>
      <c r="T23" s="122">
        <v>1</v>
      </c>
      <c r="U23" s="123" t="s">
        <v>811</v>
      </c>
      <c r="V23" s="123" t="s">
        <v>812</v>
      </c>
    </row>
    <row r="24" spans="1:22">
      <c r="A24" s="119" t="s">
        <v>740</v>
      </c>
      <c r="B24" s="119" t="s">
        <v>5</v>
      </c>
      <c r="C24" s="120" t="s">
        <v>595</v>
      </c>
      <c r="D24" s="120">
        <v>2021</v>
      </c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>
        <f t="shared" si="1"/>
        <v>0</v>
      </c>
      <c r="P24" s="121"/>
      <c r="Q24" s="121"/>
      <c r="R24" s="121"/>
      <c r="T24" s="122">
        <v>2</v>
      </c>
      <c r="U24" s="123" t="s">
        <v>811</v>
      </c>
      <c r="V24" s="123" t="s">
        <v>812</v>
      </c>
    </row>
    <row r="25" spans="1:22">
      <c r="A25" s="119" t="s">
        <v>740</v>
      </c>
      <c r="B25" s="119" t="s">
        <v>5</v>
      </c>
      <c r="C25" s="120" t="s">
        <v>596</v>
      </c>
      <c r="D25" s="120">
        <v>2021</v>
      </c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>
        <f t="shared" si="1"/>
        <v>0</v>
      </c>
      <c r="P25" s="121"/>
      <c r="Q25" s="121"/>
      <c r="R25" s="121"/>
      <c r="T25" s="122">
        <v>3</v>
      </c>
      <c r="U25" s="123" t="s">
        <v>811</v>
      </c>
      <c r="V25" s="123" t="s">
        <v>812</v>
      </c>
    </row>
    <row r="26" spans="1:22">
      <c r="A26" s="119" t="s">
        <v>740</v>
      </c>
      <c r="B26" s="119" t="s">
        <v>5</v>
      </c>
      <c r="C26" s="120" t="s">
        <v>597</v>
      </c>
      <c r="D26" s="120">
        <v>2021</v>
      </c>
      <c r="E26" s="120"/>
      <c r="F26" s="121"/>
      <c r="G26" s="121"/>
      <c r="H26" s="121"/>
      <c r="I26" s="121"/>
      <c r="J26" s="121"/>
      <c r="K26" s="121"/>
      <c r="L26" s="121"/>
      <c r="M26" s="121"/>
      <c r="N26" s="121"/>
      <c r="O26" s="121">
        <f t="shared" si="1"/>
        <v>0</v>
      </c>
      <c r="P26" s="121"/>
      <c r="Q26" s="121"/>
      <c r="R26" s="121"/>
      <c r="T26" s="122">
        <v>4</v>
      </c>
      <c r="U26" s="123" t="s">
        <v>811</v>
      </c>
      <c r="V26" s="123" t="s">
        <v>812</v>
      </c>
    </row>
    <row r="27" spans="1:22">
      <c r="A27" s="119" t="s">
        <v>740</v>
      </c>
      <c r="B27" s="119" t="s">
        <v>5</v>
      </c>
      <c r="C27" s="120" t="s">
        <v>600</v>
      </c>
      <c r="D27" s="120">
        <v>2021</v>
      </c>
      <c r="E27" s="120"/>
      <c r="F27" s="121"/>
      <c r="G27" s="121"/>
      <c r="H27" s="121"/>
      <c r="I27" s="121"/>
      <c r="J27" s="121"/>
      <c r="K27" s="121"/>
      <c r="L27" s="121"/>
      <c r="M27" s="121"/>
      <c r="N27" s="121"/>
      <c r="O27" s="121">
        <f t="shared" si="1"/>
        <v>0</v>
      </c>
      <c r="P27" s="121"/>
      <c r="Q27" s="121"/>
      <c r="R27" s="121"/>
      <c r="T27" s="122">
        <v>5</v>
      </c>
      <c r="U27" s="123" t="s">
        <v>811</v>
      </c>
      <c r="V27" s="123" t="s">
        <v>812</v>
      </c>
    </row>
    <row r="28" spans="1:22">
      <c r="A28" s="119" t="s">
        <v>741</v>
      </c>
      <c r="B28" s="119" t="s">
        <v>6</v>
      </c>
      <c r="C28" s="120" t="s">
        <v>594</v>
      </c>
      <c r="D28" s="120">
        <v>2021</v>
      </c>
      <c r="E28" s="126">
        <f>0.95*0.055</f>
        <v>5.2249999999999998E-2</v>
      </c>
      <c r="F28" s="121">
        <f>14.4*0.055</f>
        <v>0.79200000000000004</v>
      </c>
      <c r="G28" s="121"/>
      <c r="H28" s="121">
        <f t="shared" ref="H28:H35" si="2">I28+J28</f>
        <v>82.509349999999998</v>
      </c>
      <c r="I28" s="121">
        <f>95*0.055</f>
        <v>5.2249999999999996</v>
      </c>
      <c r="J28" s="121">
        <f>1405.17*0.055</f>
        <v>77.284350000000003</v>
      </c>
      <c r="K28" s="121"/>
      <c r="L28" s="121"/>
      <c r="M28" s="121"/>
      <c r="N28" s="121"/>
      <c r="O28" s="121">
        <f>E28+F28+H28+K28+G28</f>
        <v>83.3536</v>
      </c>
      <c r="P28" s="121">
        <f>431.552*0.055</f>
        <v>23.73536</v>
      </c>
      <c r="Q28" s="121"/>
      <c r="R28" s="121">
        <f>1028.17*0.055</f>
        <v>56.549350000000004</v>
      </c>
      <c r="S28" s="127"/>
      <c r="T28" s="122">
        <v>1</v>
      </c>
      <c r="U28" s="123" t="s">
        <v>811</v>
      </c>
      <c r="V28" s="123" t="s">
        <v>813</v>
      </c>
    </row>
    <row r="29" spans="1:22">
      <c r="A29" s="119" t="s">
        <v>741</v>
      </c>
      <c r="B29" s="119" t="s">
        <v>6</v>
      </c>
      <c r="C29" s="120" t="s">
        <v>595</v>
      </c>
      <c r="D29" s="120">
        <v>2021</v>
      </c>
      <c r="E29" s="126">
        <f>22.93*0.11</f>
        <v>2.5223</v>
      </c>
      <c r="F29" s="121">
        <f>437.01*0.11</f>
        <v>48.071100000000001</v>
      </c>
      <c r="G29" s="121"/>
      <c r="H29" s="121">
        <f t="shared" si="2"/>
        <v>10.9505</v>
      </c>
      <c r="I29" s="121"/>
      <c r="J29" s="121">
        <f>99.55*0.11</f>
        <v>10.9505</v>
      </c>
      <c r="K29" s="121"/>
      <c r="L29" s="121"/>
      <c r="M29" s="121"/>
      <c r="N29" s="121"/>
      <c r="O29" s="121">
        <f t="shared" ref="O29:O34" si="3">E29+F29+H29+K29+G29</f>
        <v>61.543900000000001</v>
      </c>
      <c r="P29" s="121">
        <f>740.2*0.11</f>
        <v>81.422000000000011</v>
      </c>
      <c r="Q29" s="121"/>
      <c r="R29" s="121"/>
      <c r="S29" s="127"/>
      <c r="T29" s="122">
        <v>2</v>
      </c>
      <c r="U29" s="123" t="s">
        <v>811</v>
      </c>
      <c r="V29" s="123" t="s">
        <v>813</v>
      </c>
    </row>
    <row r="30" spans="1:22">
      <c r="A30" s="119" t="s">
        <v>741</v>
      </c>
      <c r="B30" s="119" t="s">
        <v>6</v>
      </c>
      <c r="C30" s="125" t="s">
        <v>700</v>
      </c>
      <c r="D30" s="120">
        <v>2021</v>
      </c>
      <c r="E30" s="126"/>
      <c r="F30" s="121">
        <f>200.02*0.11</f>
        <v>22.002200000000002</v>
      </c>
      <c r="G30" s="121"/>
      <c r="H30" s="121"/>
      <c r="I30" s="121"/>
      <c r="J30" s="121"/>
      <c r="K30" s="121"/>
      <c r="L30" s="121"/>
      <c r="M30" s="121"/>
      <c r="N30" s="121"/>
      <c r="O30" s="121">
        <f t="shared" si="3"/>
        <v>22.002200000000002</v>
      </c>
      <c r="P30" s="121">
        <f>67.16*0.11</f>
        <v>7.3875999999999999</v>
      </c>
      <c r="Q30" s="121">
        <f>19.01*0.11</f>
        <v>2.0911000000000004</v>
      </c>
      <c r="R30" s="121"/>
      <c r="S30" s="127"/>
      <c r="U30" s="123" t="s">
        <v>811</v>
      </c>
      <c r="V30" s="123" t="s">
        <v>813</v>
      </c>
    </row>
    <row r="31" spans="1:22">
      <c r="A31" s="119" t="s">
        <v>741</v>
      </c>
      <c r="B31" s="119" t="s">
        <v>6</v>
      </c>
      <c r="C31" s="120" t="s">
        <v>596</v>
      </c>
      <c r="D31" s="120">
        <v>2021</v>
      </c>
      <c r="E31" s="126"/>
      <c r="F31" s="121"/>
      <c r="G31" s="121"/>
      <c r="H31" s="121">
        <f t="shared" si="2"/>
        <v>0.38740000000000002</v>
      </c>
      <c r="I31" s="121"/>
      <c r="J31" s="121">
        <f>5.96*0.065</f>
        <v>0.38740000000000002</v>
      </c>
      <c r="K31" s="121"/>
      <c r="L31" s="121"/>
      <c r="M31" s="121"/>
      <c r="N31" s="121"/>
      <c r="O31" s="121">
        <f t="shared" si="3"/>
        <v>0.38740000000000002</v>
      </c>
      <c r="P31" s="121">
        <f>15.09*0.065</f>
        <v>0.98085</v>
      </c>
      <c r="Q31" s="121"/>
      <c r="R31" s="121"/>
      <c r="S31" s="127"/>
      <c r="T31" s="122">
        <v>3</v>
      </c>
      <c r="U31" s="123" t="s">
        <v>811</v>
      </c>
      <c r="V31" s="123" t="s">
        <v>813</v>
      </c>
    </row>
    <row r="32" spans="1:22">
      <c r="A32" s="119" t="s">
        <v>741</v>
      </c>
      <c r="B32" s="119" t="s">
        <v>6</v>
      </c>
      <c r="C32" s="120" t="s">
        <v>597</v>
      </c>
      <c r="D32" s="120">
        <v>2021</v>
      </c>
      <c r="E32" s="120"/>
      <c r="F32" s="121"/>
      <c r="G32" s="121">
        <f>59.94*0.02</f>
        <v>1.1988000000000001</v>
      </c>
      <c r="H32" s="121">
        <f t="shared" si="2"/>
        <v>0.19239999999999999</v>
      </c>
      <c r="I32" s="121"/>
      <c r="J32" s="121">
        <f>9.62*0.02</f>
        <v>0.19239999999999999</v>
      </c>
      <c r="K32" s="121"/>
      <c r="L32" s="121"/>
      <c r="M32" s="121"/>
      <c r="N32" s="121"/>
      <c r="O32" s="121">
        <f t="shared" si="3"/>
        <v>1.3912</v>
      </c>
      <c r="P32" s="121">
        <f>79.73*0.02</f>
        <v>1.5946</v>
      </c>
      <c r="Q32" s="121">
        <f>2.72*0.02</f>
        <v>5.4400000000000004E-2</v>
      </c>
      <c r="R32" s="121"/>
      <c r="S32" s="127"/>
      <c r="T32" s="122">
        <v>4</v>
      </c>
      <c r="U32" s="123" t="s">
        <v>811</v>
      </c>
      <c r="V32" s="123" t="s">
        <v>813</v>
      </c>
    </row>
    <row r="33" spans="1:22">
      <c r="A33" s="119" t="s">
        <v>741</v>
      </c>
      <c r="B33" s="119" t="s">
        <v>6</v>
      </c>
      <c r="C33" s="120" t="s">
        <v>600</v>
      </c>
      <c r="D33" s="120">
        <v>2021</v>
      </c>
      <c r="E33" s="120"/>
      <c r="F33" s="121"/>
      <c r="G33" s="121"/>
      <c r="H33" s="121">
        <f>I33+J33</f>
        <v>2.1999999999999998E-4</v>
      </c>
      <c r="I33" s="121"/>
      <c r="J33" s="121">
        <f>0.01*0.022</f>
        <v>2.1999999999999998E-4</v>
      </c>
      <c r="K33" s="121"/>
      <c r="L33" s="121"/>
      <c r="M33" s="121"/>
      <c r="N33" s="121"/>
      <c r="O33" s="121">
        <f t="shared" si="3"/>
        <v>2.1999999999999998E-4</v>
      </c>
      <c r="P33" s="121"/>
      <c r="Q33" s="121"/>
      <c r="R33" s="121"/>
      <c r="S33" s="127"/>
      <c r="T33" s="122">
        <v>5</v>
      </c>
      <c r="U33" s="123" t="s">
        <v>811</v>
      </c>
      <c r="V33" s="123" t="s">
        <v>813</v>
      </c>
    </row>
    <row r="34" spans="1:22">
      <c r="A34" s="119" t="s">
        <v>741</v>
      </c>
      <c r="B34" s="119" t="s">
        <v>6</v>
      </c>
      <c r="C34" s="125" t="s">
        <v>246</v>
      </c>
      <c r="D34" s="120">
        <v>2021</v>
      </c>
      <c r="E34" s="120"/>
      <c r="F34" s="121"/>
      <c r="G34" s="121"/>
      <c r="H34" s="121"/>
      <c r="I34" s="121"/>
      <c r="J34" s="121"/>
      <c r="K34" s="121"/>
      <c r="L34" s="121"/>
      <c r="M34" s="121"/>
      <c r="N34" s="121"/>
      <c r="O34" s="121">
        <f t="shared" si="3"/>
        <v>0</v>
      </c>
      <c r="P34" s="121"/>
      <c r="Q34" s="121"/>
      <c r="R34" s="121"/>
      <c r="S34" s="127"/>
      <c r="U34" s="123" t="s">
        <v>811</v>
      </c>
      <c r="V34" s="123" t="s">
        <v>813</v>
      </c>
    </row>
    <row r="35" spans="1:22">
      <c r="A35" s="119" t="s">
        <v>768</v>
      </c>
      <c r="B35" s="119" t="s">
        <v>7</v>
      </c>
      <c r="C35" s="120" t="s">
        <v>594</v>
      </c>
      <c r="D35" s="120">
        <v>2021</v>
      </c>
      <c r="E35" s="120"/>
      <c r="F35" s="121"/>
      <c r="G35" s="121"/>
      <c r="H35" s="121">
        <f t="shared" si="2"/>
        <v>0.56099999999999994</v>
      </c>
      <c r="I35" s="121"/>
      <c r="J35" s="121">
        <f>10.2*0.055</f>
        <v>0.56099999999999994</v>
      </c>
      <c r="K35" s="121"/>
      <c r="L35" s="121"/>
      <c r="M35" s="121"/>
      <c r="N35" s="121"/>
      <c r="O35" s="121">
        <f>F35+H35+E35</f>
        <v>0.56099999999999994</v>
      </c>
      <c r="P35" s="121">
        <f>10.2*0.055</f>
        <v>0.56099999999999994</v>
      </c>
      <c r="Q35" s="121"/>
      <c r="R35" s="121"/>
      <c r="S35" s="127"/>
      <c r="T35" s="122">
        <v>1</v>
      </c>
      <c r="U35" s="123" t="s">
        <v>808</v>
      </c>
      <c r="V35" s="123" t="s">
        <v>808</v>
      </c>
    </row>
    <row r="36" spans="1:22">
      <c r="A36" s="119" t="s">
        <v>768</v>
      </c>
      <c r="B36" s="119" t="s">
        <v>7</v>
      </c>
      <c r="C36" s="120" t="s">
        <v>595</v>
      </c>
      <c r="D36" s="120">
        <v>2021</v>
      </c>
      <c r="E36" s="120"/>
      <c r="F36" s="121"/>
      <c r="G36" s="121"/>
      <c r="H36" s="121"/>
      <c r="I36" s="121"/>
      <c r="J36" s="121"/>
      <c r="K36" s="121"/>
      <c r="L36" s="121"/>
      <c r="M36" s="121"/>
      <c r="N36" s="121"/>
      <c r="O36" s="121">
        <f>F36+H36</f>
        <v>0</v>
      </c>
      <c r="P36" s="121"/>
      <c r="Q36" s="121"/>
      <c r="R36" s="121"/>
      <c r="S36" s="127"/>
      <c r="T36" s="122">
        <v>2</v>
      </c>
      <c r="U36" s="123" t="s">
        <v>808</v>
      </c>
      <c r="V36" s="123" t="s">
        <v>808</v>
      </c>
    </row>
    <row r="37" spans="1:22">
      <c r="A37" s="119" t="s">
        <v>768</v>
      </c>
      <c r="B37" s="119" t="s">
        <v>7</v>
      </c>
      <c r="C37" s="125" t="s">
        <v>700</v>
      </c>
      <c r="D37" s="120">
        <v>2021</v>
      </c>
      <c r="E37" s="120"/>
      <c r="F37" s="121"/>
      <c r="G37" s="121"/>
      <c r="H37" s="121"/>
      <c r="I37" s="121"/>
      <c r="J37" s="121"/>
      <c r="K37" s="121"/>
      <c r="L37" s="121"/>
      <c r="M37" s="121"/>
      <c r="N37" s="121"/>
      <c r="O37" s="121">
        <f>F37+H37</f>
        <v>0</v>
      </c>
      <c r="P37" s="121"/>
      <c r="Q37" s="121"/>
      <c r="R37" s="121"/>
      <c r="S37" s="127"/>
      <c r="U37" s="123" t="s">
        <v>808</v>
      </c>
      <c r="V37" s="123" t="s">
        <v>808</v>
      </c>
    </row>
    <row r="38" spans="1:22">
      <c r="A38" s="119" t="s">
        <v>768</v>
      </c>
      <c r="B38" s="119" t="s">
        <v>7</v>
      </c>
      <c r="C38" s="120" t="s">
        <v>596</v>
      </c>
      <c r="D38" s="120">
        <v>2021</v>
      </c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>
        <f>F38+H38</f>
        <v>0</v>
      </c>
      <c r="P38" s="121"/>
      <c r="Q38" s="121"/>
      <c r="R38" s="121"/>
      <c r="S38" s="127"/>
      <c r="T38" s="122">
        <v>3</v>
      </c>
      <c r="U38" s="123" t="s">
        <v>808</v>
      </c>
      <c r="V38" s="123" t="s">
        <v>808</v>
      </c>
    </row>
    <row r="39" spans="1:22">
      <c r="A39" s="119" t="s">
        <v>768</v>
      </c>
      <c r="B39" s="119" t="s">
        <v>7</v>
      </c>
      <c r="C39" s="120" t="s">
        <v>597</v>
      </c>
      <c r="D39" s="120">
        <v>2021</v>
      </c>
      <c r="E39" s="120"/>
      <c r="F39" s="121"/>
      <c r="G39" s="121"/>
      <c r="H39" s="121"/>
      <c r="I39" s="121"/>
      <c r="J39" s="121"/>
      <c r="K39" s="121"/>
      <c r="L39" s="121"/>
      <c r="M39" s="121"/>
      <c r="N39" s="121"/>
      <c r="O39" s="121">
        <f>F39+H39+G39</f>
        <v>0</v>
      </c>
      <c r="P39" s="121"/>
      <c r="Q39" s="121"/>
      <c r="R39" s="121"/>
      <c r="S39" s="127"/>
      <c r="T39" s="122">
        <v>4</v>
      </c>
      <c r="U39" s="123" t="s">
        <v>808</v>
      </c>
      <c r="V39" s="123" t="s">
        <v>808</v>
      </c>
    </row>
    <row r="40" spans="1:22">
      <c r="A40" s="119" t="s">
        <v>768</v>
      </c>
      <c r="B40" s="119" t="s">
        <v>7</v>
      </c>
      <c r="C40" s="120" t="s">
        <v>600</v>
      </c>
      <c r="D40" s="120">
        <v>2021</v>
      </c>
      <c r="E40" s="120"/>
      <c r="F40" s="121"/>
      <c r="G40" s="121"/>
      <c r="H40" s="121"/>
      <c r="I40" s="121"/>
      <c r="J40" s="121"/>
      <c r="K40" s="121"/>
      <c r="L40" s="121"/>
      <c r="M40" s="121"/>
      <c r="N40" s="121"/>
      <c r="O40" s="121">
        <f t="shared" ref="O40:O72" si="4">F40+H40</f>
        <v>0</v>
      </c>
      <c r="P40" s="121"/>
      <c r="Q40" s="121"/>
      <c r="R40" s="121"/>
      <c r="S40" s="127"/>
      <c r="T40" s="122">
        <v>5</v>
      </c>
      <c r="U40" s="123" t="s">
        <v>808</v>
      </c>
      <c r="V40" s="123" t="s">
        <v>808</v>
      </c>
    </row>
    <row r="41" spans="1:22">
      <c r="A41" s="119" t="s">
        <v>542</v>
      </c>
      <c r="B41" s="119" t="s">
        <v>8</v>
      </c>
      <c r="C41" s="120" t="s">
        <v>594</v>
      </c>
      <c r="D41" s="120">
        <v>2021</v>
      </c>
      <c r="E41" s="120"/>
      <c r="F41" s="121"/>
      <c r="G41" s="121"/>
      <c r="H41" s="121">
        <f>I41+J41</f>
        <v>2.101</v>
      </c>
      <c r="I41" s="121"/>
      <c r="J41" s="121">
        <f>38.2*0.055</f>
        <v>2.101</v>
      </c>
      <c r="K41" s="121"/>
      <c r="L41" s="121"/>
      <c r="M41" s="121"/>
      <c r="N41" s="121"/>
      <c r="O41" s="121">
        <f t="shared" si="4"/>
        <v>2.101</v>
      </c>
      <c r="P41" s="121">
        <f>38.2*0.055</f>
        <v>2.101</v>
      </c>
      <c r="Q41" s="121"/>
      <c r="R41" s="121"/>
      <c r="T41" s="122">
        <v>1</v>
      </c>
      <c r="U41" s="123" t="s">
        <v>811</v>
      </c>
      <c r="V41" s="123" t="s">
        <v>812</v>
      </c>
    </row>
    <row r="42" spans="1:22">
      <c r="A42" s="119" t="s">
        <v>542</v>
      </c>
      <c r="B42" s="119" t="s">
        <v>8</v>
      </c>
      <c r="C42" s="120" t="s">
        <v>595</v>
      </c>
      <c r="D42" s="120">
        <v>2021</v>
      </c>
      <c r="E42" s="120"/>
      <c r="F42" s="121"/>
      <c r="G42" s="121"/>
      <c r="H42" s="121"/>
      <c r="I42" s="121"/>
      <c r="J42" s="121"/>
      <c r="K42" s="121"/>
      <c r="L42" s="121"/>
      <c r="M42" s="121"/>
      <c r="N42" s="121"/>
      <c r="O42" s="121">
        <f t="shared" si="4"/>
        <v>0</v>
      </c>
      <c r="P42" s="121"/>
      <c r="Q42" s="121"/>
      <c r="R42" s="121"/>
      <c r="T42" s="122">
        <v>2</v>
      </c>
      <c r="U42" s="123" t="s">
        <v>811</v>
      </c>
      <c r="V42" s="123" t="s">
        <v>812</v>
      </c>
    </row>
    <row r="43" spans="1:22">
      <c r="A43" s="119" t="s">
        <v>542</v>
      </c>
      <c r="B43" s="119" t="s">
        <v>8</v>
      </c>
      <c r="C43" s="120" t="s">
        <v>596</v>
      </c>
      <c r="D43" s="120">
        <v>2021</v>
      </c>
      <c r="E43" s="120"/>
      <c r="F43" s="121"/>
      <c r="G43" s="121"/>
      <c r="H43" s="121"/>
      <c r="I43" s="121"/>
      <c r="J43" s="121"/>
      <c r="K43" s="121"/>
      <c r="L43" s="121"/>
      <c r="M43" s="121"/>
      <c r="N43" s="121"/>
      <c r="O43" s="121">
        <f t="shared" si="4"/>
        <v>0</v>
      </c>
      <c r="P43" s="121"/>
      <c r="Q43" s="121"/>
      <c r="R43" s="121"/>
      <c r="T43" s="122">
        <v>3</v>
      </c>
      <c r="U43" s="123" t="s">
        <v>811</v>
      </c>
      <c r="V43" s="123" t="s">
        <v>812</v>
      </c>
    </row>
    <row r="44" spans="1:22">
      <c r="A44" s="119" t="s">
        <v>542</v>
      </c>
      <c r="B44" s="119" t="s">
        <v>8</v>
      </c>
      <c r="C44" s="120" t="s">
        <v>597</v>
      </c>
      <c r="D44" s="120">
        <v>2021</v>
      </c>
      <c r="E44" s="120"/>
      <c r="F44" s="121"/>
      <c r="G44" s="121"/>
      <c r="H44" s="121"/>
      <c r="I44" s="121"/>
      <c r="J44" s="121"/>
      <c r="K44" s="121"/>
      <c r="L44" s="121"/>
      <c r="M44" s="121"/>
      <c r="N44" s="121"/>
      <c r="O44" s="121">
        <f t="shared" si="4"/>
        <v>0</v>
      </c>
      <c r="P44" s="121"/>
      <c r="Q44" s="121"/>
      <c r="R44" s="121"/>
      <c r="T44" s="122">
        <v>4</v>
      </c>
      <c r="U44" s="123" t="s">
        <v>811</v>
      </c>
      <c r="V44" s="123" t="s">
        <v>812</v>
      </c>
    </row>
    <row r="45" spans="1:22">
      <c r="A45" s="119" t="s">
        <v>542</v>
      </c>
      <c r="B45" s="119" t="s">
        <v>8</v>
      </c>
      <c r="C45" s="120" t="s">
        <v>600</v>
      </c>
      <c r="D45" s="120">
        <v>2021</v>
      </c>
      <c r="E45" s="120"/>
      <c r="F45" s="121"/>
      <c r="G45" s="121"/>
      <c r="H45" s="121"/>
      <c r="I45" s="121"/>
      <c r="J45" s="121"/>
      <c r="K45" s="121"/>
      <c r="L45" s="121"/>
      <c r="M45" s="121"/>
      <c r="N45" s="121"/>
      <c r="O45" s="121">
        <f t="shared" si="4"/>
        <v>0</v>
      </c>
      <c r="P45" s="121"/>
      <c r="Q45" s="121"/>
      <c r="R45" s="121"/>
      <c r="T45" s="122">
        <v>5</v>
      </c>
      <c r="U45" s="123" t="s">
        <v>811</v>
      </c>
      <c r="V45" s="123" t="s">
        <v>812</v>
      </c>
    </row>
    <row r="46" spans="1:22">
      <c r="A46" s="119" t="s">
        <v>537</v>
      </c>
      <c r="B46" s="119" t="s">
        <v>9</v>
      </c>
      <c r="C46" s="120" t="s">
        <v>594</v>
      </c>
      <c r="D46" s="120">
        <v>2021</v>
      </c>
      <c r="E46" s="120"/>
      <c r="F46" s="121"/>
      <c r="G46" s="121"/>
      <c r="H46" s="121">
        <f>I46+J46</f>
        <v>24.606119999999997</v>
      </c>
      <c r="I46" s="121">
        <f>212*0.055</f>
        <v>11.66</v>
      </c>
      <c r="J46" s="121">
        <f>235.384*0.055</f>
        <v>12.946119999999999</v>
      </c>
      <c r="K46" s="121"/>
      <c r="L46" s="121"/>
      <c r="M46" s="121"/>
      <c r="N46" s="121"/>
      <c r="O46" s="121">
        <f t="shared" si="4"/>
        <v>24.606119999999997</v>
      </c>
      <c r="P46" s="121">
        <f>447.384*0.055</f>
        <v>24.606120000000001</v>
      </c>
      <c r="Q46" s="121"/>
      <c r="R46" s="121"/>
      <c r="T46" s="122">
        <v>1</v>
      </c>
      <c r="U46" s="123" t="s">
        <v>806</v>
      </c>
      <c r="V46" s="123" t="s">
        <v>814</v>
      </c>
    </row>
    <row r="47" spans="1:22">
      <c r="A47" s="119" t="s">
        <v>537</v>
      </c>
      <c r="B47" s="119" t="s">
        <v>9</v>
      </c>
      <c r="C47" s="120" t="s">
        <v>595</v>
      </c>
      <c r="D47" s="120">
        <v>2021</v>
      </c>
      <c r="E47" s="120"/>
      <c r="F47" s="121"/>
      <c r="G47" s="121"/>
      <c r="H47" s="121"/>
      <c r="I47" s="121"/>
      <c r="J47" s="121"/>
      <c r="K47" s="121"/>
      <c r="L47" s="121"/>
      <c r="M47" s="121"/>
      <c r="N47" s="121"/>
      <c r="O47" s="121">
        <f t="shared" si="4"/>
        <v>0</v>
      </c>
      <c r="P47" s="121"/>
      <c r="Q47" s="121"/>
      <c r="R47" s="121"/>
      <c r="T47" s="122">
        <v>2</v>
      </c>
      <c r="U47" s="123" t="s">
        <v>806</v>
      </c>
      <c r="V47" s="123" t="s">
        <v>814</v>
      </c>
    </row>
    <row r="48" spans="1:22">
      <c r="A48" s="119" t="s">
        <v>537</v>
      </c>
      <c r="B48" s="119" t="s">
        <v>9</v>
      </c>
      <c r="C48" s="125" t="s">
        <v>700</v>
      </c>
      <c r="D48" s="120">
        <v>2021</v>
      </c>
      <c r="E48" s="120"/>
      <c r="F48" s="121">
        <f>115.184*0.11</f>
        <v>12.67024</v>
      </c>
      <c r="G48" s="121"/>
      <c r="H48" s="121"/>
      <c r="I48" s="121"/>
      <c r="J48" s="121"/>
      <c r="K48" s="121"/>
      <c r="L48" s="121"/>
      <c r="M48" s="121"/>
      <c r="N48" s="121"/>
      <c r="O48" s="121">
        <f t="shared" si="4"/>
        <v>12.67024</v>
      </c>
      <c r="P48" s="121"/>
      <c r="Q48" s="121"/>
      <c r="R48" s="121"/>
      <c r="U48" s="123" t="s">
        <v>806</v>
      </c>
      <c r="V48" s="123" t="s">
        <v>814</v>
      </c>
    </row>
    <row r="49" spans="1:22">
      <c r="A49" s="119" t="s">
        <v>537</v>
      </c>
      <c r="B49" s="119" t="s">
        <v>9</v>
      </c>
      <c r="C49" s="120" t="s">
        <v>596</v>
      </c>
      <c r="D49" s="120">
        <v>2021</v>
      </c>
      <c r="E49" s="120"/>
      <c r="F49" s="121"/>
      <c r="G49" s="121"/>
      <c r="H49" s="121"/>
      <c r="I49" s="121"/>
      <c r="J49" s="121"/>
      <c r="K49" s="121"/>
      <c r="L49" s="121"/>
      <c r="M49" s="121"/>
      <c r="N49" s="121"/>
      <c r="O49" s="121">
        <f t="shared" si="4"/>
        <v>0</v>
      </c>
      <c r="P49" s="121"/>
      <c r="Q49" s="121"/>
      <c r="R49" s="121"/>
      <c r="T49" s="122">
        <v>3</v>
      </c>
      <c r="U49" s="123" t="s">
        <v>806</v>
      </c>
      <c r="V49" s="123" t="s">
        <v>814</v>
      </c>
    </row>
    <row r="50" spans="1:22">
      <c r="A50" s="119" t="s">
        <v>537</v>
      </c>
      <c r="B50" s="119" t="s">
        <v>9</v>
      </c>
      <c r="C50" s="120" t="s">
        <v>597</v>
      </c>
      <c r="D50" s="120">
        <v>2021</v>
      </c>
      <c r="E50" s="120"/>
      <c r="F50" s="121"/>
      <c r="G50" s="121"/>
      <c r="H50" s="121"/>
      <c r="I50" s="121"/>
      <c r="J50" s="121"/>
      <c r="K50" s="121"/>
      <c r="L50" s="121"/>
      <c r="M50" s="121"/>
      <c r="N50" s="121"/>
      <c r="O50" s="121">
        <f t="shared" si="4"/>
        <v>0</v>
      </c>
      <c r="P50" s="121"/>
      <c r="Q50" s="121"/>
      <c r="R50" s="121"/>
      <c r="T50" s="122">
        <v>4</v>
      </c>
      <c r="U50" s="123" t="s">
        <v>806</v>
      </c>
      <c r="V50" s="123" t="s">
        <v>814</v>
      </c>
    </row>
    <row r="51" spans="1:22">
      <c r="A51" s="119" t="s">
        <v>537</v>
      </c>
      <c r="B51" s="119" t="s">
        <v>9</v>
      </c>
      <c r="C51" s="120" t="s">
        <v>600</v>
      </c>
      <c r="D51" s="120">
        <v>2021</v>
      </c>
      <c r="E51" s="120"/>
      <c r="F51" s="121"/>
      <c r="G51" s="121"/>
      <c r="H51" s="121"/>
      <c r="I51" s="121"/>
      <c r="J51" s="121"/>
      <c r="K51" s="121"/>
      <c r="L51" s="121"/>
      <c r="M51" s="121"/>
      <c r="N51" s="121"/>
      <c r="O51" s="121">
        <f t="shared" si="4"/>
        <v>0</v>
      </c>
      <c r="P51" s="121"/>
      <c r="Q51" s="121"/>
      <c r="R51" s="121"/>
      <c r="T51" s="122">
        <v>5</v>
      </c>
      <c r="U51" s="123" t="s">
        <v>806</v>
      </c>
      <c r="V51" s="123" t="s">
        <v>814</v>
      </c>
    </row>
    <row r="52" spans="1:22">
      <c r="A52" s="119" t="s">
        <v>541</v>
      </c>
      <c r="B52" s="119" t="s">
        <v>10</v>
      </c>
      <c r="C52" s="120" t="s">
        <v>594</v>
      </c>
      <c r="D52" s="120">
        <v>2021</v>
      </c>
      <c r="E52" s="120"/>
      <c r="F52" s="121"/>
      <c r="G52" s="121"/>
      <c r="H52" s="121">
        <f>I52+J52</f>
        <v>44.164999999999999</v>
      </c>
      <c r="I52" s="121">
        <f>280*0.055</f>
        <v>15.4</v>
      </c>
      <c r="J52" s="121">
        <f>523*0.055</f>
        <v>28.765000000000001</v>
      </c>
      <c r="K52" s="121"/>
      <c r="L52" s="121"/>
      <c r="M52" s="121"/>
      <c r="N52" s="121"/>
      <c r="O52" s="121">
        <f t="shared" si="4"/>
        <v>44.164999999999999</v>
      </c>
      <c r="P52" s="121">
        <f>852.72*0.055</f>
        <v>46.8996</v>
      </c>
      <c r="Q52" s="121"/>
      <c r="R52" s="121"/>
      <c r="T52" s="122">
        <v>1</v>
      </c>
      <c r="U52" s="123" t="s">
        <v>806</v>
      </c>
      <c r="V52" s="123" t="s">
        <v>807</v>
      </c>
    </row>
    <row r="53" spans="1:22">
      <c r="A53" s="119" t="s">
        <v>541</v>
      </c>
      <c r="B53" s="119" t="s">
        <v>10</v>
      </c>
      <c r="C53" s="120" t="s">
        <v>595</v>
      </c>
      <c r="D53" s="120">
        <v>2021</v>
      </c>
      <c r="E53" s="120"/>
      <c r="F53" s="121"/>
      <c r="G53" s="121"/>
      <c r="H53" s="121"/>
      <c r="I53" s="121"/>
      <c r="J53" s="121"/>
      <c r="K53" s="121"/>
      <c r="L53" s="121"/>
      <c r="M53" s="121"/>
      <c r="N53" s="121"/>
      <c r="O53" s="121">
        <f>F53+H53</f>
        <v>0</v>
      </c>
      <c r="P53" s="121"/>
      <c r="Q53" s="121"/>
      <c r="R53" s="121"/>
      <c r="T53" s="122">
        <v>2</v>
      </c>
      <c r="U53" s="123" t="s">
        <v>806</v>
      </c>
      <c r="V53" s="123" t="s">
        <v>807</v>
      </c>
    </row>
    <row r="54" spans="1:22">
      <c r="A54" s="119" t="s">
        <v>541</v>
      </c>
      <c r="B54" s="119" t="s">
        <v>10</v>
      </c>
      <c r="C54" s="125" t="s">
        <v>700</v>
      </c>
      <c r="D54" s="120">
        <v>2021</v>
      </c>
      <c r="E54" s="120"/>
      <c r="F54" s="121">
        <f>440*0.11</f>
        <v>48.4</v>
      </c>
      <c r="G54" s="121"/>
      <c r="H54" s="121"/>
      <c r="I54" s="121"/>
      <c r="J54" s="121"/>
      <c r="K54" s="121"/>
      <c r="L54" s="121"/>
      <c r="M54" s="121"/>
      <c r="N54" s="121"/>
      <c r="O54" s="121">
        <f>F54+H54</f>
        <v>48.4</v>
      </c>
      <c r="P54" s="121">
        <f>440*0.11</f>
        <v>48.4</v>
      </c>
      <c r="Q54" s="121"/>
      <c r="R54" s="121"/>
      <c r="U54" s="123" t="s">
        <v>806</v>
      </c>
      <c r="V54" s="123" t="s">
        <v>807</v>
      </c>
    </row>
    <row r="55" spans="1:22">
      <c r="A55" s="119" t="s">
        <v>541</v>
      </c>
      <c r="B55" s="119" t="s">
        <v>10</v>
      </c>
      <c r="C55" s="120" t="s">
        <v>596</v>
      </c>
      <c r="D55" s="120">
        <v>2021</v>
      </c>
      <c r="E55" s="120"/>
      <c r="F55" s="121"/>
      <c r="G55" s="121"/>
      <c r="H55" s="121"/>
      <c r="I55" s="121"/>
      <c r="J55" s="121"/>
      <c r="K55" s="121"/>
      <c r="L55" s="121"/>
      <c r="M55" s="121"/>
      <c r="N55" s="121"/>
      <c r="O55" s="121">
        <f>F55+H55</f>
        <v>0</v>
      </c>
      <c r="P55" s="121"/>
      <c r="Q55" s="121"/>
      <c r="R55" s="121"/>
      <c r="T55" s="122">
        <v>3</v>
      </c>
      <c r="U55" s="123" t="s">
        <v>806</v>
      </c>
      <c r="V55" s="123" t="s">
        <v>807</v>
      </c>
    </row>
    <row r="56" spans="1:22">
      <c r="A56" s="119" t="s">
        <v>541</v>
      </c>
      <c r="B56" s="119" t="s">
        <v>10</v>
      </c>
      <c r="C56" s="120" t="s">
        <v>597</v>
      </c>
      <c r="D56" s="120">
        <v>2021</v>
      </c>
      <c r="E56" s="120"/>
      <c r="F56" s="121"/>
      <c r="G56" s="121"/>
      <c r="H56" s="121">
        <f>I56+J56</f>
        <v>0.04</v>
      </c>
      <c r="I56" s="121"/>
      <c r="J56" s="121">
        <f>2*0.02</f>
        <v>0.04</v>
      </c>
      <c r="K56" s="121"/>
      <c r="L56" s="121"/>
      <c r="M56" s="121"/>
      <c r="N56" s="121"/>
      <c r="O56" s="121">
        <f>F56+H56+G56</f>
        <v>0.04</v>
      </c>
      <c r="P56" s="121">
        <f>2*0.02</f>
        <v>0.04</v>
      </c>
      <c r="Q56" s="121"/>
      <c r="R56" s="121"/>
      <c r="T56" s="122">
        <v>4</v>
      </c>
      <c r="U56" s="123" t="s">
        <v>806</v>
      </c>
      <c r="V56" s="123" t="s">
        <v>807</v>
      </c>
    </row>
    <row r="57" spans="1:22">
      <c r="A57" s="119" t="s">
        <v>541</v>
      </c>
      <c r="B57" s="119" t="s">
        <v>10</v>
      </c>
      <c r="C57" s="120" t="s">
        <v>600</v>
      </c>
      <c r="D57" s="120">
        <v>2021</v>
      </c>
      <c r="E57" s="120"/>
      <c r="F57" s="121"/>
      <c r="G57" s="121"/>
      <c r="H57" s="121"/>
      <c r="I57" s="121"/>
      <c r="J57" s="121"/>
      <c r="K57" s="121"/>
      <c r="L57" s="121"/>
      <c r="M57" s="121"/>
      <c r="N57" s="121"/>
      <c r="O57" s="121">
        <f t="shared" si="4"/>
        <v>0</v>
      </c>
      <c r="P57" s="121"/>
      <c r="Q57" s="121"/>
      <c r="R57" s="121"/>
      <c r="T57" s="122">
        <v>5</v>
      </c>
      <c r="U57" s="123" t="s">
        <v>806</v>
      </c>
      <c r="V57" s="123" t="s">
        <v>807</v>
      </c>
    </row>
    <row r="58" spans="1:22">
      <c r="A58" s="119" t="s">
        <v>538</v>
      </c>
      <c r="B58" s="119" t="s">
        <v>11</v>
      </c>
      <c r="C58" s="120" t="s">
        <v>594</v>
      </c>
      <c r="D58" s="120">
        <v>2021</v>
      </c>
      <c r="E58" s="120"/>
      <c r="F58" s="121"/>
      <c r="G58" s="121"/>
      <c r="H58" s="121">
        <f>I58+J58</f>
        <v>0.49224999999999997</v>
      </c>
      <c r="I58" s="121"/>
      <c r="J58" s="121">
        <f>8.95*0.055</f>
        <v>0.49224999999999997</v>
      </c>
      <c r="K58" s="121"/>
      <c r="L58" s="121"/>
      <c r="M58" s="121"/>
      <c r="N58" s="121"/>
      <c r="O58" s="121">
        <f t="shared" si="4"/>
        <v>0.49224999999999997</v>
      </c>
      <c r="P58" s="121"/>
      <c r="Q58" s="121"/>
      <c r="R58" s="121"/>
      <c r="T58" s="122">
        <v>1</v>
      </c>
      <c r="U58" s="123" t="s">
        <v>811</v>
      </c>
      <c r="V58" s="123" t="s">
        <v>812</v>
      </c>
    </row>
    <row r="59" spans="1:22">
      <c r="A59" s="119" t="s">
        <v>538</v>
      </c>
      <c r="B59" s="119" t="s">
        <v>11</v>
      </c>
      <c r="C59" s="120" t="s">
        <v>595</v>
      </c>
      <c r="D59" s="120">
        <v>2021</v>
      </c>
      <c r="E59" s="120"/>
      <c r="F59" s="121"/>
      <c r="G59" s="121"/>
      <c r="H59" s="121"/>
      <c r="I59" s="121"/>
      <c r="J59" s="121"/>
      <c r="K59" s="121"/>
      <c r="L59" s="121"/>
      <c r="M59" s="121"/>
      <c r="N59" s="121"/>
      <c r="O59" s="121">
        <f t="shared" si="4"/>
        <v>0</v>
      </c>
      <c r="P59" s="121"/>
      <c r="Q59" s="121"/>
      <c r="R59" s="121"/>
      <c r="T59" s="122">
        <v>2</v>
      </c>
      <c r="U59" s="123" t="s">
        <v>811</v>
      </c>
      <c r="V59" s="123" t="s">
        <v>812</v>
      </c>
    </row>
    <row r="60" spans="1:22">
      <c r="A60" s="119" t="s">
        <v>538</v>
      </c>
      <c r="B60" s="119" t="s">
        <v>11</v>
      </c>
      <c r="C60" s="120" t="s">
        <v>596</v>
      </c>
      <c r="D60" s="120">
        <v>2021</v>
      </c>
      <c r="E60" s="120"/>
      <c r="F60" s="121"/>
      <c r="G60" s="121"/>
      <c r="H60" s="121"/>
      <c r="I60" s="121"/>
      <c r="J60" s="121"/>
      <c r="K60" s="121"/>
      <c r="L60" s="121"/>
      <c r="M60" s="121"/>
      <c r="N60" s="121"/>
      <c r="O60" s="121">
        <f t="shared" si="4"/>
        <v>0</v>
      </c>
      <c r="P60" s="121"/>
      <c r="Q60" s="121"/>
      <c r="R60" s="121"/>
      <c r="T60" s="122">
        <v>3</v>
      </c>
      <c r="U60" s="123" t="s">
        <v>811</v>
      </c>
      <c r="V60" s="123" t="s">
        <v>812</v>
      </c>
    </row>
    <row r="61" spans="1:22">
      <c r="A61" s="119" t="s">
        <v>538</v>
      </c>
      <c r="B61" s="119" t="s">
        <v>11</v>
      </c>
      <c r="C61" s="120" t="s">
        <v>597</v>
      </c>
      <c r="D61" s="120">
        <v>2021</v>
      </c>
      <c r="E61" s="120"/>
      <c r="F61" s="121"/>
      <c r="G61" s="121"/>
      <c r="H61" s="121"/>
      <c r="I61" s="121"/>
      <c r="J61" s="121"/>
      <c r="K61" s="121"/>
      <c r="L61" s="121"/>
      <c r="M61" s="121"/>
      <c r="N61" s="121"/>
      <c r="O61" s="121">
        <f t="shared" si="4"/>
        <v>0</v>
      </c>
      <c r="P61" s="121"/>
      <c r="Q61" s="121"/>
      <c r="R61" s="121"/>
      <c r="T61" s="122">
        <v>4</v>
      </c>
      <c r="U61" s="123" t="s">
        <v>811</v>
      </c>
      <c r="V61" s="123" t="s">
        <v>812</v>
      </c>
    </row>
    <row r="62" spans="1:22">
      <c r="A62" s="119" t="s">
        <v>538</v>
      </c>
      <c r="B62" s="119" t="s">
        <v>11</v>
      </c>
      <c r="C62" s="120" t="s">
        <v>600</v>
      </c>
      <c r="D62" s="120">
        <v>2021</v>
      </c>
      <c r="E62" s="120"/>
      <c r="F62" s="121"/>
      <c r="G62" s="121"/>
      <c r="H62" s="128"/>
      <c r="I62" s="128"/>
      <c r="J62" s="128"/>
      <c r="K62" s="121"/>
      <c r="L62" s="121"/>
      <c r="M62" s="121"/>
      <c r="N62" s="121"/>
      <c r="O62" s="121">
        <f t="shared" si="4"/>
        <v>0</v>
      </c>
      <c r="P62" s="121"/>
      <c r="Q62" s="121"/>
      <c r="R62" s="121"/>
      <c r="T62" s="122">
        <v>5</v>
      </c>
      <c r="U62" s="123" t="s">
        <v>811</v>
      </c>
      <c r="V62" s="123" t="s">
        <v>812</v>
      </c>
    </row>
    <row r="63" spans="1:22">
      <c r="A63" s="119" t="s">
        <v>570</v>
      </c>
      <c r="B63" s="119" t="s">
        <v>12</v>
      </c>
      <c r="C63" s="120" t="s">
        <v>594</v>
      </c>
      <c r="D63" s="120">
        <v>2022</v>
      </c>
      <c r="E63" s="120"/>
      <c r="F63" s="121"/>
      <c r="G63" s="121"/>
      <c r="H63" s="121">
        <f>I63+J63</f>
        <v>0.61159999999999992</v>
      </c>
      <c r="I63" s="121"/>
      <c r="J63" s="121">
        <f>11.12*0.055</f>
        <v>0.61159999999999992</v>
      </c>
      <c r="K63" s="121"/>
      <c r="L63" s="121"/>
      <c r="M63" s="121"/>
      <c r="N63" s="121"/>
      <c r="O63" s="121">
        <f t="shared" si="4"/>
        <v>0.61159999999999992</v>
      </c>
      <c r="P63" s="121"/>
      <c r="Q63" s="121"/>
      <c r="R63" s="121"/>
      <c r="T63" s="122">
        <v>1</v>
      </c>
      <c r="U63" s="123" t="s">
        <v>811</v>
      </c>
      <c r="V63" s="123" t="s">
        <v>812</v>
      </c>
    </row>
    <row r="64" spans="1:22">
      <c r="A64" s="119" t="s">
        <v>570</v>
      </c>
      <c r="B64" s="119" t="s">
        <v>12</v>
      </c>
      <c r="C64" s="120" t="s">
        <v>595</v>
      </c>
      <c r="D64" s="120">
        <v>2022</v>
      </c>
      <c r="E64" s="120"/>
      <c r="F64" s="121"/>
      <c r="G64" s="121"/>
      <c r="H64" s="121"/>
      <c r="I64" s="121"/>
      <c r="J64" s="121"/>
      <c r="K64" s="121"/>
      <c r="L64" s="121"/>
      <c r="M64" s="121"/>
      <c r="N64" s="121"/>
      <c r="O64" s="121">
        <f t="shared" si="4"/>
        <v>0</v>
      </c>
      <c r="P64" s="121"/>
      <c r="Q64" s="121"/>
      <c r="R64" s="121"/>
      <c r="T64" s="122">
        <v>2</v>
      </c>
      <c r="U64" s="123" t="s">
        <v>811</v>
      </c>
      <c r="V64" s="123" t="s">
        <v>812</v>
      </c>
    </row>
    <row r="65" spans="1:22">
      <c r="A65" s="119" t="s">
        <v>570</v>
      </c>
      <c r="B65" s="119" t="s">
        <v>12</v>
      </c>
      <c r="C65" s="120" t="s">
        <v>596</v>
      </c>
      <c r="D65" s="120">
        <v>2022</v>
      </c>
      <c r="E65" s="120"/>
      <c r="F65" s="121"/>
      <c r="G65" s="121"/>
      <c r="H65" s="121"/>
      <c r="I65" s="121"/>
      <c r="J65" s="121"/>
      <c r="K65" s="121"/>
      <c r="L65" s="121"/>
      <c r="M65" s="121"/>
      <c r="N65" s="121"/>
      <c r="O65" s="121">
        <f t="shared" si="4"/>
        <v>0</v>
      </c>
      <c r="P65" s="121"/>
      <c r="Q65" s="121"/>
      <c r="R65" s="121"/>
      <c r="T65" s="122">
        <v>3</v>
      </c>
      <c r="U65" s="123" t="s">
        <v>811</v>
      </c>
      <c r="V65" s="123" t="s">
        <v>812</v>
      </c>
    </row>
    <row r="66" spans="1:22">
      <c r="A66" s="119" t="s">
        <v>570</v>
      </c>
      <c r="B66" s="119" t="s">
        <v>12</v>
      </c>
      <c r="C66" s="120" t="s">
        <v>597</v>
      </c>
      <c r="D66" s="120">
        <v>2022</v>
      </c>
      <c r="E66" s="120"/>
      <c r="F66" s="121"/>
      <c r="G66" s="121"/>
      <c r="H66" s="121"/>
      <c r="I66" s="121"/>
      <c r="J66" s="121"/>
      <c r="K66" s="121"/>
      <c r="L66" s="121"/>
      <c r="M66" s="121"/>
      <c r="N66" s="121"/>
      <c r="O66" s="121">
        <f t="shared" si="4"/>
        <v>0</v>
      </c>
      <c r="P66" s="121"/>
      <c r="Q66" s="121"/>
      <c r="R66" s="121"/>
      <c r="T66" s="122">
        <v>4</v>
      </c>
      <c r="U66" s="123" t="s">
        <v>811</v>
      </c>
      <c r="V66" s="123" t="s">
        <v>812</v>
      </c>
    </row>
    <row r="67" spans="1:22">
      <c r="A67" s="119" t="s">
        <v>570</v>
      </c>
      <c r="B67" s="119" t="s">
        <v>12</v>
      </c>
      <c r="C67" s="120" t="s">
        <v>600</v>
      </c>
      <c r="D67" s="120">
        <v>2022</v>
      </c>
      <c r="E67" s="120"/>
      <c r="F67" s="121"/>
      <c r="G67" s="121"/>
      <c r="H67" s="121"/>
      <c r="I67" s="121"/>
      <c r="J67" s="121"/>
      <c r="K67" s="121"/>
      <c r="L67" s="121"/>
      <c r="M67" s="121"/>
      <c r="N67" s="121"/>
      <c r="O67" s="121">
        <f t="shared" si="4"/>
        <v>0</v>
      </c>
      <c r="P67" s="121"/>
      <c r="Q67" s="121"/>
      <c r="R67" s="121"/>
      <c r="T67" s="122">
        <v>5</v>
      </c>
      <c r="U67" s="123" t="s">
        <v>811</v>
      </c>
      <c r="V67" s="123" t="s">
        <v>812</v>
      </c>
    </row>
    <row r="68" spans="1:22">
      <c r="A68" s="119" t="s">
        <v>540</v>
      </c>
      <c r="B68" s="119" t="s">
        <v>13</v>
      </c>
      <c r="C68" s="120" t="s">
        <v>594</v>
      </c>
      <c r="D68" s="120">
        <v>2021</v>
      </c>
      <c r="E68" s="120"/>
      <c r="F68" s="121"/>
      <c r="G68" s="121"/>
      <c r="H68" s="121">
        <f>I68+J68</f>
        <v>12.925000000000001</v>
      </c>
      <c r="I68" s="121"/>
      <c r="J68" s="121">
        <f>235*0.055</f>
        <v>12.925000000000001</v>
      </c>
      <c r="K68" s="121"/>
      <c r="L68" s="121"/>
      <c r="M68" s="121"/>
      <c r="N68" s="121"/>
      <c r="O68" s="121">
        <f t="shared" si="4"/>
        <v>12.925000000000001</v>
      </c>
      <c r="P68" s="121">
        <f>235*0.055</f>
        <v>12.925000000000001</v>
      </c>
      <c r="Q68" s="121"/>
      <c r="R68" s="121"/>
      <c r="T68" s="122">
        <v>1</v>
      </c>
      <c r="U68" s="123" t="s">
        <v>809</v>
      </c>
      <c r="V68" s="123" t="s">
        <v>810</v>
      </c>
    </row>
    <row r="69" spans="1:22">
      <c r="A69" s="119" t="s">
        <v>540</v>
      </c>
      <c r="B69" s="119" t="s">
        <v>13</v>
      </c>
      <c r="C69" s="120" t="s">
        <v>595</v>
      </c>
      <c r="D69" s="120">
        <v>2021</v>
      </c>
      <c r="E69" s="120"/>
      <c r="F69" s="121"/>
      <c r="G69" s="121"/>
      <c r="H69" s="121"/>
      <c r="I69" s="121"/>
      <c r="J69" s="121"/>
      <c r="K69" s="121"/>
      <c r="L69" s="121"/>
      <c r="M69" s="121"/>
      <c r="N69" s="121"/>
      <c r="O69" s="121">
        <f t="shared" si="4"/>
        <v>0</v>
      </c>
      <c r="P69" s="121"/>
      <c r="Q69" s="121"/>
      <c r="R69" s="121"/>
      <c r="T69" s="122">
        <v>2</v>
      </c>
      <c r="U69" s="123" t="s">
        <v>809</v>
      </c>
      <c r="V69" s="123" t="s">
        <v>810</v>
      </c>
    </row>
    <row r="70" spans="1:22">
      <c r="A70" s="119" t="s">
        <v>540</v>
      </c>
      <c r="B70" s="119" t="s">
        <v>13</v>
      </c>
      <c r="C70" s="120" t="s">
        <v>596</v>
      </c>
      <c r="D70" s="120">
        <v>2021</v>
      </c>
      <c r="E70" s="120"/>
      <c r="F70" s="121"/>
      <c r="G70" s="121"/>
      <c r="H70" s="121"/>
      <c r="I70" s="121"/>
      <c r="J70" s="121"/>
      <c r="K70" s="121"/>
      <c r="L70" s="121"/>
      <c r="M70" s="121"/>
      <c r="N70" s="121"/>
      <c r="O70" s="121">
        <f t="shared" si="4"/>
        <v>0</v>
      </c>
      <c r="P70" s="121"/>
      <c r="Q70" s="121"/>
      <c r="R70" s="121"/>
      <c r="T70" s="122">
        <v>3</v>
      </c>
      <c r="U70" s="123" t="s">
        <v>809</v>
      </c>
      <c r="V70" s="123" t="s">
        <v>810</v>
      </c>
    </row>
    <row r="71" spans="1:22">
      <c r="A71" s="119" t="s">
        <v>540</v>
      </c>
      <c r="B71" s="119" t="s">
        <v>13</v>
      </c>
      <c r="C71" s="120" t="s">
        <v>597</v>
      </c>
      <c r="D71" s="120">
        <v>2021</v>
      </c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>
        <f t="shared" si="4"/>
        <v>0</v>
      </c>
      <c r="P71" s="121"/>
      <c r="Q71" s="121"/>
      <c r="R71" s="121"/>
      <c r="T71" s="122">
        <v>4</v>
      </c>
      <c r="U71" s="123" t="s">
        <v>809</v>
      </c>
      <c r="V71" s="123" t="s">
        <v>810</v>
      </c>
    </row>
    <row r="72" spans="1:22">
      <c r="A72" s="119" t="s">
        <v>540</v>
      </c>
      <c r="B72" s="119" t="s">
        <v>13</v>
      </c>
      <c r="C72" s="120" t="s">
        <v>600</v>
      </c>
      <c r="D72" s="120">
        <v>2021</v>
      </c>
      <c r="E72" s="120"/>
      <c r="F72" s="121"/>
      <c r="G72" s="121"/>
      <c r="H72" s="121"/>
      <c r="I72" s="121"/>
      <c r="J72" s="121"/>
      <c r="K72" s="121"/>
      <c r="L72" s="121"/>
      <c r="M72" s="121"/>
      <c r="N72" s="121"/>
      <c r="O72" s="121">
        <f t="shared" si="4"/>
        <v>0</v>
      </c>
      <c r="P72" s="121"/>
      <c r="Q72" s="121"/>
      <c r="R72" s="121"/>
      <c r="T72" s="122">
        <v>5</v>
      </c>
      <c r="U72" s="123" t="s">
        <v>809</v>
      </c>
      <c r="V72" s="123" t="s">
        <v>810</v>
      </c>
    </row>
    <row r="73" spans="1:22">
      <c r="A73" s="119" t="s">
        <v>512</v>
      </c>
      <c r="B73" s="119" t="s">
        <v>14</v>
      </c>
      <c r="C73" s="120" t="s">
        <v>594</v>
      </c>
      <c r="D73" s="120">
        <v>2021</v>
      </c>
      <c r="E73" s="120"/>
      <c r="F73" s="121"/>
      <c r="G73" s="121"/>
      <c r="H73" s="121">
        <f>I73+J73</f>
        <v>3.4099999999999998E-2</v>
      </c>
      <c r="I73" s="121"/>
      <c r="J73" s="121">
        <f>0.62*0.055</f>
        <v>3.4099999999999998E-2</v>
      </c>
      <c r="K73" s="121"/>
      <c r="L73" s="121"/>
      <c r="M73" s="121"/>
      <c r="N73" s="121"/>
      <c r="O73" s="121">
        <f t="shared" ref="O73:O95" si="5">F73+H73</f>
        <v>3.4099999999999998E-2</v>
      </c>
      <c r="P73" s="121">
        <f>0.62*0.055</f>
        <v>3.4099999999999998E-2</v>
      </c>
      <c r="Q73" s="121"/>
      <c r="R73" s="121"/>
      <c r="T73" s="122">
        <v>1</v>
      </c>
      <c r="U73" s="123" t="s">
        <v>806</v>
      </c>
      <c r="V73" s="123" t="s">
        <v>807</v>
      </c>
    </row>
    <row r="74" spans="1:22">
      <c r="A74" s="119" t="s">
        <v>512</v>
      </c>
      <c r="B74" s="119" t="s">
        <v>14</v>
      </c>
      <c r="C74" s="120" t="s">
        <v>595</v>
      </c>
      <c r="D74" s="120">
        <v>2021</v>
      </c>
      <c r="E74" s="120"/>
      <c r="F74" s="121"/>
      <c r="G74" s="121"/>
      <c r="H74" s="121"/>
      <c r="I74" s="121"/>
      <c r="J74" s="121"/>
      <c r="K74" s="121"/>
      <c r="L74" s="121"/>
      <c r="M74" s="121"/>
      <c r="N74" s="121"/>
      <c r="O74" s="121">
        <f t="shared" si="5"/>
        <v>0</v>
      </c>
      <c r="P74" s="121"/>
      <c r="Q74" s="121"/>
      <c r="R74" s="121"/>
      <c r="T74" s="122">
        <v>2</v>
      </c>
      <c r="U74" s="123" t="s">
        <v>806</v>
      </c>
      <c r="V74" s="123" t="s">
        <v>807</v>
      </c>
    </row>
    <row r="75" spans="1:22">
      <c r="A75" s="119" t="s">
        <v>512</v>
      </c>
      <c r="B75" s="119" t="s">
        <v>14</v>
      </c>
      <c r="C75" s="120" t="s">
        <v>596</v>
      </c>
      <c r="D75" s="120">
        <v>2021</v>
      </c>
      <c r="E75" s="120"/>
      <c r="F75" s="121"/>
      <c r="G75" s="121"/>
      <c r="H75" s="121"/>
      <c r="I75" s="121"/>
      <c r="J75" s="121"/>
      <c r="K75" s="121"/>
      <c r="L75" s="121"/>
      <c r="M75" s="121"/>
      <c r="N75" s="121"/>
      <c r="O75" s="121">
        <f t="shared" si="5"/>
        <v>0</v>
      </c>
      <c r="P75" s="121"/>
      <c r="Q75" s="121"/>
      <c r="R75" s="121"/>
      <c r="T75" s="122">
        <v>3</v>
      </c>
      <c r="U75" s="123" t="s">
        <v>806</v>
      </c>
      <c r="V75" s="123" t="s">
        <v>807</v>
      </c>
    </row>
    <row r="76" spans="1:22">
      <c r="A76" s="119" t="s">
        <v>512</v>
      </c>
      <c r="B76" s="119" t="s">
        <v>14</v>
      </c>
      <c r="C76" s="120" t="s">
        <v>597</v>
      </c>
      <c r="D76" s="120">
        <v>2021</v>
      </c>
      <c r="E76" s="120"/>
      <c r="F76" s="121"/>
      <c r="G76" s="121"/>
      <c r="H76" s="121"/>
      <c r="I76" s="121"/>
      <c r="J76" s="121"/>
      <c r="K76" s="121"/>
      <c r="L76" s="121"/>
      <c r="M76" s="121"/>
      <c r="N76" s="121"/>
      <c r="O76" s="121">
        <f t="shared" si="5"/>
        <v>0</v>
      </c>
      <c r="P76" s="121"/>
      <c r="Q76" s="121"/>
      <c r="R76" s="121"/>
      <c r="T76" s="122">
        <v>4</v>
      </c>
      <c r="U76" s="123" t="s">
        <v>806</v>
      </c>
      <c r="V76" s="123" t="s">
        <v>807</v>
      </c>
    </row>
    <row r="77" spans="1:22">
      <c r="A77" s="119" t="s">
        <v>512</v>
      </c>
      <c r="B77" s="119" t="s">
        <v>14</v>
      </c>
      <c r="C77" s="120" t="s">
        <v>600</v>
      </c>
      <c r="D77" s="120">
        <v>2021</v>
      </c>
      <c r="E77" s="120"/>
      <c r="F77" s="121"/>
      <c r="G77" s="121"/>
      <c r="H77" s="121"/>
      <c r="I77" s="121"/>
      <c r="J77" s="121"/>
      <c r="K77" s="121"/>
      <c r="L77" s="121"/>
      <c r="M77" s="121"/>
      <c r="N77" s="121"/>
      <c r="O77" s="121">
        <f t="shared" si="5"/>
        <v>0</v>
      </c>
      <c r="P77" s="121"/>
      <c r="Q77" s="121"/>
      <c r="R77" s="121"/>
      <c r="T77" s="122">
        <v>5</v>
      </c>
      <c r="U77" s="123" t="s">
        <v>806</v>
      </c>
      <c r="V77" s="123" t="s">
        <v>807</v>
      </c>
    </row>
    <row r="78" spans="1:22">
      <c r="A78" s="119" t="s">
        <v>746</v>
      </c>
      <c r="B78" s="119" t="s">
        <v>15</v>
      </c>
      <c r="C78" s="120" t="s">
        <v>594</v>
      </c>
      <c r="D78" s="120">
        <v>2021</v>
      </c>
      <c r="E78" s="120"/>
      <c r="F78" s="121"/>
      <c r="G78" s="121"/>
      <c r="H78" s="121">
        <f>I78+J78</f>
        <v>0.99337699999999995</v>
      </c>
      <c r="I78" s="121"/>
      <c r="J78" s="121">
        <f>18.0614*0.055</f>
        <v>0.99337699999999995</v>
      </c>
      <c r="K78" s="121"/>
      <c r="L78" s="121"/>
      <c r="M78" s="121"/>
      <c r="N78" s="121"/>
      <c r="O78" s="121">
        <f t="shared" si="5"/>
        <v>0.99337699999999995</v>
      </c>
      <c r="P78" s="121">
        <f>18.0614*0.055</f>
        <v>0.99337699999999995</v>
      </c>
      <c r="Q78" s="121"/>
      <c r="R78" s="121"/>
      <c r="T78" s="122">
        <v>1</v>
      </c>
      <c r="U78" s="123" t="s">
        <v>811</v>
      </c>
      <c r="V78" s="123" t="s">
        <v>813</v>
      </c>
    </row>
    <row r="79" spans="1:22">
      <c r="A79" s="119" t="s">
        <v>746</v>
      </c>
      <c r="B79" s="119" t="s">
        <v>15</v>
      </c>
      <c r="C79" s="120" t="s">
        <v>595</v>
      </c>
      <c r="D79" s="120">
        <v>2021</v>
      </c>
      <c r="E79" s="120"/>
      <c r="F79" s="121"/>
      <c r="G79" s="121"/>
      <c r="H79" s="121">
        <f>I79+J79</f>
        <v>0.100232</v>
      </c>
      <c r="I79" s="121"/>
      <c r="J79" s="121">
        <f>0.9112*0.11</f>
        <v>0.100232</v>
      </c>
      <c r="K79" s="121"/>
      <c r="L79" s="121"/>
      <c r="M79" s="121"/>
      <c r="N79" s="121"/>
      <c r="O79" s="121">
        <f t="shared" si="5"/>
        <v>0.100232</v>
      </c>
      <c r="P79" s="121">
        <f>0.9112*0.11</f>
        <v>0.100232</v>
      </c>
      <c r="Q79" s="121"/>
      <c r="R79" s="121"/>
      <c r="T79" s="122">
        <v>2</v>
      </c>
      <c r="U79" s="123" t="s">
        <v>811</v>
      </c>
      <c r="V79" s="123" t="s">
        <v>813</v>
      </c>
    </row>
    <row r="80" spans="1:22">
      <c r="A80" s="119" t="s">
        <v>746</v>
      </c>
      <c r="B80" s="119" t="s">
        <v>15</v>
      </c>
      <c r="C80" s="125" t="s">
        <v>700</v>
      </c>
      <c r="D80" s="120">
        <v>2021</v>
      </c>
      <c r="E80" s="120"/>
      <c r="F80" s="124">
        <f>0.308*0.11</f>
        <v>3.388E-2</v>
      </c>
      <c r="G80" s="121"/>
      <c r="H80" s="121"/>
      <c r="I80" s="121"/>
      <c r="J80" s="121"/>
      <c r="K80" s="121"/>
      <c r="L80" s="121"/>
      <c r="M80" s="121"/>
      <c r="N80" s="121"/>
      <c r="O80" s="121">
        <f t="shared" si="5"/>
        <v>3.388E-2</v>
      </c>
      <c r="P80" s="121">
        <f>0.308*0.11</f>
        <v>3.388E-2</v>
      </c>
      <c r="Q80" s="121"/>
      <c r="R80" s="121"/>
      <c r="U80" s="123" t="s">
        <v>811</v>
      </c>
      <c r="V80" s="123" t="s">
        <v>813</v>
      </c>
    </row>
    <row r="81" spans="1:22">
      <c r="A81" s="119" t="s">
        <v>746</v>
      </c>
      <c r="B81" s="119" t="s">
        <v>15</v>
      </c>
      <c r="C81" s="120" t="s">
        <v>596</v>
      </c>
      <c r="D81" s="120">
        <v>2021</v>
      </c>
      <c r="E81" s="120"/>
      <c r="F81" s="121"/>
      <c r="G81" s="121"/>
      <c r="H81" s="121"/>
      <c r="I81" s="121"/>
      <c r="J81" s="121"/>
      <c r="K81" s="121"/>
      <c r="L81" s="121"/>
      <c r="M81" s="121"/>
      <c r="N81" s="121"/>
      <c r="O81" s="121">
        <f t="shared" si="5"/>
        <v>0</v>
      </c>
      <c r="P81" s="121"/>
      <c r="Q81" s="121"/>
      <c r="R81" s="121"/>
      <c r="T81" s="122">
        <v>3</v>
      </c>
      <c r="U81" s="123" t="s">
        <v>811</v>
      </c>
      <c r="V81" s="123" t="s">
        <v>813</v>
      </c>
    </row>
    <row r="82" spans="1:22">
      <c r="A82" s="119" t="s">
        <v>746</v>
      </c>
      <c r="B82" s="119" t="s">
        <v>15</v>
      </c>
      <c r="C82" s="120" t="s">
        <v>597</v>
      </c>
      <c r="D82" s="120">
        <v>2021</v>
      </c>
      <c r="E82" s="120"/>
      <c r="F82" s="121"/>
      <c r="G82" s="121"/>
      <c r="H82" s="121"/>
      <c r="I82" s="121"/>
      <c r="J82" s="121"/>
      <c r="K82" s="121"/>
      <c r="L82" s="121"/>
      <c r="M82" s="121"/>
      <c r="N82" s="121"/>
      <c r="O82" s="121">
        <f t="shared" si="5"/>
        <v>0</v>
      </c>
      <c r="P82" s="121"/>
      <c r="Q82" s="121"/>
      <c r="R82" s="121"/>
      <c r="T82" s="122">
        <v>4</v>
      </c>
      <c r="U82" s="123" t="s">
        <v>811</v>
      </c>
      <c r="V82" s="123" t="s">
        <v>813</v>
      </c>
    </row>
    <row r="83" spans="1:22">
      <c r="A83" s="119" t="s">
        <v>746</v>
      </c>
      <c r="B83" s="119" t="s">
        <v>15</v>
      </c>
      <c r="C83" s="120" t="s">
        <v>600</v>
      </c>
      <c r="D83" s="120">
        <v>2021</v>
      </c>
      <c r="E83" s="120"/>
      <c r="F83" s="121"/>
      <c r="G83" s="121"/>
      <c r="H83" s="121"/>
      <c r="I83" s="121"/>
      <c r="J83" s="121"/>
      <c r="K83" s="121"/>
      <c r="L83" s="121"/>
      <c r="M83" s="121"/>
      <c r="N83" s="121"/>
      <c r="O83" s="121">
        <f t="shared" si="5"/>
        <v>0</v>
      </c>
      <c r="P83" s="121"/>
      <c r="Q83" s="121"/>
      <c r="R83" s="121"/>
      <c r="T83" s="122">
        <v>5</v>
      </c>
      <c r="U83" s="123" t="s">
        <v>811</v>
      </c>
      <c r="V83" s="123" t="s">
        <v>813</v>
      </c>
    </row>
    <row r="84" spans="1:22">
      <c r="A84" s="119" t="s">
        <v>543</v>
      </c>
      <c r="B84" s="119" t="s">
        <v>16</v>
      </c>
      <c r="C84" s="120" t="s">
        <v>594</v>
      </c>
      <c r="D84" s="120">
        <v>2021</v>
      </c>
      <c r="E84" s="120"/>
      <c r="F84" s="121"/>
      <c r="G84" s="121"/>
      <c r="H84" s="121">
        <f>I84+J84</f>
        <v>0</v>
      </c>
      <c r="I84" s="121"/>
      <c r="J84" s="121">
        <v>0</v>
      </c>
      <c r="K84" s="121"/>
      <c r="L84" s="121"/>
      <c r="M84" s="121"/>
      <c r="N84" s="121"/>
      <c r="O84" s="121">
        <f t="shared" si="5"/>
        <v>0</v>
      </c>
      <c r="P84" s="121">
        <v>0</v>
      </c>
      <c r="Q84" s="121"/>
      <c r="R84" s="121"/>
      <c r="S84" s="127"/>
      <c r="T84" s="122">
        <v>1</v>
      </c>
      <c r="U84" s="123" t="s">
        <v>808</v>
      </c>
      <c r="V84" s="123" t="s">
        <v>808</v>
      </c>
    </row>
    <row r="85" spans="1:22">
      <c r="A85" s="119" t="s">
        <v>543</v>
      </c>
      <c r="B85" s="119" t="s">
        <v>16</v>
      </c>
      <c r="C85" s="120" t="s">
        <v>595</v>
      </c>
      <c r="D85" s="120">
        <v>2021</v>
      </c>
      <c r="E85" s="120"/>
      <c r="F85" s="121"/>
      <c r="G85" s="121"/>
      <c r="H85" s="121"/>
      <c r="I85" s="121"/>
      <c r="J85" s="121"/>
      <c r="K85" s="121"/>
      <c r="L85" s="121"/>
      <c r="M85" s="121"/>
      <c r="N85" s="121"/>
      <c r="O85" s="121">
        <f t="shared" si="5"/>
        <v>0</v>
      </c>
      <c r="P85" s="121"/>
      <c r="Q85" s="121"/>
      <c r="R85" s="121"/>
      <c r="T85" s="122">
        <v>2</v>
      </c>
      <c r="U85" s="123" t="s">
        <v>808</v>
      </c>
      <c r="V85" s="123" t="s">
        <v>808</v>
      </c>
    </row>
    <row r="86" spans="1:22">
      <c r="A86" s="119" t="s">
        <v>543</v>
      </c>
      <c r="B86" s="119" t="s">
        <v>16</v>
      </c>
      <c r="C86" s="125" t="s">
        <v>700</v>
      </c>
      <c r="D86" s="120">
        <v>2021</v>
      </c>
      <c r="E86" s="120"/>
      <c r="F86" s="121"/>
      <c r="G86" s="121"/>
      <c r="H86" s="121"/>
      <c r="I86" s="121"/>
      <c r="J86" s="121"/>
      <c r="K86" s="121"/>
      <c r="L86" s="121"/>
      <c r="M86" s="121"/>
      <c r="N86" s="121"/>
      <c r="O86" s="121">
        <f t="shared" si="5"/>
        <v>0</v>
      </c>
      <c r="P86" s="121"/>
      <c r="Q86" s="121"/>
      <c r="R86" s="121"/>
      <c r="U86" s="123" t="s">
        <v>808</v>
      </c>
      <c r="V86" s="123" t="s">
        <v>808</v>
      </c>
    </row>
    <row r="87" spans="1:22">
      <c r="A87" s="119" t="s">
        <v>543</v>
      </c>
      <c r="B87" s="119" t="s">
        <v>16</v>
      </c>
      <c r="C87" s="120" t="s">
        <v>596</v>
      </c>
      <c r="D87" s="120">
        <v>2021</v>
      </c>
      <c r="E87" s="120"/>
      <c r="F87" s="121"/>
      <c r="G87" s="121"/>
      <c r="H87" s="121"/>
      <c r="I87" s="121"/>
      <c r="J87" s="121"/>
      <c r="K87" s="121"/>
      <c r="L87" s="121"/>
      <c r="M87" s="121"/>
      <c r="N87" s="121"/>
      <c r="O87" s="121">
        <f t="shared" si="5"/>
        <v>0</v>
      </c>
      <c r="P87" s="121"/>
      <c r="Q87" s="121"/>
      <c r="R87" s="121"/>
      <c r="T87" s="122">
        <v>3</v>
      </c>
      <c r="U87" s="123" t="s">
        <v>808</v>
      </c>
      <c r="V87" s="123" t="s">
        <v>808</v>
      </c>
    </row>
    <row r="88" spans="1:22">
      <c r="A88" s="119" t="s">
        <v>543</v>
      </c>
      <c r="B88" s="119" t="s">
        <v>16</v>
      </c>
      <c r="C88" s="120" t="s">
        <v>597</v>
      </c>
      <c r="D88" s="120">
        <v>2021</v>
      </c>
      <c r="E88" s="120"/>
      <c r="F88" s="121"/>
      <c r="G88" s="121"/>
      <c r="H88" s="121"/>
      <c r="I88" s="121"/>
      <c r="J88" s="121"/>
      <c r="K88" s="121"/>
      <c r="L88" s="121"/>
      <c r="M88" s="121"/>
      <c r="N88" s="121"/>
      <c r="O88" s="121">
        <f t="shared" si="5"/>
        <v>0</v>
      </c>
      <c r="P88" s="121"/>
      <c r="Q88" s="121"/>
      <c r="R88" s="121"/>
      <c r="T88" s="122">
        <v>4</v>
      </c>
      <c r="U88" s="123" t="s">
        <v>808</v>
      </c>
      <c r="V88" s="123" t="s">
        <v>808</v>
      </c>
    </row>
    <row r="89" spans="1:22" ht="10.5" customHeight="1">
      <c r="A89" s="119" t="s">
        <v>543</v>
      </c>
      <c r="B89" s="119" t="s">
        <v>16</v>
      </c>
      <c r="C89" s="120" t="s">
        <v>600</v>
      </c>
      <c r="D89" s="120">
        <v>2021</v>
      </c>
      <c r="E89" s="120"/>
      <c r="F89" s="121"/>
      <c r="G89" s="121"/>
      <c r="H89" s="121"/>
      <c r="I89" s="121"/>
      <c r="J89" s="121"/>
      <c r="K89" s="121"/>
      <c r="L89" s="121"/>
      <c r="M89" s="121"/>
      <c r="N89" s="121"/>
      <c r="O89" s="121">
        <f t="shared" si="5"/>
        <v>0</v>
      </c>
      <c r="P89" s="121"/>
      <c r="Q89" s="121"/>
      <c r="R89" s="121"/>
      <c r="T89" s="122">
        <v>5</v>
      </c>
      <c r="U89" s="123" t="s">
        <v>808</v>
      </c>
      <c r="V89" s="123" t="s">
        <v>808</v>
      </c>
    </row>
    <row r="90" spans="1:22">
      <c r="A90" s="119" t="s">
        <v>747</v>
      </c>
      <c r="B90" s="119" t="s">
        <v>17</v>
      </c>
      <c r="C90" s="120" t="s">
        <v>594</v>
      </c>
      <c r="D90" s="120">
        <v>2021</v>
      </c>
      <c r="E90" s="120"/>
      <c r="F90" s="121"/>
      <c r="G90" s="121"/>
      <c r="H90" s="128">
        <f>I90+J90</f>
        <v>7.8831500000000004E-4</v>
      </c>
      <c r="I90" s="128"/>
      <c r="J90" s="128">
        <f>0.014333*0.055</f>
        <v>7.8831500000000004E-4</v>
      </c>
      <c r="K90" s="121"/>
      <c r="L90" s="121"/>
      <c r="M90" s="121"/>
      <c r="N90" s="121"/>
      <c r="O90" s="128">
        <f t="shared" si="5"/>
        <v>7.8831500000000004E-4</v>
      </c>
      <c r="P90" s="121"/>
      <c r="Q90" s="121"/>
      <c r="R90" s="121"/>
      <c r="T90" s="122">
        <v>1</v>
      </c>
      <c r="U90" s="123" t="s">
        <v>809</v>
      </c>
      <c r="V90" s="123" t="s">
        <v>815</v>
      </c>
    </row>
    <row r="91" spans="1:22">
      <c r="A91" s="119" t="s">
        <v>747</v>
      </c>
      <c r="B91" s="119" t="s">
        <v>17</v>
      </c>
      <c r="C91" s="120" t="s">
        <v>595</v>
      </c>
      <c r="D91" s="120">
        <v>2021</v>
      </c>
      <c r="E91" s="120"/>
      <c r="F91" s="121"/>
      <c r="G91" s="121"/>
      <c r="H91" s="121"/>
      <c r="I91" s="121"/>
      <c r="J91" s="121"/>
      <c r="K91" s="121"/>
      <c r="L91" s="121"/>
      <c r="M91" s="121"/>
      <c r="N91" s="121"/>
      <c r="O91" s="121">
        <f t="shared" si="5"/>
        <v>0</v>
      </c>
      <c r="P91" s="121"/>
      <c r="Q91" s="121"/>
      <c r="R91" s="121"/>
      <c r="T91" s="122">
        <v>2</v>
      </c>
      <c r="U91" s="123" t="s">
        <v>809</v>
      </c>
      <c r="V91" s="123" t="s">
        <v>815</v>
      </c>
    </row>
    <row r="92" spans="1:22">
      <c r="A92" s="119" t="s">
        <v>747</v>
      </c>
      <c r="B92" s="119" t="s">
        <v>17</v>
      </c>
      <c r="C92" s="120" t="s">
        <v>596</v>
      </c>
      <c r="D92" s="120">
        <v>2021</v>
      </c>
      <c r="E92" s="120"/>
      <c r="F92" s="121"/>
      <c r="G92" s="121"/>
      <c r="H92" s="121"/>
      <c r="I92" s="121"/>
      <c r="J92" s="121"/>
      <c r="K92" s="121"/>
      <c r="L92" s="121"/>
      <c r="M92" s="121"/>
      <c r="N92" s="121"/>
      <c r="O92" s="121">
        <f t="shared" si="5"/>
        <v>0</v>
      </c>
      <c r="P92" s="121"/>
      <c r="Q92" s="121"/>
      <c r="R92" s="121"/>
      <c r="T92" s="122">
        <v>3</v>
      </c>
      <c r="U92" s="123" t="s">
        <v>809</v>
      </c>
      <c r="V92" s="123" t="s">
        <v>815</v>
      </c>
    </row>
    <row r="93" spans="1:22">
      <c r="A93" s="119" t="s">
        <v>747</v>
      </c>
      <c r="B93" s="119" t="s">
        <v>17</v>
      </c>
      <c r="C93" s="120" t="s">
        <v>597</v>
      </c>
      <c r="D93" s="120">
        <v>2021</v>
      </c>
      <c r="E93" s="120"/>
      <c r="F93" s="121"/>
      <c r="G93" s="121"/>
      <c r="H93" s="121"/>
      <c r="I93" s="121"/>
      <c r="J93" s="121"/>
      <c r="K93" s="121"/>
      <c r="L93" s="121"/>
      <c r="M93" s="121"/>
      <c r="N93" s="121"/>
      <c r="O93" s="121">
        <f t="shared" si="5"/>
        <v>0</v>
      </c>
      <c r="P93" s="121"/>
      <c r="Q93" s="121"/>
      <c r="R93" s="121"/>
      <c r="T93" s="122">
        <v>4</v>
      </c>
      <c r="U93" s="123" t="s">
        <v>809</v>
      </c>
      <c r="V93" s="123" t="s">
        <v>815</v>
      </c>
    </row>
    <row r="94" spans="1:22">
      <c r="A94" s="119" t="s">
        <v>747</v>
      </c>
      <c r="B94" s="119" t="s">
        <v>17</v>
      </c>
      <c r="C94" s="120" t="s">
        <v>600</v>
      </c>
      <c r="D94" s="120">
        <v>2021</v>
      </c>
      <c r="E94" s="120"/>
      <c r="F94" s="121"/>
      <c r="G94" s="121"/>
      <c r="H94" s="121"/>
      <c r="I94" s="121"/>
      <c r="J94" s="121"/>
      <c r="K94" s="121"/>
      <c r="L94" s="121"/>
      <c r="M94" s="121"/>
      <c r="N94" s="121"/>
      <c r="O94" s="121">
        <f t="shared" si="5"/>
        <v>0</v>
      </c>
      <c r="P94" s="121"/>
      <c r="Q94" s="121"/>
      <c r="R94" s="121"/>
      <c r="T94" s="122">
        <v>5</v>
      </c>
      <c r="U94" s="123" t="s">
        <v>809</v>
      </c>
      <c r="V94" s="123" t="s">
        <v>815</v>
      </c>
    </row>
    <row r="95" spans="1:22">
      <c r="A95" s="119" t="s">
        <v>748</v>
      </c>
      <c r="B95" s="119" t="s">
        <v>18</v>
      </c>
      <c r="C95" s="120" t="s">
        <v>594</v>
      </c>
      <c r="D95" s="120">
        <v>2021</v>
      </c>
      <c r="E95" s="120"/>
      <c r="F95" s="121"/>
      <c r="G95" s="121"/>
      <c r="H95" s="121">
        <f>I95+J95</f>
        <v>460.64755000000002</v>
      </c>
      <c r="I95" s="121">
        <f>1256.31*0.055</f>
        <v>69.097049999999996</v>
      </c>
      <c r="J95" s="121">
        <f>7119.1*0.055</f>
        <v>391.5505</v>
      </c>
      <c r="K95" s="121"/>
      <c r="L95" s="121"/>
      <c r="M95" s="121"/>
      <c r="N95" s="121"/>
      <c r="O95" s="121">
        <f t="shared" si="5"/>
        <v>460.64755000000002</v>
      </c>
      <c r="P95" s="121">
        <f>8375.41*0.055</f>
        <v>460.64754999999997</v>
      </c>
      <c r="Q95" s="121">
        <f>22.88*0.055</f>
        <v>1.2584</v>
      </c>
      <c r="R95" s="121"/>
      <c r="S95" s="127"/>
      <c r="T95" s="122">
        <v>1</v>
      </c>
      <c r="U95" s="123" t="s">
        <v>811</v>
      </c>
      <c r="V95" s="123" t="s">
        <v>813</v>
      </c>
    </row>
    <row r="96" spans="1:22">
      <c r="A96" s="119" t="s">
        <v>748</v>
      </c>
      <c r="B96" s="119" t="s">
        <v>18</v>
      </c>
      <c r="C96" s="120" t="s">
        <v>595</v>
      </c>
      <c r="D96" s="120">
        <v>2021</v>
      </c>
      <c r="E96" s="120"/>
      <c r="F96" s="121"/>
      <c r="G96" s="121"/>
      <c r="H96" s="121"/>
      <c r="I96" s="121"/>
      <c r="J96" s="121"/>
      <c r="K96" s="121">
        <f>280.02*0.11</f>
        <v>30.802199999999999</v>
      </c>
      <c r="L96" s="121"/>
      <c r="M96" s="121"/>
      <c r="N96" s="121"/>
      <c r="O96" s="121">
        <f>F96+H96+K96</f>
        <v>30.802199999999999</v>
      </c>
      <c r="P96" s="129">
        <f>280.02*0.11</f>
        <v>30.802199999999999</v>
      </c>
      <c r="Q96" s="121"/>
      <c r="R96" s="121"/>
      <c r="S96" s="127"/>
      <c r="T96" s="122">
        <v>2</v>
      </c>
      <c r="U96" s="123" t="s">
        <v>811</v>
      </c>
      <c r="V96" s="123" t="s">
        <v>813</v>
      </c>
    </row>
    <row r="97" spans="1:22">
      <c r="A97" s="119" t="s">
        <v>748</v>
      </c>
      <c r="B97" s="119" t="s">
        <v>18</v>
      </c>
      <c r="C97" s="125" t="s">
        <v>700</v>
      </c>
      <c r="D97" s="120">
        <v>2021</v>
      </c>
      <c r="E97" s="120"/>
      <c r="F97" s="121"/>
      <c r="G97" s="121"/>
      <c r="H97" s="121"/>
      <c r="I97" s="121"/>
      <c r="J97" s="121"/>
      <c r="K97" s="121"/>
      <c r="L97" s="121"/>
      <c r="M97" s="121"/>
      <c r="N97" s="121"/>
      <c r="O97" s="121">
        <f>F97+H97+K97</f>
        <v>0</v>
      </c>
      <c r="P97" s="129"/>
      <c r="Q97" s="121"/>
      <c r="R97" s="121"/>
      <c r="S97" s="127"/>
      <c r="U97" s="123" t="s">
        <v>811</v>
      </c>
      <c r="V97" s="123" t="s">
        <v>813</v>
      </c>
    </row>
    <row r="98" spans="1:22">
      <c r="A98" s="119" t="s">
        <v>748</v>
      </c>
      <c r="B98" s="119" t="s">
        <v>18</v>
      </c>
      <c r="C98" s="120" t="s">
        <v>596</v>
      </c>
      <c r="D98" s="120">
        <v>2021</v>
      </c>
      <c r="E98" s="120"/>
      <c r="F98" s="121"/>
      <c r="G98" s="121"/>
      <c r="H98" s="121"/>
      <c r="I98" s="121"/>
      <c r="J98" s="121"/>
      <c r="K98" s="121"/>
      <c r="L98" s="121"/>
      <c r="M98" s="121"/>
      <c r="N98" s="121"/>
      <c r="O98" s="121">
        <f t="shared" ref="O98:O106" si="6">F98+H98</f>
        <v>0</v>
      </c>
      <c r="P98" s="129"/>
      <c r="Q98" s="121"/>
      <c r="R98" s="121"/>
      <c r="S98" s="127"/>
      <c r="T98" s="122">
        <v>3</v>
      </c>
      <c r="U98" s="123" t="s">
        <v>811</v>
      </c>
      <c r="V98" s="123" t="s">
        <v>813</v>
      </c>
    </row>
    <row r="99" spans="1:22">
      <c r="A99" s="119" t="s">
        <v>748</v>
      </c>
      <c r="B99" s="119" t="s">
        <v>18</v>
      </c>
      <c r="C99" s="120" t="s">
        <v>597</v>
      </c>
      <c r="D99" s="120">
        <v>2021</v>
      </c>
      <c r="E99" s="120"/>
      <c r="F99" s="121"/>
      <c r="G99" s="121"/>
      <c r="H99" s="121">
        <f>I99+J99</f>
        <v>0.29780000000000001</v>
      </c>
      <c r="I99" s="121"/>
      <c r="J99" s="121">
        <f>14.89*0.02</f>
        <v>0.29780000000000001</v>
      </c>
      <c r="K99" s="121"/>
      <c r="L99" s="121"/>
      <c r="M99" s="121"/>
      <c r="N99" s="121"/>
      <c r="O99" s="121">
        <f t="shared" si="6"/>
        <v>0.29780000000000001</v>
      </c>
      <c r="P99" s="121">
        <f>14.89*0.02</f>
        <v>0.29780000000000001</v>
      </c>
      <c r="Q99" s="124"/>
      <c r="R99" s="121"/>
      <c r="S99" s="127"/>
      <c r="T99" s="122">
        <v>4</v>
      </c>
      <c r="U99" s="123" t="s">
        <v>811</v>
      </c>
      <c r="V99" s="123" t="s">
        <v>813</v>
      </c>
    </row>
    <row r="100" spans="1:22">
      <c r="A100" s="119" t="s">
        <v>748</v>
      </c>
      <c r="B100" s="119" t="s">
        <v>18</v>
      </c>
      <c r="C100" s="120" t="s">
        <v>600</v>
      </c>
      <c r="D100" s="120">
        <v>2021</v>
      </c>
      <c r="E100" s="120"/>
      <c r="F100" s="121"/>
      <c r="G100" s="121"/>
      <c r="H100" s="121">
        <f>I100+J100</f>
        <v>0.43670000000000003</v>
      </c>
      <c r="I100" s="121"/>
      <c r="J100" s="121">
        <f>19.85*0.022</f>
        <v>0.43670000000000003</v>
      </c>
      <c r="K100" s="121"/>
      <c r="L100" s="121"/>
      <c r="M100" s="121"/>
      <c r="N100" s="121"/>
      <c r="O100" s="121">
        <f t="shared" si="6"/>
        <v>0.43670000000000003</v>
      </c>
      <c r="P100" s="121">
        <f>19.85*0.022</f>
        <v>0.43670000000000003</v>
      </c>
      <c r="Q100" s="121"/>
      <c r="R100" s="121"/>
      <c r="S100" s="127"/>
      <c r="T100" s="122">
        <v>5</v>
      </c>
      <c r="U100" s="123" t="s">
        <v>811</v>
      </c>
      <c r="V100" s="123" t="s">
        <v>813</v>
      </c>
    </row>
    <row r="101" spans="1:22">
      <c r="A101" s="119" t="s">
        <v>748</v>
      </c>
      <c r="B101" s="119" t="s">
        <v>18</v>
      </c>
      <c r="C101" s="120" t="s">
        <v>643</v>
      </c>
      <c r="D101" s="120">
        <v>2021</v>
      </c>
      <c r="E101" s="120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>
        <f t="shared" si="6"/>
        <v>0</v>
      </c>
      <c r="P101" s="121"/>
      <c r="Q101" s="121"/>
      <c r="R101" s="121"/>
      <c r="S101" s="127"/>
      <c r="U101" s="123" t="s">
        <v>811</v>
      </c>
      <c r="V101" s="123" t="s">
        <v>813</v>
      </c>
    </row>
    <row r="102" spans="1:22">
      <c r="A102" s="119" t="s">
        <v>763</v>
      </c>
      <c r="B102" s="119" t="s">
        <v>19</v>
      </c>
      <c r="C102" s="120" t="s">
        <v>594</v>
      </c>
      <c r="D102" s="120">
        <v>2021</v>
      </c>
      <c r="E102" s="120"/>
      <c r="F102" s="121"/>
      <c r="G102" s="121"/>
      <c r="H102" s="121">
        <f>I102+J102</f>
        <v>3.74</v>
      </c>
      <c r="I102" s="121"/>
      <c r="J102" s="121">
        <f>68*0.055</f>
        <v>3.74</v>
      </c>
      <c r="K102" s="121"/>
      <c r="L102" s="121"/>
      <c r="M102" s="121"/>
      <c r="N102" s="121"/>
      <c r="O102" s="121">
        <f t="shared" si="6"/>
        <v>3.74</v>
      </c>
      <c r="P102" s="121">
        <f>68*0.055</f>
        <v>3.74</v>
      </c>
      <c r="Q102" s="121"/>
      <c r="R102" s="130"/>
      <c r="T102" s="122">
        <v>1</v>
      </c>
      <c r="U102" s="123" t="s">
        <v>806</v>
      </c>
      <c r="V102" s="123" t="s">
        <v>816</v>
      </c>
    </row>
    <row r="103" spans="1:22">
      <c r="A103" s="119" t="s">
        <v>763</v>
      </c>
      <c r="B103" s="119" t="s">
        <v>19</v>
      </c>
      <c r="C103" s="120" t="s">
        <v>595</v>
      </c>
      <c r="D103" s="120">
        <v>2021</v>
      </c>
      <c r="E103" s="120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>
        <f t="shared" si="6"/>
        <v>0</v>
      </c>
      <c r="P103" s="121"/>
      <c r="Q103" s="121"/>
      <c r="R103" s="121"/>
      <c r="T103" s="122">
        <v>2</v>
      </c>
      <c r="U103" s="123" t="s">
        <v>806</v>
      </c>
      <c r="V103" s="123" t="s">
        <v>816</v>
      </c>
    </row>
    <row r="104" spans="1:22">
      <c r="A104" s="119" t="s">
        <v>763</v>
      </c>
      <c r="B104" s="119" t="s">
        <v>19</v>
      </c>
      <c r="C104" s="120" t="s">
        <v>596</v>
      </c>
      <c r="D104" s="120">
        <v>2021</v>
      </c>
      <c r="E104" s="120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>
        <f t="shared" si="6"/>
        <v>0</v>
      </c>
      <c r="P104" s="121"/>
      <c r="Q104" s="121"/>
      <c r="R104" s="121"/>
      <c r="T104" s="122">
        <v>3</v>
      </c>
      <c r="U104" s="123" t="s">
        <v>806</v>
      </c>
      <c r="V104" s="123" t="s">
        <v>816</v>
      </c>
    </row>
    <row r="105" spans="1:22">
      <c r="A105" s="119" t="s">
        <v>763</v>
      </c>
      <c r="B105" s="119" t="s">
        <v>19</v>
      </c>
      <c r="C105" s="120" t="s">
        <v>597</v>
      </c>
      <c r="D105" s="120">
        <v>2021</v>
      </c>
      <c r="E105" s="120"/>
      <c r="F105" s="121"/>
      <c r="G105" s="121"/>
      <c r="H105" s="121">
        <f>I105+J105</f>
        <v>1.2E-2</v>
      </c>
      <c r="I105" s="121"/>
      <c r="J105" s="121">
        <f>0.6*0.02</f>
        <v>1.2E-2</v>
      </c>
      <c r="K105" s="121"/>
      <c r="L105" s="121"/>
      <c r="M105" s="121"/>
      <c r="N105" s="121"/>
      <c r="O105" s="121">
        <f t="shared" si="6"/>
        <v>1.2E-2</v>
      </c>
      <c r="P105" s="121">
        <f>0.6*0.02</f>
        <v>1.2E-2</v>
      </c>
      <c r="Q105" s="121"/>
      <c r="R105" s="121"/>
      <c r="T105" s="122">
        <v>4</v>
      </c>
      <c r="U105" s="123" t="s">
        <v>806</v>
      </c>
      <c r="V105" s="123" t="s">
        <v>816</v>
      </c>
    </row>
    <row r="106" spans="1:22">
      <c r="A106" s="119" t="s">
        <v>763</v>
      </c>
      <c r="B106" s="119" t="s">
        <v>19</v>
      </c>
      <c r="C106" s="120" t="s">
        <v>600</v>
      </c>
      <c r="D106" s="120">
        <v>2021</v>
      </c>
      <c r="E106" s="120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>
        <f t="shared" si="6"/>
        <v>0</v>
      </c>
      <c r="P106" s="121"/>
      <c r="Q106" s="121"/>
      <c r="R106" s="121"/>
      <c r="T106" s="122">
        <v>5</v>
      </c>
      <c r="U106" s="123" t="s">
        <v>806</v>
      </c>
      <c r="V106" s="123" t="s">
        <v>816</v>
      </c>
    </row>
    <row r="107" spans="1:22">
      <c r="A107" s="119" t="s">
        <v>544</v>
      </c>
      <c r="B107" s="119" t="s">
        <v>20</v>
      </c>
      <c r="C107" s="120" t="s">
        <v>594</v>
      </c>
      <c r="D107" s="120">
        <v>2022</v>
      </c>
      <c r="E107" s="120"/>
      <c r="F107" s="121"/>
      <c r="G107" s="121"/>
      <c r="H107" s="121">
        <f>I107+J107</f>
        <v>5.3075000000000001</v>
      </c>
      <c r="I107" s="121"/>
      <c r="J107" s="121">
        <f>96.5*0.055</f>
        <v>5.3075000000000001</v>
      </c>
      <c r="K107" s="121"/>
      <c r="L107" s="121"/>
      <c r="M107" s="121"/>
      <c r="N107" s="121"/>
      <c r="O107" s="121">
        <f>F107+H107+L107</f>
        <v>5.3075000000000001</v>
      </c>
      <c r="P107" s="121"/>
      <c r="Q107" s="121"/>
      <c r="R107" s="121"/>
      <c r="T107" s="122">
        <v>1</v>
      </c>
      <c r="U107" s="123" t="s">
        <v>809</v>
      </c>
      <c r="V107" s="123" t="s">
        <v>810</v>
      </c>
    </row>
    <row r="108" spans="1:22">
      <c r="A108" s="119" t="s">
        <v>544</v>
      </c>
      <c r="B108" s="119" t="s">
        <v>20</v>
      </c>
      <c r="C108" s="120" t="s">
        <v>595</v>
      </c>
      <c r="D108" s="120">
        <v>2022</v>
      </c>
      <c r="E108" s="120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>
        <f t="shared" ref="O108:O122" si="7">F108+H108</f>
        <v>0</v>
      </c>
      <c r="P108" s="121"/>
      <c r="Q108" s="121"/>
      <c r="R108" s="121"/>
      <c r="T108" s="122">
        <v>2</v>
      </c>
      <c r="U108" s="123" t="s">
        <v>809</v>
      </c>
      <c r="V108" s="123" t="s">
        <v>810</v>
      </c>
    </row>
    <row r="109" spans="1:22">
      <c r="A109" s="119" t="s">
        <v>544</v>
      </c>
      <c r="B109" s="119" t="s">
        <v>20</v>
      </c>
      <c r="C109" s="120" t="s">
        <v>596</v>
      </c>
      <c r="D109" s="120">
        <v>2022</v>
      </c>
      <c r="E109" s="120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>
        <f t="shared" si="7"/>
        <v>0</v>
      </c>
      <c r="P109" s="121"/>
      <c r="Q109" s="121"/>
      <c r="R109" s="121"/>
      <c r="T109" s="122">
        <v>3</v>
      </c>
      <c r="U109" s="123" t="s">
        <v>809</v>
      </c>
      <c r="V109" s="123" t="s">
        <v>810</v>
      </c>
    </row>
    <row r="110" spans="1:22">
      <c r="A110" s="119" t="s">
        <v>544</v>
      </c>
      <c r="B110" s="119" t="s">
        <v>20</v>
      </c>
      <c r="C110" s="120" t="s">
        <v>597</v>
      </c>
      <c r="D110" s="120">
        <v>2022</v>
      </c>
      <c r="E110" s="120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>
        <f t="shared" si="7"/>
        <v>0</v>
      </c>
      <c r="P110" s="121"/>
      <c r="Q110" s="121"/>
      <c r="R110" s="121"/>
      <c r="T110" s="122">
        <v>4</v>
      </c>
      <c r="U110" s="123" t="s">
        <v>809</v>
      </c>
      <c r="V110" s="123" t="s">
        <v>810</v>
      </c>
    </row>
    <row r="111" spans="1:22">
      <c r="A111" s="119" t="s">
        <v>544</v>
      </c>
      <c r="B111" s="119" t="s">
        <v>20</v>
      </c>
      <c r="C111" s="120" t="s">
        <v>600</v>
      </c>
      <c r="D111" s="120">
        <v>2022</v>
      </c>
      <c r="E111" s="120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>
        <f t="shared" si="7"/>
        <v>0</v>
      </c>
      <c r="P111" s="121"/>
      <c r="Q111" s="121"/>
      <c r="R111" s="121"/>
      <c r="T111" s="122">
        <v>5</v>
      </c>
      <c r="U111" s="123" t="s">
        <v>809</v>
      </c>
      <c r="V111" s="123" t="s">
        <v>810</v>
      </c>
    </row>
    <row r="112" spans="1:22">
      <c r="A112" s="119" t="s">
        <v>539</v>
      </c>
      <c r="B112" s="119" t="s">
        <v>315</v>
      </c>
      <c r="C112" s="120" t="s">
        <v>594</v>
      </c>
      <c r="D112" s="120">
        <v>2021</v>
      </c>
      <c r="E112" s="120"/>
      <c r="F112" s="121"/>
      <c r="G112" s="121"/>
      <c r="H112" s="121">
        <f>I112+J112</f>
        <v>1.1769999999999998</v>
      </c>
      <c r="I112" s="121"/>
      <c r="J112" s="131">
        <f>21.4*0.055</f>
        <v>1.1769999999999998</v>
      </c>
      <c r="K112" s="121"/>
      <c r="L112" s="121"/>
      <c r="M112" s="121"/>
      <c r="N112" s="121"/>
      <c r="O112" s="121">
        <f t="shared" si="7"/>
        <v>1.1769999999999998</v>
      </c>
      <c r="P112" s="131">
        <f>21.4*0.055</f>
        <v>1.1769999999999998</v>
      </c>
      <c r="Q112" s="121"/>
      <c r="R112" s="121"/>
      <c r="T112" s="122">
        <v>1</v>
      </c>
      <c r="U112" s="123" t="s">
        <v>809</v>
      </c>
      <c r="V112" s="123" t="s">
        <v>810</v>
      </c>
    </row>
    <row r="113" spans="1:22">
      <c r="A113" s="119" t="s">
        <v>539</v>
      </c>
      <c r="B113" s="119" t="s">
        <v>315</v>
      </c>
      <c r="C113" s="120" t="s">
        <v>595</v>
      </c>
      <c r="D113" s="120">
        <v>2021</v>
      </c>
      <c r="E113" s="120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>
        <f t="shared" si="7"/>
        <v>0</v>
      </c>
      <c r="P113" s="121"/>
      <c r="Q113" s="121"/>
      <c r="R113" s="121"/>
      <c r="T113" s="122">
        <v>2</v>
      </c>
      <c r="U113" s="123" t="s">
        <v>809</v>
      </c>
      <c r="V113" s="123" t="s">
        <v>810</v>
      </c>
    </row>
    <row r="114" spans="1:22">
      <c r="A114" s="119" t="s">
        <v>539</v>
      </c>
      <c r="B114" s="119" t="s">
        <v>315</v>
      </c>
      <c r="C114" s="120" t="s">
        <v>596</v>
      </c>
      <c r="D114" s="120">
        <v>2021</v>
      </c>
      <c r="E114" s="120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>
        <f t="shared" si="7"/>
        <v>0</v>
      </c>
      <c r="P114" s="121"/>
      <c r="Q114" s="121"/>
      <c r="R114" s="121"/>
      <c r="T114" s="122">
        <v>3</v>
      </c>
      <c r="U114" s="123" t="s">
        <v>809</v>
      </c>
      <c r="V114" s="123" t="s">
        <v>810</v>
      </c>
    </row>
    <row r="115" spans="1:22">
      <c r="A115" s="119" t="s">
        <v>539</v>
      </c>
      <c r="B115" s="119" t="s">
        <v>315</v>
      </c>
      <c r="C115" s="120" t="s">
        <v>597</v>
      </c>
      <c r="D115" s="120">
        <v>2021</v>
      </c>
      <c r="E115" s="120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>
        <f t="shared" si="7"/>
        <v>0</v>
      </c>
      <c r="P115" s="121"/>
      <c r="Q115" s="121"/>
      <c r="R115" s="121"/>
      <c r="T115" s="122">
        <v>4</v>
      </c>
      <c r="U115" s="123" t="s">
        <v>809</v>
      </c>
      <c r="V115" s="123" t="s">
        <v>810</v>
      </c>
    </row>
    <row r="116" spans="1:22">
      <c r="A116" s="119" t="s">
        <v>539</v>
      </c>
      <c r="B116" s="119" t="s">
        <v>315</v>
      </c>
      <c r="C116" s="120" t="s">
        <v>600</v>
      </c>
      <c r="D116" s="120">
        <v>2021</v>
      </c>
      <c r="E116" s="120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>
        <f t="shared" si="7"/>
        <v>0</v>
      </c>
      <c r="P116" s="121"/>
      <c r="Q116" s="121"/>
      <c r="R116" s="121"/>
      <c r="T116" s="122">
        <v>5</v>
      </c>
      <c r="U116" s="123" t="s">
        <v>809</v>
      </c>
      <c r="V116" s="123" t="s">
        <v>810</v>
      </c>
    </row>
    <row r="117" spans="1:22">
      <c r="A117" s="119" t="s">
        <v>769</v>
      </c>
      <c r="B117" s="119" t="s">
        <v>316</v>
      </c>
      <c r="C117" s="120" t="s">
        <v>594</v>
      </c>
      <c r="D117" s="120">
        <v>2021</v>
      </c>
      <c r="E117" s="120"/>
      <c r="F117" s="121"/>
      <c r="G117" s="121"/>
      <c r="H117" s="121">
        <f>I117+J117</f>
        <v>5.4798149999999994</v>
      </c>
      <c r="I117" s="121"/>
      <c r="J117" s="121">
        <f>99.633*0.055</f>
        <v>5.4798149999999994</v>
      </c>
      <c r="K117" s="121"/>
      <c r="L117" s="121"/>
      <c r="M117" s="121"/>
      <c r="N117" s="121"/>
      <c r="O117" s="121">
        <f t="shared" si="7"/>
        <v>5.4798149999999994</v>
      </c>
      <c r="P117" s="121">
        <f>99.633*0.055</f>
        <v>5.4798149999999994</v>
      </c>
      <c r="Q117" s="121"/>
      <c r="R117" s="121"/>
      <c r="T117" s="122">
        <v>1</v>
      </c>
      <c r="U117" s="123" t="s">
        <v>806</v>
      </c>
      <c r="V117" s="123" t="s">
        <v>816</v>
      </c>
    </row>
    <row r="118" spans="1:22">
      <c r="A118" s="119" t="s">
        <v>769</v>
      </c>
      <c r="B118" s="119" t="s">
        <v>316</v>
      </c>
      <c r="C118" s="120" t="s">
        <v>595</v>
      </c>
      <c r="D118" s="120">
        <v>2021</v>
      </c>
      <c r="E118" s="120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>
        <f t="shared" si="7"/>
        <v>0</v>
      </c>
      <c r="P118" s="121"/>
      <c r="Q118" s="121"/>
      <c r="R118" s="121"/>
      <c r="T118" s="122">
        <v>2</v>
      </c>
      <c r="U118" s="123" t="s">
        <v>806</v>
      </c>
      <c r="V118" s="123" t="s">
        <v>816</v>
      </c>
    </row>
    <row r="119" spans="1:22">
      <c r="A119" s="119" t="s">
        <v>769</v>
      </c>
      <c r="B119" s="119" t="s">
        <v>316</v>
      </c>
      <c r="C119" s="120" t="s">
        <v>700</v>
      </c>
      <c r="D119" s="120">
        <v>2021</v>
      </c>
      <c r="E119" s="120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>
        <f t="shared" si="7"/>
        <v>0</v>
      </c>
      <c r="P119" s="121"/>
      <c r="Q119" s="121"/>
      <c r="R119" s="121"/>
      <c r="U119" s="123" t="s">
        <v>806</v>
      </c>
      <c r="V119" s="123" t="s">
        <v>816</v>
      </c>
    </row>
    <row r="120" spans="1:22">
      <c r="A120" s="119" t="s">
        <v>769</v>
      </c>
      <c r="B120" s="119" t="s">
        <v>316</v>
      </c>
      <c r="C120" s="120" t="s">
        <v>596</v>
      </c>
      <c r="D120" s="120">
        <v>2021</v>
      </c>
      <c r="E120" s="120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>
        <f t="shared" si="7"/>
        <v>0</v>
      </c>
      <c r="P120" s="121"/>
      <c r="Q120" s="121"/>
      <c r="R120" s="121"/>
      <c r="T120" s="122">
        <v>3</v>
      </c>
      <c r="U120" s="123" t="s">
        <v>806</v>
      </c>
      <c r="V120" s="123" t="s">
        <v>816</v>
      </c>
    </row>
    <row r="121" spans="1:22">
      <c r="A121" s="119" t="s">
        <v>769</v>
      </c>
      <c r="B121" s="119" t="s">
        <v>316</v>
      </c>
      <c r="C121" s="120" t="s">
        <v>597</v>
      </c>
      <c r="D121" s="120">
        <v>2021</v>
      </c>
      <c r="E121" s="120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>
        <f t="shared" si="7"/>
        <v>0</v>
      </c>
      <c r="P121" s="121"/>
      <c r="Q121" s="121"/>
      <c r="R121" s="121"/>
      <c r="T121" s="122">
        <v>4</v>
      </c>
      <c r="U121" s="123" t="s">
        <v>806</v>
      </c>
      <c r="V121" s="123" t="s">
        <v>816</v>
      </c>
    </row>
    <row r="122" spans="1:22">
      <c r="A122" s="119" t="s">
        <v>769</v>
      </c>
      <c r="B122" s="119" t="s">
        <v>316</v>
      </c>
      <c r="C122" s="120" t="s">
        <v>600</v>
      </c>
      <c r="D122" s="120">
        <v>2021</v>
      </c>
      <c r="E122" s="120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>
        <f t="shared" si="7"/>
        <v>0</v>
      </c>
      <c r="P122" s="121"/>
      <c r="Q122" s="121"/>
      <c r="R122" s="121"/>
      <c r="T122" s="122">
        <v>5</v>
      </c>
      <c r="U122" s="123" t="s">
        <v>806</v>
      </c>
      <c r="V122" s="123" t="s">
        <v>816</v>
      </c>
    </row>
    <row r="123" spans="1:22">
      <c r="A123" s="119" t="s">
        <v>753</v>
      </c>
      <c r="B123" s="119" t="s">
        <v>317</v>
      </c>
      <c r="C123" s="120" t="s">
        <v>594</v>
      </c>
      <c r="D123" s="120">
        <v>2021</v>
      </c>
      <c r="E123" s="120"/>
      <c r="F123" s="121"/>
      <c r="G123" s="121"/>
      <c r="H123" s="121">
        <f>I123+J123</f>
        <v>29.391999999999999</v>
      </c>
      <c r="I123" s="132"/>
      <c r="J123" s="132">
        <f>534.4*0.055</f>
        <v>29.391999999999999</v>
      </c>
      <c r="K123" s="132">
        <f>2*0.055</f>
        <v>0.11</v>
      </c>
      <c r="L123" s="121"/>
      <c r="M123" s="121"/>
      <c r="N123" s="121"/>
      <c r="O123" s="121">
        <f>F123+H123+K123</f>
        <v>29.501999999999999</v>
      </c>
      <c r="P123" s="121"/>
      <c r="Q123" s="121"/>
      <c r="R123" s="121"/>
      <c r="T123" s="122">
        <v>1</v>
      </c>
      <c r="U123" s="123" t="s">
        <v>809</v>
      </c>
      <c r="V123" s="123" t="s">
        <v>810</v>
      </c>
    </row>
    <row r="124" spans="1:22">
      <c r="A124" s="119" t="s">
        <v>753</v>
      </c>
      <c r="B124" s="119" t="s">
        <v>317</v>
      </c>
      <c r="C124" s="120" t="s">
        <v>595</v>
      </c>
      <c r="D124" s="120">
        <v>2021</v>
      </c>
      <c r="E124" s="120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>
        <f>F124+H124+K124</f>
        <v>0</v>
      </c>
      <c r="P124" s="121"/>
      <c r="Q124" s="121"/>
      <c r="R124" s="121"/>
      <c r="T124" s="122">
        <v>2</v>
      </c>
      <c r="U124" s="123" t="s">
        <v>809</v>
      </c>
      <c r="V124" s="123" t="s">
        <v>810</v>
      </c>
    </row>
    <row r="125" spans="1:22">
      <c r="A125" s="119" t="s">
        <v>753</v>
      </c>
      <c r="B125" s="119" t="s">
        <v>317</v>
      </c>
      <c r="C125" s="125" t="s">
        <v>700</v>
      </c>
      <c r="D125" s="120">
        <v>2021</v>
      </c>
      <c r="E125" s="120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>
        <f>F125+H125+K125</f>
        <v>0</v>
      </c>
      <c r="P125" s="121"/>
      <c r="Q125" s="121"/>
      <c r="R125" s="121"/>
      <c r="U125" s="123" t="s">
        <v>809</v>
      </c>
      <c r="V125" s="123" t="s">
        <v>810</v>
      </c>
    </row>
    <row r="126" spans="1:22">
      <c r="A126" s="119" t="s">
        <v>753</v>
      </c>
      <c r="B126" s="119" t="s">
        <v>317</v>
      </c>
      <c r="C126" s="120" t="s">
        <v>596</v>
      </c>
      <c r="D126" s="120">
        <v>2021</v>
      </c>
      <c r="E126" s="120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>
        <f t="shared" ref="O126:O150" si="8">F126+H126</f>
        <v>0</v>
      </c>
      <c r="P126" s="121"/>
      <c r="Q126" s="121"/>
      <c r="R126" s="121"/>
      <c r="T126" s="122">
        <v>3</v>
      </c>
      <c r="U126" s="123" t="s">
        <v>809</v>
      </c>
      <c r="V126" s="123" t="s">
        <v>810</v>
      </c>
    </row>
    <row r="127" spans="1:22">
      <c r="A127" s="119" t="s">
        <v>753</v>
      </c>
      <c r="B127" s="119" t="s">
        <v>317</v>
      </c>
      <c r="C127" s="120" t="s">
        <v>597</v>
      </c>
      <c r="D127" s="120">
        <v>2021</v>
      </c>
      <c r="E127" s="120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>
        <f t="shared" si="8"/>
        <v>0</v>
      </c>
      <c r="P127" s="121"/>
      <c r="Q127" s="121"/>
      <c r="R127" s="121"/>
      <c r="T127" s="122">
        <v>4</v>
      </c>
      <c r="U127" s="123" t="s">
        <v>809</v>
      </c>
      <c r="V127" s="123" t="s">
        <v>810</v>
      </c>
    </row>
    <row r="128" spans="1:22">
      <c r="A128" s="119" t="s">
        <v>753</v>
      </c>
      <c r="B128" s="119" t="s">
        <v>317</v>
      </c>
      <c r="C128" s="120" t="s">
        <v>600</v>
      </c>
      <c r="D128" s="120">
        <v>2021</v>
      </c>
      <c r="E128" s="120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>
        <f t="shared" si="8"/>
        <v>0</v>
      </c>
      <c r="P128" s="121"/>
      <c r="Q128" s="121"/>
      <c r="R128" s="121"/>
      <c r="T128" s="122">
        <v>5</v>
      </c>
      <c r="U128" s="123" t="s">
        <v>809</v>
      </c>
      <c r="V128" s="123" t="s">
        <v>810</v>
      </c>
    </row>
    <row r="129" spans="1:22">
      <c r="A129" s="119" t="s">
        <v>770</v>
      </c>
      <c r="B129" s="119" t="s">
        <v>318</v>
      </c>
      <c r="C129" s="120" t="s">
        <v>594</v>
      </c>
      <c r="D129" s="120">
        <v>2021</v>
      </c>
      <c r="E129" s="120"/>
      <c r="F129" s="121"/>
      <c r="G129" s="121"/>
      <c r="H129" s="121">
        <f>I129+J129</f>
        <v>4.4000000000000004E-2</v>
      </c>
      <c r="I129" s="121"/>
      <c r="J129" s="121">
        <f>0.8*0.055</f>
        <v>4.4000000000000004E-2</v>
      </c>
      <c r="K129" s="121"/>
      <c r="L129" s="121"/>
      <c r="M129" s="121"/>
      <c r="N129" s="121"/>
      <c r="O129" s="121">
        <f>1*0.055</f>
        <v>5.5E-2</v>
      </c>
      <c r="P129" s="121">
        <f>0.8*0.055</f>
        <v>4.4000000000000004E-2</v>
      </c>
      <c r="Q129" s="121"/>
      <c r="R129" s="121"/>
      <c r="T129" s="122">
        <v>1</v>
      </c>
      <c r="U129" s="123" t="s">
        <v>809</v>
      </c>
      <c r="V129" s="123" t="s">
        <v>815</v>
      </c>
    </row>
    <row r="130" spans="1:22">
      <c r="A130" s="119" t="s">
        <v>770</v>
      </c>
      <c r="B130" s="119" t="s">
        <v>318</v>
      </c>
      <c r="C130" s="120" t="s">
        <v>595</v>
      </c>
      <c r="D130" s="120">
        <v>2021</v>
      </c>
      <c r="E130" s="120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>
        <f t="shared" si="8"/>
        <v>0</v>
      </c>
      <c r="P130" s="121"/>
      <c r="Q130" s="121"/>
      <c r="R130" s="121"/>
      <c r="T130" s="122">
        <v>2</v>
      </c>
      <c r="U130" s="123" t="s">
        <v>809</v>
      </c>
      <c r="V130" s="123" t="s">
        <v>815</v>
      </c>
    </row>
    <row r="131" spans="1:22">
      <c r="A131" s="119" t="s">
        <v>770</v>
      </c>
      <c r="B131" s="119" t="s">
        <v>318</v>
      </c>
      <c r="C131" s="120" t="s">
        <v>596</v>
      </c>
      <c r="D131" s="120">
        <v>2021</v>
      </c>
      <c r="E131" s="120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>
        <f t="shared" si="8"/>
        <v>0</v>
      </c>
      <c r="P131" s="121"/>
      <c r="Q131" s="121"/>
      <c r="R131" s="121"/>
      <c r="T131" s="122">
        <v>3</v>
      </c>
      <c r="U131" s="123" t="s">
        <v>809</v>
      </c>
      <c r="V131" s="123" t="s">
        <v>815</v>
      </c>
    </row>
    <row r="132" spans="1:22">
      <c r="A132" s="119" t="s">
        <v>770</v>
      </c>
      <c r="B132" s="119" t="s">
        <v>318</v>
      </c>
      <c r="C132" s="120" t="s">
        <v>597</v>
      </c>
      <c r="D132" s="120">
        <v>2021</v>
      </c>
      <c r="E132" s="120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>
        <f t="shared" si="8"/>
        <v>0</v>
      </c>
      <c r="P132" s="121"/>
      <c r="Q132" s="121"/>
      <c r="R132" s="121"/>
      <c r="T132" s="122">
        <v>4</v>
      </c>
      <c r="U132" s="123" t="s">
        <v>809</v>
      </c>
      <c r="V132" s="123" t="s">
        <v>815</v>
      </c>
    </row>
    <row r="133" spans="1:22">
      <c r="A133" s="119" t="s">
        <v>770</v>
      </c>
      <c r="B133" s="119" t="s">
        <v>318</v>
      </c>
      <c r="C133" s="120" t="s">
        <v>600</v>
      </c>
      <c r="D133" s="120">
        <v>2021</v>
      </c>
      <c r="E133" s="120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>
        <f t="shared" si="8"/>
        <v>0</v>
      </c>
      <c r="P133" s="121"/>
      <c r="Q133" s="121"/>
      <c r="R133" s="121"/>
      <c r="T133" s="122">
        <v>5</v>
      </c>
      <c r="U133" s="123" t="s">
        <v>809</v>
      </c>
      <c r="V133" s="123" t="s">
        <v>815</v>
      </c>
    </row>
    <row r="134" spans="1:22" ht="10.5" customHeight="1">
      <c r="A134" s="119" t="s">
        <v>749</v>
      </c>
      <c r="B134" s="119" t="s">
        <v>319</v>
      </c>
      <c r="C134" s="120" t="s">
        <v>594</v>
      </c>
      <c r="D134" s="120">
        <v>2021</v>
      </c>
      <c r="E134" s="120"/>
      <c r="F134" s="121"/>
      <c r="G134" s="121"/>
      <c r="H134" s="121">
        <f>I134+J134</f>
        <v>6.05</v>
      </c>
      <c r="I134" s="121"/>
      <c r="J134" s="121">
        <f>110*0.055</f>
        <v>6.05</v>
      </c>
      <c r="K134" s="121"/>
      <c r="L134" s="121"/>
      <c r="M134" s="121"/>
      <c r="N134" s="121"/>
      <c r="O134" s="121">
        <f t="shared" si="8"/>
        <v>6.05</v>
      </c>
      <c r="P134" s="121"/>
      <c r="Q134" s="121"/>
      <c r="R134" s="121"/>
      <c r="T134" s="122">
        <v>1</v>
      </c>
      <c r="U134" s="123" t="s">
        <v>809</v>
      </c>
      <c r="V134" s="123" t="s">
        <v>810</v>
      </c>
    </row>
    <row r="135" spans="1:22">
      <c r="A135" s="119" t="s">
        <v>749</v>
      </c>
      <c r="B135" s="119" t="s">
        <v>319</v>
      </c>
      <c r="C135" s="120" t="s">
        <v>595</v>
      </c>
      <c r="D135" s="120">
        <v>2021</v>
      </c>
      <c r="E135" s="120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>
        <f t="shared" si="8"/>
        <v>0</v>
      </c>
      <c r="P135" s="121"/>
      <c r="Q135" s="121"/>
      <c r="R135" s="121"/>
      <c r="T135" s="122">
        <v>2</v>
      </c>
      <c r="U135" s="123" t="s">
        <v>809</v>
      </c>
      <c r="V135" s="123" t="s">
        <v>810</v>
      </c>
    </row>
    <row r="136" spans="1:22">
      <c r="A136" s="119" t="s">
        <v>749</v>
      </c>
      <c r="B136" s="119" t="s">
        <v>319</v>
      </c>
      <c r="C136" s="120" t="s">
        <v>596</v>
      </c>
      <c r="D136" s="120">
        <v>2021</v>
      </c>
      <c r="E136" s="120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>
        <f t="shared" si="8"/>
        <v>0</v>
      </c>
      <c r="P136" s="121"/>
      <c r="Q136" s="121"/>
      <c r="R136" s="121"/>
      <c r="T136" s="122">
        <v>3</v>
      </c>
      <c r="U136" s="123" t="s">
        <v>809</v>
      </c>
      <c r="V136" s="123" t="s">
        <v>810</v>
      </c>
    </row>
    <row r="137" spans="1:22">
      <c r="A137" s="119" t="s">
        <v>749</v>
      </c>
      <c r="B137" s="119" t="s">
        <v>319</v>
      </c>
      <c r="C137" s="120" t="s">
        <v>597</v>
      </c>
      <c r="D137" s="120">
        <v>2021</v>
      </c>
      <c r="E137" s="120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>
        <f t="shared" si="8"/>
        <v>0</v>
      </c>
      <c r="P137" s="121"/>
      <c r="Q137" s="121"/>
      <c r="R137" s="121"/>
      <c r="T137" s="122">
        <v>4</v>
      </c>
      <c r="U137" s="123" t="s">
        <v>809</v>
      </c>
      <c r="V137" s="123" t="s">
        <v>810</v>
      </c>
    </row>
    <row r="138" spans="1:22">
      <c r="A138" s="119" t="s">
        <v>749</v>
      </c>
      <c r="B138" s="119" t="s">
        <v>319</v>
      </c>
      <c r="C138" s="120" t="s">
        <v>600</v>
      </c>
      <c r="D138" s="120">
        <v>2021</v>
      </c>
      <c r="E138" s="120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>
        <f t="shared" si="8"/>
        <v>0</v>
      </c>
      <c r="P138" s="121"/>
      <c r="Q138" s="121"/>
      <c r="R138" s="121"/>
      <c r="T138" s="122">
        <v>5</v>
      </c>
      <c r="U138" s="123" t="s">
        <v>809</v>
      </c>
      <c r="V138" s="123" t="s">
        <v>810</v>
      </c>
    </row>
    <row r="139" spans="1:22">
      <c r="A139" s="119" t="s">
        <v>750</v>
      </c>
      <c r="B139" s="119" t="s">
        <v>320</v>
      </c>
      <c r="C139" s="120" t="s">
        <v>594</v>
      </c>
      <c r="D139" s="120">
        <v>2022</v>
      </c>
      <c r="E139" s="120"/>
      <c r="F139" s="121"/>
      <c r="G139" s="121"/>
      <c r="H139" s="121">
        <f>I139+J139</f>
        <v>9.9055</v>
      </c>
      <c r="I139" s="121"/>
      <c r="J139" s="121">
        <f>180.1*0.055</f>
        <v>9.9055</v>
      </c>
      <c r="K139" s="121"/>
      <c r="L139" s="121"/>
      <c r="M139" s="121"/>
      <c r="N139" s="121"/>
      <c r="O139" s="121">
        <f t="shared" si="8"/>
        <v>9.9055</v>
      </c>
      <c r="P139" s="121">
        <f>180.1*0.055</f>
        <v>9.9055</v>
      </c>
      <c r="Q139" s="121"/>
      <c r="R139" s="121"/>
      <c r="T139" s="122">
        <v>1</v>
      </c>
      <c r="U139" s="123" t="s">
        <v>809</v>
      </c>
      <c r="V139" s="123" t="s">
        <v>810</v>
      </c>
    </row>
    <row r="140" spans="1:22">
      <c r="A140" s="119" t="s">
        <v>750</v>
      </c>
      <c r="B140" s="119" t="s">
        <v>320</v>
      </c>
      <c r="C140" s="120" t="s">
        <v>595</v>
      </c>
      <c r="D140" s="120">
        <v>2022</v>
      </c>
      <c r="E140" s="120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>
        <f t="shared" si="8"/>
        <v>0</v>
      </c>
      <c r="P140" s="121"/>
      <c r="Q140" s="121"/>
      <c r="R140" s="121"/>
      <c r="T140" s="122">
        <v>2</v>
      </c>
      <c r="U140" s="123" t="s">
        <v>809</v>
      </c>
      <c r="V140" s="123" t="s">
        <v>810</v>
      </c>
    </row>
    <row r="141" spans="1:22">
      <c r="A141" s="119" t="s">
        <v>750</v>
      </c>
      <c r="B141" s="119" t="s">
        <v>320</v>
      </c>
      <c r="C141" s="120" t="s">
        <v>596</v>
      </c>
      <c r="D141" s="120">
        <v>2022</v>
      </c>
      <c r="E141" s="120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>
        <f t="shared" si="8"/>
        <v>0</v>
      </c>
      <c r="P141" s="121"/>
      <c r="Q141" s="121"/>
      <c r="R141" s="121"/>
      <c r="T141" s="122">
        <v>3</v>
      </c>
      <c r="U141" s="123" t="s">
        <v>809</v>
      </c>
      <c r="V141" s="123" t="s">
        <v>810</v>
      </c>
    </row>
    <row r="142" spans="1:22">
      <c r="A142" s="119" t="s">
        <v>750</v>
      </c>
      <c r="B142" s="119" t="s">
        <v>320</v>
      </c>
      <c r="C142" s="120" t="s">
        <v>597</v>
      </c>
      <c r="D142" s="120">
        <v>2022</v>
      </c>
      <c r="E142" s="120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>
        <f t="shared" si="8"/>
        <v>0</v>
      </c>
      <c r="P142" s="121"/>
      <c r="Q142" s="121"/>
      <c r="R142" s="121"/>
      <c r="T142" s="122">
        <v>4</v>
      </c>
      <c r="U142" s="123" t="s">
        <v>809</v>
      </c>
      <c r="V142" s="123" t="s">
        <v>810</v>
      </c>
    </row>
    <row r="143" spans="1:22">
      <c r="A143" s="119" t="s">
        <v>750</v>
      </c>
      <c r="B143" s="119" t="s">
        <v>320</v>
      </c>
      <c r="C143" s="120" t="s">
        <v>600</v>
      </c>
      <c r="D143" s="120">
        <v>2022</v>
      </c>
      <c r="E143" s="120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>
        <f t="shared" si="8"/>
        <v>0</v>
      </c>
      <c r="P143" s="121"/>
      <c r="Q143" s="121"/>
      <c r="R143" s="121"/>
      <c r="T143" s="122">
        <v>5</v>
      </c>
      <c r="U143" s="123" t="s">
        <v>809</v>
      </c>
      <c r="V143" s="123" t="s">
        <v>810</v>
      </c>
    </row>
    <row r="144" spans="1:22">
      <c r="A144" s="119" t="s">
        <v>751</v>
      </c>
      <c r="B144" s="119" t="s">
        <v>321</v>
      </c>
      <c r="C144" s="120" t="s">
        <v>594</v>
      </c>
      <c r="D144" s="120">
        <v>2021</v>
      </c>
      <c r="E144" s="120"/>
      <c r="F144" s="121"/>
      <c r="G144" s="121"/>
      <c r="H144" s="121">
        <f>I144+J144</f>
        <v>14.77223</v>
      </c>
      <c r="I144" s="121"/>
      <c r="J144" s="121">
        <f>268.586*0.055</f>
        <v>14.77223</v>
      </c>
      <c r="K144" s="121"/>
      <c r="L144" s="121"/>
      <c r="M144" s="121"/>
      <c r="N144" s="121"/>
      <c r="O144" s="121">
        <f t="shared" si="8"/>
        <v>14.77223</v>
      </c>
      <c r="P144" s="121">
        <f>268.586*0.055</f>
        <v>14.77223</v>
      </c>
      <c r="Q144" s="121"/>
      <c r="R144" s="121"/>
      <c r="T144" s="122">
        <v>1</v>
      </c>
      <c r="U144" s="123" t="s">
        <v>811</v>
      </c>
      <c r="V144" s="123" t="s">
        <v>813</v>
      </c>
    </row>
    <row r="145" spans="1:25">
      <c r="A145" s="119" t="s">
        <v>751</v>
      </c>
      <c r="B145" s="119" t="s">
        <v>321</v>
      </c>
      <c r="C145" s="120" t="s">
        <v>595</v>
      </c>
      <c r="D145" s="120">
        <v>2021</v>
      </c>
      <c r="E145" s="120"/>
      <c r="F145" s="124"/>
      <c r="G145" s="121"/>
      <c r="H145" s="121"/>
      <c r="I145" s="121"/>
      <c r="J145" s="121"/>
      <c r="K145" s="121"/>
      <c r="L145" s="121"/>
      <c r="M145" s="121"/>
      <c r="N145" s="121"/>
      <c r="O145" s="121">
        <f t="shared" si="8"/>
        <v>0</v>
      </c>
      <c r="P145" s="121"/>
      <c r="Q145" s="121"/>
      <c r="R145" s="121"/>
      <c r="T145" s="122">
        <v>2</v>
      </c>
      <c r="U145" s="123" t="s">
        <v>811</v>
      </c>
      <c r="V145" s="123" t="s">
        <v>813</v>
      </c>
    </row>
    <row r="146" spans="1:25" ht="9.6" customHeight="1">
      <c r="A146" s="119" t="s">
        <v>751</v>
      </c>
      <c r="B146" s="119" t="s">
        <v>321</v>
      </c>
      <c r="C146" s="125" t="s">
        <v>700</v>
      </c>
      <c r="D146" s="120">
        <v>2021</v>
      </c>
      <c r="E146" s="120"/>
      <c r="F146" s="124"/>
      <c r="G146" s="121"/>
      <c r="H146" s="121"/>
      <c r="I146" s="121"/>
      <c r="J146" s="121"/>
      <c r="K146" s="121"/>
      <c r="L146" s="121"/>
      <c r="M146" s="121"/>
      <c r="N146" s="121"/>
      <c r="O146" s="121">
        <f t="shared" si="8"/>
        <v>0</v>
      </c>
      <c r="P146" s="121"/>
      <c r="Q146" s="121"/>
      <c r="R146" s="121"/>
      <c r="S146" s="127"/>
      <c r="U146" s="123" t="s">
        <v>811</v>
      </c>
      <c r="V146" s="123" t="s">
        <v>813</v>
      </c>
    </row>
    <row r="147" spans="1:25">
      <c r="A147" s="119" t="s">
        <v>751</v>
      </c>
      <c r="B147" s="119" t="s">
        <v>321</v>
      </c>
      <c r="C147" s="120" t="s">
        <v>596</v>
      </c>
      <c r="D147" s="120">
        <v>2021</v>
      </c>
      <c r="E147" s="120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>
        <f t="shared" si="8"/>
        <v>0</v>
      </c>
      <c r="P147" s="121"/>
      <c r="Q147" s="121"/>
      <c r="R147" s="121"/>
      <c r="T147" s="122">
        <v>3</v>
      </c>
      <c r="U147" s="123" t="s">
        <v>811</v>
      </c>
      <c r="V147" s="123" t="s">
        <v>813</v>
      </c>
    </row>
    <row r="148" spans="1:25">
      <c r="A148" s="119" t="s">
        <v>751</v>
      </c>
      <c r="B148" s="119" t="s">
        <v>321</v>
      </c>
      <c r="C148" s="120" t="s">
        <v>597</v>
      </c>
      <c r="D148" s="120">
        <v>2021</v>
      </c>
      <c r="E148" s="120"/>
      <c r="F148" s="121"/>
      <c r="G148" s="121"/>
      <c r="H148" s="128">
        <f>I148+J148</f>
        <v>-3.16E-3</v>
      </c>
      <c r="I148" s="128"/>
      <c r="J148" s="128">
        <f>-0.158*0.02</f>
        <v>-3.16E-3</v>
      </c>
      <c r="K148" s="121"/>
      <c r="L148" s="121"/>
      <c r="M148" s="121"/>
      <c r="N148" s="121"/>
      <c r="O148" s="121">
        <f t="shared" si="8"/>
        <v>-3.16E-3</v>
      </c>
      <c r="P148" s="121">
        <f>0.6*0.02</f>
        <v>1.2E-2</v>
      </c>
      <c r="Q148" s="121">
        <f>0.758*0.02</f>
        <v>1.516E-2</v>
      </c>
      <c r="R148" s="121"/>
      <c r="T148" s="122">
        <v>4</v>
      </c>
      <c r="U148" s="123" t="s">
        <v>811</v>
      </c>
      <c r="V148" s="123" t="s">
        <v>813</v>
      </c>
    </row>
    <row r="149" spans="1:25">
      <c r="A149" s="119" t="s">
        <v>751</v>
      </c>
      <c r="B149" s="119" t="s">
        <v>321</v>
      </c>
      <c r="C149" s="120" t="s">
        <v>600</v>
      </c>
      <c r="D149" s="120">
        <v>2021</v>
      </c>
      <c r="E149" s="120"/>
      <c r="F149" s="121"/>
      <c r="G149" s="121"/>
      <c r="H149" s="128">
        <f>I149+J149</f>
        <v>2.0943999999999997E-2</v>
      </c>
      <c r="I149" s="121"/>
      <c r="J149" s="121">
        <f>0.952*0.022</f>
        <v>2.0943999999999997E-2</v>
      </c>
      <c r="K149" s="121"/>
      <c r="L149" s="121"/>
      <c r="M149" s="121"/>
      <c r="N149" s="121"/>
      <c r="O149" s="121">
        <f t="shared" si="8"/>
        <v>2.0943999999999997E-2</v>
      </c>
      <c r="P149" s="121">
        <f>0.952*0.022</f>
        <v>2.0943999999999997E-2</v>
      </c>
      <c r="Q149" s="121"/>
      <c r="R149" s="121"/>
      <c r="T149" s="122">
        <v>5</v>
      </c>
      <c r="U149" s="123" t="s">
        <v>811</v>
      </c>
      <c r="V149" s="123" t="s">
        <v>813</v>
      </c>
    </row>
    <row r="150" spans="1:25">
      <c r="A150" s="119" t="s">
        <v>751</v>
      </c>
      <c r="B150" s="119" t="s">
        <v>321</v>
      </c>
      <c r="C150" s="120" t="s">
        <v>643</v>
      </c>
      <c r="D150" s="120">
        <v>2021</v>
      </c>
      <c r="E150" s="120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>
        <f t="shared" si="8"/>
        <v>0</v>
      </c>
      <c r="P150" s="121"/>
      <c r="Q150" s="121"/>
      <c r="R150" s="121"/>
      <c r="U150" s="123" t="s">
        <v>811</v>
      </c>
      <c r="V150" s="123" t="s">
        <v>813</v>
      </c>
    </row>
    <row r="151" spans="1:25">
      <c r="A151" s="119" t="s">
        <v>564</v>
      </c>
      <c r="B151" s="119" t="s">
        <v>322</v>
      </c>
      <c r="C151" s="120" t="s">
        <v>594</v>
      </c>
      <c r="D151" s="120">
        <v>2021</v>
      </c>
      <c r="E151" s="126"/>
      <c r="F151" s="121">
        <f>21000*0.055</f>
        <v>1155</v>
      </c>
      <c r="G151" s="121"/>
      <c r="H151" s="121">
        <f>I151+J151</f>
        <v>5869.6302500000002</v>
      </c>
      <c r="I151" s="121">
        <f>55000*0.055</f>
        <v>3025</v>
      </c>
      <c r="J151" s="121">
        <f>51720.55*0.055</f>
        <v>2844.6302500000002</v>
      </c>
      <c r="K151" s="121"/>
      <c r="L151" s="121"/>
      <c r="M151" s="121"/>
      <c r="N151" s="121"/>
      <c r="O151" s="121">
        <f>F151+H151+K151+E151</f>
        <v>7024.6302500000002</v>
      </c>
      <c r="P151" s="121"/>
      <c r="Q151" s="121">
        <f>54352.69*0.055</f>
        <v>2989.39795</v>
      </c>
      <c r="R151" s="130">
        <f>182073.24*0.055</f>
        <v>10014.028199999999</v>
      </c>
      <c r="S151" s="127"/>
      <c r="T151" s="122">
        <v>1</v>
      </c>
      <c r="U151" s="123" t="s">
        <v>806</v>
      </c>
      <c r="V151" s="123" t="s">
        <v>807</v>
      </c>
      <c r="Y151" s="127"/>
    </row>
    <row r="152" spans="1:25">
      <c r="A152" s="119" t="s">
        <v>564</v>
      </c>
      <c r="B152" s="119" t="s">
        <v>322</v>
      </c>
      <c r="C152" s="120" t="s">
        <v>595</v>
      </c>
      <c r="D152" s="120">
        <v>2021</v>
      </c>
      <c r="E152" s="120"/>
      <c r="F152" s="121">
        <f>22775.5*0.11</f>
        <v>2505.3049999999998</v>
      </c>
      <c r="G152" s="121"/>
      <c r="H152" s="121"/>
      <c r="I152" s="121"/>
      <c r="J152" s="121"/>
      <c r="K152" s="121">
        <f>2500*0.11</f>
        <v>275</v>
      </c>
      <c r="L152" s="121"/>
      <c r="M152" s="121"/>
      <c r="N152" s="121"/>
      <c r="O152" s="121">
        <f>F152+H152+K152+N152+E152</f>
        <v>2780.3049999999998</v>
      </c>
      <c r="P152" s="121"/>
      <c r="Q152" s="121">
        <f>6953.09*0.11</f>
        <v>764.83990000000006</v>
      </c>
      <c r="R152" s="130">
        <f>32228.59*0.11</f>
        <v>3545.1449000000002</v>
      </c>
      <c r="S152" s="127"/>
      <c r="T152" s="122">
        <v>2</v>
      </c>
      <c r="U152" s="123" t="s">
        <v>806</v>
      </c>
      <c r="V152" s="123" t="s">
        <v>807</v>
      </c>
      <c r="Y152" s="127"/>
    </row>
    <row r="153" spans="1:25">
      <c r="A153" s="119" t="s">
        <v>564</v>
      </c>
      <c r="B153" s="119" t="s">
        <v>322</v>
      </c>
      <c r="C153" s="120" t="s">
        <v>596</v>
      </c>
      <c r="D153" s="120">
        <v>2021</v>
      </c>
      <c r="E153" s="120"/>
      <c r="F153" s="121">
        <f>2500*0.065</f>
        <v>162.5</v>
      </c>
      <c r="G153" s="121"/>
      <c r="H153" s="121">
        <f>I153+J153</f>
        <v>134.97899999999998</v>
      </c>
      <c r="I153" s="121">
        <f>65*0.065</f>
        <v>4.2250000000000005</v>
      </c>
      <c r="J153" s="121">
        <f>2011.6*0.065</f>
        <v>130.75399999999999</v>
      </c>
      <c r="K153" s="121"/>
      <c r="L153" s="121"/>
      <c r="M153" s="121"/>
      <c r="N153" s="121"/>
      <c r="O153" s="121">
        <f>F153+H153+K153</f>
        <v>297.47899999999998</v>
      </c>
      <c r="P153" s="121"/>
      <c r="Q153" s="121">
        <f>2649.94*0.065</f>
        <v>172.24610000000001</v>
      </c>
      <c r="R153" s="130">
        <f>7226.54*0.065</f>
        <v>469.7251</v>
      </c>
      <c r="S153" s="127"/>
      <c r="T153" s="122">
        <v>3</v>
      </c>
      <c r="U153" s="123" t="s">
        <v>806</v>
      </c>
      <c r="V153" s="123" t="s">
        <v>807</v>
      </c>
      <c r="Y153" s="127"/>
    </row>
    <row r="154" spans="1:25">
      <c r="A154" s="119" t="s">
        <v>564</v>
      </c>
      <c r="B154" s="119" t="s">
        <v>322</v>
      </c>
      <c r="C154" s="120" t="s">
        <v>597</v>
      </c>
      <c r="D154" s="120">
        <v>2021</v>
      </c>
      <c r="E154" s="120"/>
      <c r="F154" s="121"/>
      <c r="G154" s="121"/>
      <c r="H154" s="121">
        <f>I154+J154</f>
        <v>18.926000000000002</v>
      </c>
      <c r="I154" s="121">
        <f>540*0.02</f>
        <v>10.8</v>
      </c>
      <c r="J154" s="121">
        <f>406.3*0.02</f>
        <v>8.1260000000000012</v>
      </c>
      <c r="K154" s="121"/>
      <c r="L154" s="121"/>
      <c r="M154" s="121"/>
      <c r="N154" s="121"/>
      <c r="O154" s="121">
        <f>F154+H154+K154</f>
        <v>18.926000000000002</v>
      </c>
      <c r="P154" s="121"/>
      <c r="Q154" s="121">
        <f>1031.83*0.02</f>
        <v>20.636599999999998</v>
      </c>
      <c r="R154" s="130">
        <f>1978.13*0.02</f>
        <v>39.562600000000003</v>
      </c>
      <c r="S154" s="127"/>
      <c r="T154" s="122">
        <v>4</v>
      </c>
      <c r="U154" s="123" t="s">
        <v>806</v>
      </c>
      <c r="V154" s="123" t="s">
        <v>807</v>
      </c>
      <c r="Y154" s="127"/>
    </row>
    <row r="155" spans="1:25">
      <c r="A155" s="119" t="s">
        <v>564</v>
      </c>
      <c r="B155" s="119" t="s">
        <v>322</v>
      </c>
      <c r="C155" s="120" t="s">
        <v>600</v>
      </c>
      <c r="D155" s="120">
        <v>2021</v>
      </c>
      <c r="E155" s="120"/>
      <c r="F155" s="121"/>
      <c r="G155" s="121"/>
      <c r="H155" s="121">
        <f>I155+J155</f>
        <v>-0.69629999999999992</v>
      </c>
      <c r="I155" s="121"/>
      <c r="J155" s="121">
        <f>-31.65*0.022</f>
        <v>-0.69629999999999992</v>
      </c>
      <c r="K155" s="121"/>
      <c r="L155" s="121"/>
      <c r="M155" s="121"/>
      <c r="N155" s="121"/>
      <c r="O155" s="121">
        <f>F155+H155+K155</f>
        <v>-0.69629999999999992</v>
      </c>
      <c r="P155" s="121"/>
      <c r="Q155" s="121">
        <f>41.17*0.022</f>
        <v>0.90573999999999999</v>
      </c>
      <c r="R155" s="130">
        <f>9.52*0.022</f>
        <v>0.20943999999999999</v>
      </c>
      <c r="S155" s="127"/>
      <c r="T155" s="122">
        <v>5</v>
      </c>
      <c r="U155" s="123" t="s">
        <v>806</v>
      </c>
      <c r="V155" s="123" t="s">
        <v>807</v>
      </c>
      <c r="Y155" s="127"/>
    </row>
    <row r="156" spans="1:25">
      <c r="A156" s="119" t="s">
        <v>564</v>
      </c>
      <c r="B156" s="119" t="s">
        <v>322</v>
      </c>
      <c r="C156" s="120" t="s">
        <v>242</v>
      </c>
      <c r="D156" s="120">
        <v>2021</v>
      </c>
      <c r="E156" s="120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>
        <f t="shared" ref="O156" si="9">F156+H156+K156</f>
        <v>0</v>
      </c>
      <c r="P156" s="121"/>
      <c r="Q156" s="121"/>
      <c r="R156" s="130"/>
      <c r="S156" s="127"/>
      <c r="U156" s="123" t="s">
        <v>806</v>
      </c>
      <c r="V156" s="123" t="s">
        <v>807</v>
      </c>
      <c r="Y156" s="127"/>
    </row>
    <row r="157" spans="1:25">
      <c r="A157" s="119" t="s">
        <v>564</v>
      </c>
      <c r="B157" s="119" t="s">
        <v>322</v>
      </c>
      <c r="C157" s="120" t="s">
        <v>244</v>
      </c>
      <c r="D157" s="120">
        <v>2021</v>
      </c>
      <c r="E157" s="120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>
        <f>F157+H157+K157</f>
        <v>0</v>
      </c>
      <c r="P157" s="121"/>
      <c r="Q157" s="121"/>
      <c r="R157" s="121"/>
      <c r="S157" s="127"/>
      <c r="U157" s="123" t="s">
        <v>806</v>
      </c>
      <c r="V157" s="123" t="s">
        <v>807</v>
      </c>
      <c r="Y157" s="127"/>
    </row>
    <row r="158" spans="1:25">
      <c r="A158" s="119" t="s">
        <v>564</v>
      </c>
      <c r="B158" s="119" t="s">
        <v>322</v>
      </c>
      <c r="C158" s="120" t="s">
        <v>405</v>
      </c>
      <c r="D158" s="120">
        <v>2021</v>
      </c>
      <c r="E158" s="120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>
        <f>F158+H158+K158</f>
        <v>0</v>
      </c>
      <c r="P158" s="121"/>
      <c r="Q158" s="121"/>
      <c r="R158" s="121"/>
      <c r="S158" s="127"/>
      <c r="U158" s="123" t="s">
        <v>806</v>
      </c>
      <c r="V158" s="123" t="s">
        <v>807</v>
      </c>
      <c r="Y158" s="127"/>
    </row>
    <row r="159" spans="1:25">
      <c r="A159" s="119" t="s">
        <v>564</v>
      </c>
      <c r="B159" s="119" t="s">
        <v>322</v>
      </c>
      <c r="C159" s="120" t="s">
        <v>406</v>
      </c>
      <c r="D159" s="120">
        <v>2021</v>
      </c>
      <c r="E159" s="120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>
        <f>F159+H159+K159</f>
        <v>0</v>
      </c>
      <c r="P159" s="121"/>
      <c r="Q159" s="121"/>
      <c r="R159" s="121"/>
      <c r="S159" s="127"/>
      <c r="U159" s="123" t="s">
        <v>806</v>
      </c>
      <c r="V159" s="123" t="s">
        <v>807</v>
      </c>
      <c r="Y159" s="127"/>
    </row>
    <row r="160" spans="1:25">
      <c r="A160" s="119" t="s">
        <v>755</v>
      </c>
      <c r="B160" s="119" t="s">
        <v>323</v>
      </c>
      <c r="C160" s="120" t="s">
        <v>594</v>
      </c>
      <c r="D160" s="120">
        <v>2021</v>
      </c>
      <c r="E160" s="126"/>
      <c r="F160" s="121"/>
      <c r="G160" s="121"/>
      <c r="H160" s="121">
        <f>I160+J160</f>
        <v>25.33905</v>
      </c>
      <c r="I160" s="121"/>
      <c r="J160" s="121">
        <f>460.71*0.055</f>
        <v>25.33905</v>
      </c>
      <c r="K160" s="121"/>
      <c r="L160" s="121"/>
      <c r="M160" s="121"/>
      <c r="N160" s="121"/>
      <c r="O160" s="121">
        <f t="shared" ref="O160:O165" si="10">F160+H160+G160+K160+E160</f>
        <v>25.33905</v>
      </c>
      <c r="P160" s="121">
        <f>460.71*0.055</f>
        <v>25.33905</v>
      </c>
      <c r="Q160" s="121"/>
      <c r="R160" s="121"/>
      <c r="T160" s="122">
        <v>1</v>
      </c>
      <c r="U160" s="123" t="s">
        <v>811</v>
      </c>
      <c r="V160" s="123" t="s">
        <v>813</v>
      </c>
    </row>
    <row r="161" spans="1:22">
      <c r="A161" s="119" t="s">
        <v>755</v>
      </c>
      <c r="B161" s="119" t="s">
        <v>323</v>
      </c>
      <c r="C161" s="120" t="s">
        <v>595</v>
      </c>
      <c r="D161" s="120">
        <v>2021</v>
      </c>
      <c r="E161" s="120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>
        <f t="shared" si="10"/>
        <v>0</v>
      </c>
      <c r="P161" s="121"/>
      <c r="Q161" s="121"/>
      <c r="R161" s="121"/>
      <c r="S161" s="127"/>
      <c r="T161" s="122">
        <v>2</v>
      </c>
      <c r="U161" s="123" t="s">
        <v>811</v>
      </c>
      <c r="V161" s="123" t="s">
        <v>813</v>
      </c>
    </row>
    <row r="162" spans="1:22">
      <c r="A162" s="119" t="s">
        <v>755</v>
      </c>
      <c r="B162" s="119" t="s">
        <v>323</v>
      </c>
      <c r="C162" s="125" t="s">
        <v>700</v>
      </c>
      <c r="D162" s="120">
        <v>2021</v>
      </c>
      <c r="E162" s="120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>
        <f t="shared" si="10"/>
        <v>0</v>
      </c>
      <c r="P162" s="121"/>
      <c r="Q162" s="121"/>
      <c r="R162" s="121"/>
      <c r="S162" s="127"/>
      <c r="U162" s="123" t="s">
        <v>811</v>
      </c>
      <c r="V162" s="123" t="s">
        <v>813</v>
      </c>
    </row>
    <row r="163" spans="1:22">
      <c r="A163" s="119" t="s">
        <v>755</v>
      </c>
      <c r="B163" s="119" t="s">
        <v>323</v>
      </c>
      <c r="C163" s="120" t="s">
        <v>596</v>
      </c>
      <c r="D163" s="120">
        <v>2021</v>
      </c>
      <c r="E163" s="120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>
        <f t="shared" si="10"/>
        <v>0</v>
      </c>
      <c r="P163" s="121"/>
      <c r="Q163" s="121"/>
      <c r="R163" s="121"/>
      <c r="T163" s="122">
        <v>3</v>
      </c>
      <c r="U163" s="123" t="s">
        <v>811</v>
      </c>
      <c r="V163" s="123" t="s">
        <v>813</v>
      </c>
    </row>
    <row r="164" spans="1:22">
      <c r="A164" s="119" t="s">
        <v>755</v>
      </c>
      <c r="B164" s="119" t="s">
        <v>323</v>
      </c>
      <c r="C164" s="120" t="s">
        <v>597</v>
      </c>
      <c r="D164" s="120">
        <v>2021</v>
      </c>
      <c r="E164" s="120"/>
      <c r="F164" s="121"/>
      <c r="G164" s="121">
        <f>1.31*0.02</f>
        <v>2.6200000000000001E-2</v>
      </c>
      <c r="H164" s="121">
        <f>I164+J164</f>
        <v>2.3799999999999998E-2</v>
      </c>
      <c r="I164" s="121"/>
      <c r="J164" s="121">
        <f>1.19*0.02</f>
        <v>2.3799999999999998E-2</v>
      </c>
      <c r="K164" s="121"/>
      <c r="L164" s="121"/>
      <c r="M164" s="121"/>
      <c r="N164" s="121"/>
      <c r="O164" s="121">
        <f t="shared" si="10"/>
        <v>0.05</v>
      </c>
      <c r="P164" s="121">
        <f>2.5*0.02</f>
        <v>0.05</v>
      </c>
      <c r="Q164" s="121"/>
      <c r="R164" s="121"/>
      <c r="T164" s="122">
        <v>4</v>
      </c>
      <c r="U164" s="123" t="s">
        <v>811</v>
      </c>
      <c r="V164" s="123" t="s">
        <v>813</v>
      </c>
    </row>
    <row r="165" spans="1:22">
      <c r="A165" s="119" t="s">
        <v>755</v>
      </c>
      <c r="B165" s="119" t="s">
        <v>323</v>
      </c>
      <c r="C165" s="120" t="s">
        <v>600</v>
      </c>
      <c r="D165" s="120">
        <v>2021</v>
      </c>
      <c r="E165" s="120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>
        <f t="shared" si="10"/>
        <v>0</v>
      </c>
      <c r="P165" s="121"/>
      <c r="Q165" s="121"/>
      <c r="R165" s="121"/>
      <c r="T165" s="122">
        <v>5</v>
      </c>
      <c r="U165" s="123" t="s">
        <v>811</v>
      </c>
      <c r="V165" s="123" t="s">
        <v>813</v>
      </c>
    </row>
    <row r="166" spans="1:22">
      <c r="A166" s="119" t="s">
        <v>754</v>
      </c>
      <c r="B166" s="119" t="s">
        <v>324</v>
      </c>
      <c r="C166" s="125" t="s">
        <v>594</v>
      </c>
      <c r="D166" s="120">
        <v>2021</v>
      </c>
      <c r="E166" s="125"/>
      <c r="F166" s="124"/>
      <c r="G166" s="124"/>
      <c r="H166" s="124">
        <f>I166+J166</f>
        <v>3.85E-2</v>
      </c>
      <c r="I166" s="124"/>
      <c r="J166" s="124">
        <f>0.7*0.055</f>
        <v>3.85E-2</v>
      </c>
      <c r="K166" s="124"/>
      <c r="L166" s="124"/>
      <c r="M166" s="124"/>
      <c r="N166" s="124"/>
      <c r="O166" s="124">
        <f>F166+H166</f>
        <v>3.85E-2</v>
      </c>
      <c r="P166" s="124">
        <f>0.7*0.055</f>
        <v>3.85E-2</v>
      </c>
      <c r="Q166" s="124"/>
      <c r="R166" s="124"/>
      <c r="T166" s="122">
        <v>1</v>
      </c>
      <c r="U166" s="123" t="s">
        <v>809</v>
      </c>
      <c r="V166" s="123" t="s">
        <v>810</v>
      </c>
    </row>
    <row r="167" spans="1:22">
      <c r="A167" s="119" t="s">
        <v>754</v>
      </c>
      <c r="B167" s="119" t="s">
        <v>324</v>
      </c>
      <c r="C167" s="125" t="s">
        <v>595</v>
      </c>
      <c r="D167" s="120">
        <v>2021</v>
      </c>
      <c r="E167" s="125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>
        <f>F167+H167</f>
        <v>0</v>
      </c>
      <c r="P167" s="124"/>
      <c r="Q167" s="124"/>
      <c r="R167" s="124"/>
      <c r="T167" s="122">
        <v>2</v>
      </c>
      <c r="U167" s="123" t="s">
        <v>809</v>
      </c>
      <c r="V167" s="123" t="s">
        <v>810</v>
      </c>
    </row>
    <row r="168" spans="1:22">
      <c r="A168" s="119" t="s">
        <v>754</v>
      </c>
      <c r="B168" s="119" t="s">
        <v>324</v>
      </c>
      <c r="C168" s="125" t="s">
        <v>596</v>
      </c>
      <c r="D168" s="120">
        <v>2021</v>
      </c>
      <c r="E168" s="125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>
        <f>F168+H168</f>
        <v>0</v>
      </c>
      <c r="P168" s="124"/>
      <c r="Q168" s="124"/>
      <c r="R168" s="124"/>
      <c r="T168" s="122">
        <v>3</v>
      </c>
      <c r="U168" s="123" t="s">
        <v>809</v>
      </c>
      <c r="V168" s="123" t="s">
        <v>810</v>
      </c>
    </row>
    <row r="169" spans="1:22">
      <c r="A169" s="119" t="s">
        <v>754</v>
      </c>
      <c r="B169" s="119" t="s">
        <v>324</v>
      </c>
      <c r="C169" s="125" t="s">
        <v>597</v>
      </c>
      <c r="D169" s="120">
        <v>2021</v>
      </c>
      <c r="E169" s="125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>
        <f>F169+H169</f>
        <v>0</v>
      </c>
      <c r="P169" s="124"/>
      <c r="Q169" s="124"/>
      <c r="R169" s="124"/>
      <c r="T169" s="122">
        <v>4</v>
      </c>
      <c r="U169" s="123" t="s">
        <v>809</v>
      </c>
      <c r="V169" s="123" t="s">
        <v>810</v>
      </c>
    </row>
    <row r="170" spans="1:22">
      <c r="A170" s="119" t="s">
        <v>754</v>
      </c>
      <c r="B170" s="119" t="s">
        <v>324</v>
      </c>
      <c r="C170" s="125" t="s">
        <v>600</v>
      </c>
      <c r="D170" s="120">
        <v>2021</v>
      </c>
      <c r="E170" s="125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>
        <f>F170+H170</f>
        <v>0</v>
      </c>
      <c r="P170" s="124"/>
      <c r="Q170" s="124"/>
      <c r="R170" s="124"/>
      <c r="T170" s="122">
        <v>5</v>
      </c>
      <c r="U170" s="123" t="s">
        <v>809</v>
      </c>
      <c r="V170" s="123" t="s">
        <v>810</v>
      </c>
    </row>
    <row r="171" spans="1:22">
      <c r="A171" s="119" t="s">
        <v>553</v>
      </c>
      <c r="B171" s="119" t="s">
        <v>325</v>
      </c>
      <c r="C171" s="120" t="s">
        <v>594</v>
      </c>
      <c r="D171" s="120">
        <v>2021</v>
      </c>
      <c r="E171" s="120"/>
      <c r="F171" s="121"/>
      <c r="G171" s="121"/>
      <c r="H171" s="121">
        <f>I171+J171</f>
        <v>6.1929999999999996</v>
      </c>
      <c r="I171" s="121"/>
      <c r="J171" s="121">
        <f>112.6*0.055</f>
        <v>6.1929999999999996</v>
      </c>
      <c r="K171" s="121"/>
      <c r="L171" s="121"/>
      <c r="M171" s="121"/>
      <c r="N171" s="121"/>
      <c r="O171" s="121">
        <f t="shared" ref="O171:O176" si="11">F171+H171</f>
        <v>6.1929999999999996</v>
      </c>
      <c r="P171" s="121">
        <f>112.6*0.055</f>
        <v>6.1929999999999996</v>
      </c>
      <c r="Q171" s="121"/>
      <c r="R171" s="121"/>
      <c r="T171" s="122">
        <v>1</v>
      </c>
      <c r="U171" s="123" t="s">
        <v>809</v>
      </c>
      <c r="V171" s="123" t="s">
        <v>810</v>
      </c>
    </row>
    <row r="172" spans="1:22">
      <c r="A172" s="119" t="s">
        <v>553</v>
      </c>
      <c r="B172" s="119" t="s">
        <v>325</v>
      </c>
      <c r="C172" s="120" t="s">
        <v>595</v>
      </c>
      <c r="D172" s="120">
        <v>2021</v>
      </c>
      <c r="E172" s="120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>
        <f t="shared" si="11"/>
        <v>0</v>
      </c>
      <c r="P172" s="121"/>
      <c r="Q172" s="121"/>
      <c r="R172" s="121"/>
      <c r="T172" s="122">
        <v>2</v>
      </c>
      <c r="U172" s="123" t="s">
        <v>809</v>
      </c>
      <c r="V172" s="123" t="s">
        <v>810</v>
      </c>
    </row>
    <row r="173" spans="1:22">
      <c r="A173" s="119" t="s">
        <v>553</v>
      </c>
      <c r="B173" s="119" t="s">
        <v>325</v>
      </c>
      <c r="C173" s="120" t="s">
        <v>596</v>
      </c>
      <c r="D173" s="120">
        <v>2021</v>
      </c>
      <c r="E173" s="120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>
        <f t="shared" si="11"/>
        <v>0</v>
      </c>
      <c r="P173" s="121"/>
      <c r="Q173" s="121"/>
      <c r="R173" s="121"/>
      <c r="T173" s="122">
        <v>3</v>
      </c>
      <c r="U173" s="123" t="s">
        <v>809</v>
      </c>
      <c r="V173" s="123" t="s">
        <v>810</v>
      </c>
    </row>
    <row r="174" spans="1:22">
      <c r="A174" s="119" t="s">
        <v>553</v>
      </c>
      <c r="B174" s="119" t="s">
        <v>325</v>
      </c>
      <c r="C174" s="120" t="s">
        <v>597</v>
      </c>
      <c r="D174" s="120">
        <v>2021</v>
      </c>
      <c r="E174" s="120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>
        <f t="shared" si="11"/>
        <v>0</v>
      </c>
      <c r="P174" s="121"/>
      <c r="Q174" s="121"/>
      <c r="R174" s="121"/>
      <c r="T174" s="122">
        <v>4</v>
      </c>
      <c r="U174" s="123" t="s">
        <v>809</v>
      </c>
      <c r="V174" s="123" t="s">
        <v>810</v>
      </c>
    </row>
    <row r="175" spans="1:22">
      <c r="A175" s="119" t="s">
        <v>553</v>
      </c>
      <c r="B175" s="119" t="s">
        <v>325</v>
      </c>
      <c r="C175" s="120" t="s">
        <v>600</v>
      </c>
      <c r="D175" s="120">
        <v>2021</v>
      </c>
      <c r="E175" s="120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>
        <f t="shared" si="11"/>
        <v>0</v>
      </c>
      <c r="P175" s="121"/>
      <c r="Q175" s="121"/>
      <c r="R175" s="121"/>
      <c r="T175" s="122">
        <v>5</v>
      </c>
      <c r="U175" s="123" t="s">
        <v>809</v>
      </c>
      <c r="V175" s="123" t="s">
        <v>810</v>
      </c>
    </row>
    <row r="176" spans="1:22">
      <c r="A176" s="119" t="s">
        <v>508</v>
      </c>
      <c r="B176" s="119" t="s">
        <v>326</v>
      </c>
      <c r="C176" s="120" t="s">
        <v>594</v>
      </c>
      <c r="D176" s="120">
        <v>2021</v>
      </c>
      <c r="E176" s="120"/>
      <c r="F176" s="121"/>
      <c r="G176" s="121"/>
      <c r="H176" s="128"/>
      <c r="I176" s="128"/>
      <c r="J176" s="128"/>
      <c r="K176" s="121"/>
      <c r="L176" s="121"/>
      <c r="M176" s="121"/>
      <c r="N176" s="121"/>
      <c r="O176" s="128">
        <f t="shared" si="11"/>
        <v>0</v>
      </c>
      <c r="P176" s="128">
        <v>0</v>
      </c>
      <c r="Q176" s="121"/>
      <c r="R176" s="121"/>
      <c r="T176" s="122">
        <v>1</v>
      </c>
      <c r="U176" s="123" t="s">
        <v>806</v>
      </c>
      <c r="V176" s="123" t="s">
        <v>816</v>
      </c>
    </row>
    <row r="177" spans="1:22">
      <c r="A177" s="119" t="s">
        <v>508</v>
      </c>
      <c r="B177" s="119" t="s">
        <v>326</v>
      </c>
      <c r="C177" s="120" t="s">
        <v>595</v>
      </c>
      <c r="D177" s="120">
        <v>2021</v>
      </c>
      <c r="E177" s="120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>
        <v>0</v>
      </c>
      <c r="P177" s="121"/>
      <c r="Q177" s="121"/>
      <c r="R177" s="121"/>
      <c r="T177" s="122">
        <v>2</v>
      </c>
      <c r="U177" s="123" t="s">
        <v>806</v>
      </c>
      <c r="V177" s="123" t="s">
        <v>816</v>
      </c>
    </row>
    <row r="178" spans="1:22">
      <c r="A178" s="119" t="s">
        <v>508</v>
      </c>
      <c r="B178" s="119" t="s">
        <v>326</v>
      </c>
      <c r="C178" s="120" t="s">
        <v>596</v>
      </c>
      <c r="D178" s="120">
        <v>2021</v>
      </c>
      <c r="E178" s="120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>
        <v>0</v>
      </c>
      <c r="P178" s="121"/>
      <c r="Q178" s="121"/>
      <c r="R178" s="121"/>
      <c r="T178" s="122">
        <v>3</v>
      </c>
      <c r="U178" s="123" t="s">
        <v>806</v>
      </c>
      <c r="V178" s="123" t="s">
        <v>816</v>
      </c>
    </row>
    <row r="179" spans="1:22">
      <c r="A179" s="119" t="s">
        <v>508</v>
      </c>
      <c r="B179" s="119" t="s">
        <v>326</v>
      </c>
      <c r="C179" s="120" t="s">
        <v>597</v>
      </c>
      <c r="D179" s="120">
        <v>2021</v>
      </c>
      <c r="E179" s="120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>
        <v>0</v>
      </c>
      <c r="P179" s="121"/>
      <c r="Q179" s="121"/>
      <c r="R179" s="121"/>
      <c r="T179" s="122">
        <v>4</v>
      </c>
      <c r="U179" s="123" t="s">
        <v>806</v>
      </c>
      <c r="V179" s="123" t="s">
        <v>816</v>
      </c>
    </row>
    <row r="180" spans="1:22">
      <c r="A180" s="119" t="s">
        <v>508</v>
      </c>
      <c r="B180" s="119" t="s">
        <v>326</v>
      </c>
      <c r="C180" s="120" t="s">
        <v>600</v>
      </c>
      <c r="D180" s="120">
        <v>2021</v>
      </c>
      <c r="E180" s="120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>
        <v>0</v>
      </c>
      <c r="P180" s="121"/>
      <c r="Q180" s="121"/>
      <c r="R180" s="121"/>
      <c r="T180" s="122">
        <v>5</v>
      </c>
      <c r="U180" s="123" t="s">
        <v>806</v>
      </c>
      <c r="V180" s="123" t="s">
        <v>816</v>
      </c>
    </row>
    <row r="181" spans="1:22">
      <c r="A181" s="119" t="s">
        <v>756</v>
      </c>
      <c r="B181" s="119" t="s">
        <v>327</v>
      </c>
      <c r="C181" s="120" t="s">
        <v>594</v>
      </c>
      <c r="D181" s="120">
        <v>2021</v>
      </c>
      <c r="E181" s="120"/>
      <c r="F181" s="121"/>
      <c r="G181" s="121"/>
      <c r="H181" s="121">
        <f>I181+J181</f>
        <v>2.7951000000000001</v>
      </c>
      <c r="I181" s="124"/>
      <c r="J181" s="121">
        <f>50.82*0.055</f>
        <v>2.7951000000000001</v>
      </c>
      <c r="K181" s="121"/>
      <c r="L181" s="121"/>
      <c r="M181" s="121"/>
      <c r="N181" s="121"/>
      <c r="O181" s="121">
        <f t="shared" ref="O181:O194" si="12">F181+H181</f>
        <v>2.7951000000000001</v>
      </c>
      <c r="P181" s="121">
        <f>50.82*0.055</f>
        <v>2.7951000000000001</v>
      </c>
      <c r="Q181" s="121"/>
      <c r="R181" s="121"/>
      <c r="S181" s="127"/>
      <c r="T181" s="122">
        <v>1</v>
      </c>
      <c r="U181" s="123" t="s">
        <v>811</v>
      </c>
      <c r="V181" s="123" t="s">
        <v>817</v>
      </c>
    </row>
    <row r="182" spans="1:22">
      <c r="A182" s="119" t="s">
        <v>756</v>
      </c>
      <c r="B182" s="119" t="s">
        <v>327</v>
      </c>
      <c r="C182" s="120" t="s">
        <v>595</v>
      </c>
      <c r="D182" s="120">
        <v>2021</v>
      </c>
      <c r="E182" s="120"/>
      <c r="F182" s="121"/>
      <c r="G182" s="121"/>
      <c r="H182" s="121">
        <f>I182+J182</f>
        <v>0.60170000000000001</v>
      </c>
      <c r="I182" s="121"/>
      <c r="J182" s="121">
        <f>5.47*0.11</f>
        <v>0.60170000000000001</v>
      </c>
      <c r="K182" s="121"/>
      <c r="L182" s="121"/>
      <c r="M182" s="121"/>
      <c r="N182" s="121"/>
      <c r="O182" s="121">
        <f t="shared" si="12"/>
        <v>0.60170000000000001</v>
      </c>
      <c r="P182" s="121">
        <f>5.47*0.11</f>
        <v>0.60170000000000001</v>
      </c>
      <c r="Q182" s="121"/>
      <c r="R182" s="121"/>
      <c r="S182" s="127"/>
      <c r="T182" s="122">
        <v>2</v>
      </c>
      <c r="U182" s="123" t="s">
        <v>811</v>
      </c>
      <c r="V182" s="123" t="s">
        <v>817</v>
      </c>
    </row>
    <row r="183" spans="1:22">
      <c r="A183" s="119" t="s">
        <v>756</v>
      </c>
      <c r="B183" s="119" t="s">
        <v>327</v>
      </c>
      <c r="C183" s="125" t="s">
        <v>700</v>
      </c>
      <c r="D183" s="120">
        <v>2021</v>
      </c>
      <c r="E183" s="120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>
        <f t="shared" si="12"/>
        <v>0</v>
      </c>
      <c r="P183" s="121"/>
      <c r="Q183" s="121"/>
      <c r="R183" s="121"/>
      <c r="S183" s="127"/>
      <c r="U183" s="123" t="s">
        <v>811</v>
      </c>
      <c r="V183" s="123" t="s">
        <v>817</v>
      </c>
    </row>
    <row r="184" spans="1:22">
      <c r="A184" s="119" t="s">
        <v>756</v>
      </c>
      <c r="B184" s="119" t="s">
        <v>327</v>
      </c>
      <c r="C184" s="120" t="s">
        <v>596</v>
      </c>
      <c r="D184" s="120">
        <v>2021</v>
      </c>
      <c r="E184" s="120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>
        <f t="shared" si="12"/>
        <v>0</v>
      </c>
      <c r="P184" s="121"/>
      <c r="Q184" s="121"/>
      <c r="R184" s="121"/>
      <c r="S184" s="127"/>
      <c r="T184" s="122">
        <v>3</v>
      </c>
      <c r="U184" s="123" t="s">
        <v>811</v>
      </c>
      <c r="V184" s="123" t="s">
        <v>817</v>
      </c>
    </row>
    <row r="185" spans="1:22">
      <c r="A185" s="119" t="s">
        <v>756</v>
      </c>
      <c r="B185" s="119" t="s">
        <v>327</v>
      </c>
      <c r="C185" s="120" t="s">
        <v>597</v>
      </c>
      <c r="D185" s="120">
        <v>2021</v>
      </c>
      <c r="E185" s="120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>
        <f t="shared" si="12"/>
        <v>0</v>
      </c>
      <c r="P185" s="121"/>
      <c r="Q185" s="121"/>
      <c r="R185" s="121"/>
      <c r="S185" s="127"/>
      <c r="T185" s="122">
        <v>4</v>
      </c>
      <c r="U185" s="123" t="s">
        <v>811</v>
      </c>
      <c r="V185" s="123" t="s">
        <v>817</v>
      </c>
    </row>
    <row r="186" spans="1:22">
      <c r="A186" s="119" t="s">
        <v>756</v>
      </c>
      <c r="B186" s="119" t="s">
        <v>327</v>
      </c>
      <c r="C186" s="120" t="s">
        <v>600</v>
      </c>
      <c r="D186" s="120">
        <v>2021</v>
      </c>
      <c r="E186" s="120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>
        <f t="shared" si="12"/>
        <v>0</v>
      </c>
      <c r="P186" s="121"/>
      <c r="Q186" s="121"/>
      <c r="R186" s="121"/>
      <c r="S186" s="127"/>
      <c r="T186" s="122">
        <v>5</v>
      </c>
      <c r="U186" s="123" t="s">
        <v>811</v>
      </c>
      <c r="V186" s="123" t="s">
        <v>817</v>
      </c>
    </row>
    <row r="187" spans="1:22">
      <c r="A187" s="119" t="s">
        <v>756</v>
      </c>
      <c r="B187" s="119" t="s">
        <v>327</v>
      </c>
      <c r="C187" s="120" t="s">
        <v>405</v>
      </c>
      <c r="D187" s="120">
        <v>2021</v>
      </c>
      <c r="E187" s="120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>
        <f>F187+H187+L187</f>
        <v>0</v>
      </c>
      <c r="P187" s="121"/>
      <c r="Q187" s="121"/>
      <c r="R187" s="121"/>
      <c r="S187" s="127"/>
    </row>
    <row r="188" spans="1:22">
      <c r="A188" s="119" t="s">
        <v>756</v>
      </c>
      <c r="B188" s="119" t="s">
        <v>327</v>
      </c>
      <c r="C188" s="120" t="s">
        <v>406</v>
      </c>
      <c r="D188" s="120">
        <v>2021</v>
      </c>
      <c r="E188" s="120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>
        <f>F188+H188+L188</f>
        <v>0</v>
      </c>
      <c r="P188" s="121"/>
      <c r="Q188" s="121"/>
      <c r="R188" s="121"/>
      <c r="S188" s="127"/>
    </row>
    <row r="189" spans="1:22">
      <c r="A189" s="119" t="s">
        <v>503</v>
      </c>
      <c r="B189" s="119" t="s">
        <v>328</v>
      </c>
      <c r="C189" s="120" t="s">
        <v>594</v>
      </c>
      <c r="D189" s="120">
        <v>2021</v>
      </c>
      <c r="E189" s="120"/>
      <c r="F189" s="121"/>
      <c r="G189" s="121"/>
      <c r="H189" s="121">
        <f>I189+J189</f>
        <v>35.836350000000003</v>
      </c>
      <c r="I189" s="121"/>
      <c r="J189" s="121">
        <f>651.57*0.055</f>
        <v>35.836350000000003</v>
      </c>
      <c r="K189" s="121"/>
      <c r="L189" s="121"/>
      <c r="M189" s="121"/>
      <c r="N189" s="121"/>
      <c r="O189" s="121">
        <f t="shared" si="12"/>
        <v>35.836350000000003</v>
      </c>
      <c r="P189" s="121">
        <f>651.57*0.055</f>
        <v>35.836350000000003</v>
      </c>
      <c r="Q189" s="121"/>
      <c r="R189" s="121"/>
      <c r="T189" s="122">
        <v>1</v>
      </c>
      <c r="U189" s="123" t="s">
        <v>809</v>
      </c>
      <c r="V189" s="123" t="s">
        <v>810</v>
      </c>
    </row>
    <row r="190" spans="1:22">
      <c r="A190" s="119" t="s">
        <v>503</v>
      </c>
      <c r="B190" s="119" t="s">
        <v>328</v>
      </c>
      <c r="C190" s="120" t="s">
        <v>595</v>
      </c>
      <c r="D190" s="120">
        <v>2021</v>
      </c>
      <c r="E190" s="120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>
        <f t="shared" si="12"/>
        <v>0</v>
      </c>
      <c r="P190" s="121"/>
      <c r="Q190" s="121"/>
      <c r="R190" s="121"/>
      <c r="T190" s="122">
        <v>2</v>
      </c>
      <c r="U190" s="123" t="s">
        <v>809</v>
      </c>
      <c r="V190" s="123" t="s">
        <v>810</v>
      </c>
    </row>
    <row r="191" spans="1:22">
      <c r="A191" s="119" t="s">
        <v>503</v>
      </c>
      <c r="B191" s="119" t="s">
        <v>328</v>
      </c>
      <c r="C191" s="125" t="s">
        <v>700</v>
      </c>
      <c r="D191" s="120">
        <v>2021</v>
      </c>
      <c r="E191" s="120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>
        <f t="shared" si="12"/>
        <v>0</v>
      </c>
      <c r="P191" s="121"/>
      <c r="Q191" s="121"/>
      <c r="R191" s="121"/>
      <c r="U191" s="123" t="s">
        <v>809</v>
      </c>
      <c r="V191" s="123" t="s">
        <v>810</v>
      </c>
    </row>
    <row r="192" spans="1:22">
      <c r="A192" s="119" t="s">
        <v>503</v>
      </c>
      <c r="B192" s="119" t="s">
        <v>328</v>
      </c>
      <c r="C192" s="120" t="s">
        <v>596</v>
      </c>
      <c r="D192" s="120">
        <v>2021</v>
      </c>
      <c r="E192" s="120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>
        <f t="shared" si="12"/>
        <v>0</v>
      </c>
      <c r="P192" s="121"/>
      <c r="Q192" s="121"/>
      <c r="R192" s="121"/>
      <c r="T192" s="122">
        <v>3</v>
      </c>
      <c r="U192" s="123" t="s">
        <v>809</v>
      </c>
      <c r="V192" s="123" t="s">
        <v>810</v>
      </c>
    </row>
    <row r="193" spans="1:22">
      <c r="A193" s="119" t="s">
        <v>503</v>
      </c>
      <c r="B193" s="119" t="s">
        <v>328</v>
      </c>
      <c r="C193" s="120" t="s">
        <v>597</v>
      </c>
      <c r="D193" s="120">
        <v>2021</v>
      </c>
      <c r="E193" s="120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>
        <f t="shared" si="12"/>
        <v>0</v>
      </c>
      <c r="P193" s="121"/>
      <c r="Q193" s="121"/>
      <c r="R193" s="121"/>
      <c r="T193" s="122">
        <v>4</v>
      </c>
      <c r="U193" s="123" t="s">
        <v>809</v>
      </c>
      <c r="V193" s="123" t="s">
        <v>810</v>
      </c>
    </row>
    <row r="194" spans="1:22">
      <c r="A194" s="119" t="s">
        <v>503</v>
      </c>
      <c r="B194" s="119" t="s">
        <v>328</v>
      </c>
      <c r="C194" s="120" t="s">
        <v>600</v>
      </c>
      <c r="D194" s="120">
        <v>2021</v>
      </c>
      <c r="E194" s="120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>
        <f t="shared" si="12"/>
        <v>0</v>
      </c>
      <c r="P194" s="121"/>
      <c r="Q194" s="121"/>
      <c r="R194" s="121"/>
      <c r="T194" s="122">
        <v>5</v>
      </c>
      <c r="U194" s="123" t="s">
        <v>809</v>
      </c>
      <c r="V194" s="123" t="s">
        <v>810</v>
      </c>
    </row>
    <row r="195" spans="1:22">
      <c r="A195" s="119" t="s">
        <v>662</v>
      </c>
      <c r="B195" s="119" t="s">
        <v>329</v>
      </c>
      <c r="C195" s="120" t="s">
        <v>594</v>
      </c>
      <c r="D195" s="120">
        <v>2021</v>
      </c>
      <c r="E195" s="120"/>
      <c r="F195" s="121"/>
      <c r="G195" s="121"/>
      <c r="H195" s="121">
        <f>I195+J195</f>
        <v>0.81950000000000001</v>
      </c>
      <c r="I195" s="121"/>
      <c r="J195" s="121">
        <f>(14.9*0.055)</f>
        <v>0.81950000000000001</v>
      </c>
      <c r="K195" s="121"/>
      <c r="L195" s="121"/>
      <c r="M195" s="121"/>
      <c r="N195" s="121"/>
      <c r="O195" s="121">
        <f t="shared" ref="O195:O225" si="13">F195+H195</f>
        <v>0.81950000000000001</v>
      </c>
      <c r="P195" s="121"/>
      <c r="Q195" s="121"/>
      <c r="R195" s="121"/>
      <c r="T195" s="122">
        <v>1</v>
      </c>
      <c r="U195" s="123" t="s">
        <v>811</v>
      </c>
      <c r="V195" s="123" t="s">
        <v>817</v>
      </c>
    </row>
    <row r="196" spans="1:22">
      <c r="A196" s="119" t="s">
        <v>662</v>
      </c>
      <c r="B196" s="119" t="s">
        <v>329</v>
      </c>
      <c r="C196" s="120" t="s">
        <v>595</v>
      </c>
      <c r="D196" s="120">
        <v>2021</v>
      </c>
      <c r="E196" s="120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>
        <f t="shared" si="13"/>
        <v>0</v>
      </c>
      <c r="P196" s="121"/>
      <c r="Q196" s="121"/>
      <c r="R196" s="121"/>
      <c r="T196" s="122">
        <v>2</v>
      </c>
      <c r="U196" s="123" t="s">
        <v>811</v>
      </c>
      <c r="V196" s="123" t="s">
        <v>817</v>
      </c>
    </row>
    <row r="197" spans="1:22">
      <c r="A197" s="119" t="s">
        <v>662</v>
      </c>
      <c r="B197" s="119" t="s">
        <v>329</v>
      </c>
      <c r="C197" s="125" t="s">
        <v>700</v>
      </c>
      <c r="D197" s="120">
        <v>2021</v>
      </c>
      <c r="E197" s="120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>
        <f t="shared" si="13"/>
        <v>0</v>
      </c>
      <c r="P197" s="121"/>
      <c r="Q197" s="121"/>
      <c r="R197" s="121"/>
      <c r="U197" s="123" t="s">
        <v>811</v>
      </c>
      <c r="V197" s="123" t="s">
        <v>817</v>
      </c>
    </row>
    <row r="198" spans="1:22">
      <c r="A198" s="119" t="s">
        <v>662</v>
      </c>
      <c r="B198" s="119" t="s">
        <v>329</v>
      </c>
      <c r="C198" s="120" t="s">
        <v>596</v>
      </c>
      <c r="D198" s="120">
        <v>2021</v>
      </c>
      <c r="E198" s="120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>
        <f t="shared" si="13"/>
        <v>0</v>
      </c>
      <c r="P198" s="121"/>
      <c r="Q198" s="121"/>
      <c r="R198" s="121"/>
      <c r="T198" s="122">
        <v>3</v>
      </c>
      <c r="U198" s="123" t="s">
        <v>811</v>
      </c>
      <c r="V198" s="123" t="s">
        <v>817</v>
      </c>
    </row>
    <row r="199" spans="1:22">
      <c r="A199" s="119" t="s">
        <v>662</v>
      </c>
      <c r="B199" s="119" t="s">
        <v>329</v>
      </c>
      <c r="C199" s="120" t="s">
        <v>597</v>
      </c>
      <c r="D199" s="120">
        <v>2021</v>
      </c>
      <c r="E199" s="120"/>
      <c r="F199" s="121"/>
      <c r="G199" s="121"/>
      <c r="H199" s="121"/>
      <c r="I199" s="121"/>
      <c r="J199" s="121"/>
      <c r="K199" s="128"/>
      <c r="L199" s="128"/>
      <c r="M199" s="128"/>
      <c r="N199" s="128"/>
      <c r="O199" s="121">
        <f t="shared" si="13"/>
        <v>0</v>
      </c>
      <c r="P199" s="121"/>
      <c r="Q199" s="121"/>
      <c r="R199" s="121"/>
      <c r="T199" s="122">
        <v>4</v>
      </c>
      <c r="U199" s="123" t="s">
        <v>811</v>
      </c>
      <c r="V199" s="123" t="s">
        <v>817</v>
      </c>
    </row>
    <row r="200" spans="1:22">
      <c r="A200" s="119" t="s">
        <v>662</v>
      </c>
      <c r="B200" s="119" t="s">
        <v>329</v>
      </c>
      <c r="C200" s="120" t="s">
        <v>600</v>
      </c>
      <c r="D200" s="120">
        <v>2021</v>
      </c>
      <c r="E200" s="120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>
        <f t="shared" si="13"/>
        <v>0</v>
      </c>
      <c r="P200" s="121"/>
      <c r="Q200" s="121"/>
      <c r="R200" s="121"/>
      <c r="T200" s="122">
        <v>5</v>
      </c>
      <c r="U200" s="123" t="s">
        <v>811</v>
      </c>
      <c r="V200" s="123" t="s">
        <v>817</v>
      </c>
    </row>
    <row r="201" spans="1:22">
      <c r="A201" s="119" t="s">
        <v>294</v>
      </c>
      <c r="B201" s="119" t="s">
        <v>330</v>
      </c>
      <c r="C201" s="120" t="s">
        <v>594</v>
      </c>
      <c r="D201" s="120">
        <v>2021</v>
      </c>
      <c r="E201" s="120"/>
      <c r="F201" s="121"/>
      <c r="G201" s="121"/>
      <c r="H201" s="121">
        <f>I201+J201</f>
        <v>50.214999999999996</v>
      </c>
      <c r="I201" s="121">
        <f>209*0.055</f>
        <v>11.494999999999999</v>
      </c>
      <c r="J201" s="121">
        <f>704*0.055</f>
        <v>38.72</v>
      </c>
      <c r="K201" s="121"/>
      <c r="L201" s="121"/>
      <c r="M201" s="121"/>
      <c r="N201" s="121"/>
      <c r="O201" s="121">
        <f t="shared" si="13"/>
        <v>50.214999999999996</v>
      </c>
      <c r="P201" s="121">
        <f>462*0.055</f>
        <v>25.41</v>
      </c>
      <c r="Q201" s="121"/>
      <c r="R201" s="121">
        <f>451*0.055</f>
        <v>24.805</v>
      </c>
      <c r="S201" s="127"/>
      <c r="T201" s="122">
        <v>1</v>
      </c>
      <c r="U201" s="123" t="s">
        <v>806</v>
      </c>
      <c r="V201" s="123" t="s">
        <v>807</v>
      </c>
    </row>
    <row r="202" spans="1:22">
      <c r="A202" s="119" t="s">
        <v>294</v>
      </c>
      <c r="B202" s="119" t="s">
        <v>330</v>
      </c>
      <c r="C202" s="120" t="s">
        <v>595</v>
      </c>
      <c r="D202" s="120">
        <v>2021</v>
      </c>
      <c r="E202" s="120"/>
      <c r="F202" s="121">
        <f>71*0.11</f>
        <v>7.81</v>
      </c>
      <c r="G202" s="121"/>
      <c r="H202" s="121"/>
      <c r="I202" s="121"/>
      <c r="J202" s="121"/>
      <c r="K202" s="121"/>
      <c r="L202" s="121"/>
      <c r="M202" s="121"/>
      <c r="N202" s="121"/>
      <c r="O202" s="121">
        <f t="shared" si="13"/>
        <v>7.81</v>
      </c>
      <c r="P202" s="121">
        <f>71*0.11</f>
        <v>7.81</v>
      </c>
      <c r="Q202" s="121"/>
      <c r="R202" s="121"/>
      <c r="S202" s="127"/>
      <c r="T202" s="122">
        <v>2</v>
      </c>
      <c r="U202" s="123" t="s">
        <v>806</v>
      </c>
      <c r="V202" s="123" t="s">
        <v>807</v>
      </c>
    </row>
    <row r="203" spans="1:22">
      <c r="A203" s="119" t="s">
        <v>294</v>
      </c>
      <c r="B203" s="119" t="s">
        <v>330</v>
      </c>
      <c r="C203" s="120" t="s">
        <v>596</v>
      </c>
      <c r="D203" s="120">
        <v>2021</v>
      </c>
      <c r="E203" s="120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>
        <f t="shared" si="13"/>
        <v>0</v>
      </c>
      <c r="P203" s="121"/>
      <c r="Q203" s="121"/>
      <c r="R203" s="121"/>
      <c r="S203" s="127"/>
      <c r="T203" s="122">
        <v>3</v>
      </c>
      <c r="U203" s="123" t="s">
        <v>806</v>
      </c>
      <c r="V203" s="123" t="s">
        <v>807</v>
      </c>
    </row>
    <row r="204" spans="1:22">
      <c r="A204" s="119" t="s">
        <v>294</v>
      </c>
      <c r="B204" s="119" t="s">
        <v>330</v>
      </c>
      <c r="C204" s="120" t="s">
        <v>597</v>
      </c>
      <c r="D204" s="120">
        <v>2021</v>
      </c>
      <c r="E204" s="120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>
        <f t="shared" si="13"/>
        <v>0</v>
      </c>
      <c r="P204" s="121"/>
      <c r="Q204" s="121"/>
      <c r="R204" s="121"/>
      <c r="S204" s="127"/>
      <c r="T204" s="122">
        <v>4</v>
      </c>
      <c r="U204" s="123" t="s">
        <v>806</v>
      </c>
      <c r="V204" s="123" t="s">
        <v>807</v>
      </c>
    </row>
    <row r="205" spans="1:22">
      <c r="A205" s="119" t="s">
        <v>294</v>
      </c>
      <c r="B205" s="119" t="s">
        <v>330</v>
      </c>
      <c r="C205" s="120" t="s">
        <v>600</v>
      </c>
      <c r="D205" s="120">
        <v>2021</v>
      </c>
      <c r="E205" s="120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>
        <f t="shared" si="13"/>
        <v>0</v>
      </c>
      <c r="P205" s="121"/>
      <c r="Q205" s="121"/>
      <c r="R205" s="121"/>
      <c r="S205" s="127"/>
      <c r="T205" s="122">
        <v>5</v>
      </c>
      <c r="U205" s="123" t="s">
        <v>806</v>
      </c>
      <c r="V205" s="123" t="s">
        <v>807</v>
      </c>
    </row>
    <row r="206" spans="1:22">
      <c r="A206" s="119" t="s">
        <v>295</v>
      </c>
      <c r="B206" s="119" t="s">
        <v>331</v>
      </c>
      <c r="C206" s="120" t="s">
        <v>594</v>
      </c>
      <c r="D206" s="120">
        <v>2021</v>
      </c>
      <c r="E206" s="120"/>
      <c r="F206" s="121"/>
      <c r="G206" s="121"/>
      <c r="H206" s="121">
        <f>I206+J206</f>
        <v>1.2155</v>
      </c>
      <c r="I206" s="121"/>
      <c r="J206" s="121">
        <f>22.1*0.055</f>
        <v>1.2155</v>
      </c>
      <c r="K206" s="121"/>
      <c r="L206" s="121"/>
      <c r="M206" s="121"/>
      <c r="N206" s="121"/>
      <c r="O206" s="121">
        <f t="shared" si="13"/>
        <v>1.2155</v>
      </c>
      <c r="P206" s="121">
        <f>22.1*0.055</f>
        <v>1.2155</v>
      </c>
      <c r="Q206" s="121"/>
      <c r="R206" s="121"/>
      <c r="T206" s="122">
        <v>1</v>
      </c>
      <c r="U206" s="123" t="s">
        <v>809</v>
      </c>
      <c r="V206" s="123" t="s">
        <v>810</v>
      </c>
    </row>
    <row r="207" spans="1:22">
      <c r="A207" s="119" t="s">
        <v>295</v>
      </c>
      <c r="B207" s="119" t="s">
        <v>331</v>
      </c>
      <c r="C207" s="120" t="s">
        <v>595</v>
      </c>
      <c r="D207" s="120">
        <v>2021</v>
      </c>
      <c r="E207" s="120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>
        <f t="shared" si="13"/>
        <v>0</v>
      </c>
      <c r="P207" s="121"/>
      <c r="Q207" s="121"/>
      <c r="R207" s="121"/>
      <c r="T207" s="122">
        <v>2</v>
      </c>
      <c r="U207" s="123" t="s">
        <v>809</v>
      </c>
      <c r="V207" s="123" t="s">
        <v>810</v>
      </c>
    </row>
    <row r="208" spans="1:22">
      <c r="A208" s="119" t="s">
        <v>295</v>
      </c>
      <c r="B208" s="119" t="s">
        <v>331</v>
      </c>
      <c r="C208" s="120" t="s">
        <v>596</v>
      </c>
      <c r="D208" s="120">
        <v>2021</v>
      </c>
      <c r="E208" s="120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>
        <f t="shared" si="13"/>
        <v>0</v>
      </c>
      <c r="P208" s="121"/>
      <c r="Q208" s="121"/>
      <c r="R208" s="121"/>
      <c r="T208" s="122">
        <v>3</v>
      </c>
      <c r="U208" s="123" t="s">
        <v>809</v>
      </c>
      <c r="V208" s="123" t="s">
        <v>810</v>
      </c>
    </row>
    <row r="209" spans="1:22">
      <c r="A209" s="119" t="s">
        <v>295</v>
      </c>
      <c r="B209" s="119" t="s">
        <v>331</v>
      </c>
      <c r="C209" s="120" t="s">
        <v>597</v>
      </c>
      <c r="D209" s="120">
        <v>2021</v>
      </c>
      <c r="E209" s="120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>
        <f t="shared" si="13"/>
        <v>0</v>
      </c>
      <c r="P209" s="121"/>
      <c r="Q209" s="121"/>
      <c r="R209" s="121"/>
      <c r="T209" s="122">
        <v>4</v>
      </c>
      <c r="U209" s="123" t="s">
        <v>809</v>
      </c>
      <c r="V209" s="123" t="s">
        <v>810</v>
      </c>
    </row>
    <row r="210" spans="1:22">
      <c r="A210" s="119" t="s">
        <v>295</v>
      </c>
      <c r="B210" s="119" t="s">
        <v>331</v>
      </c>
      <c r="C210" s="120" t="s">
        <v>600</v>
      </c>
      <c r="D210" s="120">
        <v>2021</v>
      </c>
      <c r="E210" s="120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>
        <f t="shared" si="13"/>
        <v>0</v>
      </c>
      <c r="P210" s="121"/>
      <c r="Q210" s="121"/>
      <c r="R210" s="121"/>
      <c r="T210" s="122">
        <v>5</v>
      </c>
      <c r="U210" s="123" t="s">
        <v>809</v>
      </c>
      <c r="V210" s="123" t="s">
        <v>810</v>
      </c>
    </row>
    <row r="211" spans="1:22">
      <c r="A211" s="119" t="s">
        <v>162</v>
      </c>
      <c r="B211" s="119" t="s">
        <v>332</v>
      </c>
      <c r="C211" s="120" t="s">
        <v>594</v>
      </c>
      <c r="D211" s="120">
        <v>2021</v>
      </c>
      <c r="E211" s="120"/>
      <c r="F211" s="121"/>
      <c r="G211" s="121"/>
      <c r="H211" s="121">
        <f>I211+J211</f>
        <v>0.33549999999999996</v>
      </c>
      <c r="I211" s="121"/>
      <c r="J211" s="121">
        <f>6.1*0.055</f>
        <v>0.33549999999999996</v>
      </c>
      <c r="K211" s="121"/>
      <c r="L211" s="121"/>
      <c r="M211" s="121"/>
      <c r="N211" s="121"/>
      <c r="O211" s="121">
        <f t="shared" si="13"/>
        <v>0.33549999999999996</v>
      </c>
      <c r="P211" s="121"/>
      <c r="Q211" s="121"/>
      <c r="R211" s="121"/>
      <c r="T211" s="122">
        <v>1</v>
      </c>
      <c r="U211" s="123" t="s">
        <v>809</v>
      </c>
      <c r="V211" s="123" t="s">
        <v>810</v>
      </c>
    </row>
    <row r="212" spans="1:22">
      <c r="A212" s="119" t="s">
        <v>162</v>
      </c>
      <c r="B212" s="119" t="s">
        <v>332</v>
      </c>
      <c r="C212" s="120" t="s">
        <v>595</v>
      </c>
      <c r="D212" s="120">
        <v>2021</v>
      </c>
      <c r="E212" s="120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>
        <f t="shared" si="13"/>
        <v>0</v>
      </c>
      <c r="P212" s="121"/>
      <c r="Q212" s="121"/>
      <c r="R212" s="121"/>
      <c r="T212" s="122">
        <v>2</v>
      </c>
      <c r="U212" s="123" t="s">
        <v>809</v>
      </c>
      <c r="V212" s="123" t="s">
        <v>810</v>
      </c>
    </row>
    <row r="213" spans="1:22">
      <c r="A213" s="119" t="s">
        <v>162</v>
      </c>
      <c r="B213" s="119" t="s">
        <v>332</v>
      </c>
      <c r="C213" s="120" t="s">
        <v>596</v>
      </c>
      <c r="D213" s="120">
        <v>2021</v>
      </c>
      <c r="E213" s="120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>
        <f t="shared" si="13"/>
        <v>0</v>
      </c>
      <c r="P213" s="121"/>
      <c r="Q213" s="121"/>
      <c r="R213" s="121"/>
      <c r="T213" s="122">
        <v>3</v>
      </c>
      <c r="U213" s="123" t="s">
        <v>809</v>
      </c>
      <c r="V213" s="123" t="s">
        <v>810</v>
      </c>
    </row>
    <row r="214" spans="1:22">
      <c r="A214" s="119" t="s">
        <v>162</v>
      </c>
      <c r="B214" s="119" t="s">
        <v>332</v>
      </c>
      <c r="C214" s="120" t="s">
        <v>597</v>
      </c>
      <c r="D214" s="120">
        <v>2021</v>
      </c>
      <c r="E214" s="120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>
        <f t="shared" si="13"/>
        <v>0</v>
      </c>
      <c r="P214" s="121"/>
      <c r="Q214" s="121"/>
      <c r="R214" s="121"/>
      <c r="T214" s="122">
        <v>4</v>
      </c>
      <c r="U214" s="123" t="s">
        <v>809</v>
      </c>
      <c r="V214" s="123" t="s">
        <v>810</v>
      </c>
    </row>
    <row r="215" spans="1:22">
      <c r="A215" s="119" t="s">
        <v>162</v>
      </c>
      <c r="B215" s="119" t="s">
        <v>332</v>
      </c>
      <c r="C215" s="120" t="s">
        <v>600</v>
      </c>
      <c r="D215" s="120">
        <v>2021</v>
      </c>
      <c r="E215" s="120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>
        <f t="shared" si="13"/>
        <v>0</v>
      </c>
      <c r="P215" s="121"/>
      <c r="Q215" s="121"/>
      <c r="R215" s="121"/>
      <c r="T215" s="122">
        <v>5</v>
      </c>
      <c r="U215" s="123" t="s">
        <v>809</v>
      </c>
      <c r="V215" s="123" t="s">
        <v>810</v>
      </c>
    </row>
    <row r="216" spans="1:22">
      <c r="A216" s="119" t="s">
        <v>163</v>
      </c>
      <c r="B216" s="119" t="s">
        <v>428</v>
      </c>
      <c r="C216" s="120" t="s">
        <v>594</v>
      </c>
      <c r="D216" s="120">
        <v>2021</v>
      </c>
      <c r="E216" s="126">
        <f>1.25*0.055</f>
        <v>6.8750000000000006E-2</v>
      </c>
      <c r="F216" s="121"/>
      <c r="G216" s="121"/>
      <c r="H216" s="121"/>
      <c r="I216" s="121"/>
      <c r="J216" s="121"/>
      <c r="K216" s="121"/>
      <c r="L216" s="121"/>
      <c r="M216" s="121"/>
      <c r="N216" s="121"/>
      <c r="O216" s="121">
        <f t="shared" si="13"/>
        <v>0</v>
      </c>
      <c r="P216" s="121">
        <f>1.25*0.055</f>
        <v>6.8750000000000006E-2</v>
      </c>
      <c r="Q216" s="121"/>
      <c r="R216" s="121"/>
      <c r="T216" s="122">
        <v>1</v>
      </c>
      <c r="U216" s="123" t="s">
        <v>811</v>
      </c>
      <c r="V216" s="123" t="s">
        <v>812</v>
      </c>
    </row>
    <row r="217" spans="1:22">
      <c r="A217" s="119" t="s">
        <v>163</v>
      </c>
      <c r="B217" s="119" t="s">
        <v>428</v>
      </c>
      <c r="C217" s="120" t="s">
        <v>595</v>
      </c>
      <c r="D217" s="120">
        <v>2021</v>
      </c>
      <c r="E217" s="120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>
        <f t="shared" si="13"/>
        <v>0</v>
      </c>
      <c r="P217" s="121"/>
      <c r="Q217" s="121"/>
      <c r="R217" s="121"/>
      <c r="T217" s="122">
        <v>2</v>
      </c>
      <c r="U217" s="123" t="s">
        <v>811</v>
      </c>
      <c r="V217" s="123" t="s">
        <v>812</v>
      </c>
    </row>
    <row r="218" spans="1:22">
      <c r="A218" s="119" t="s">
        <v>163</v>
      </c>
      <c r="B218" s="119" t="s">
        <v>428</v>
      </c>
      <c r="C218" s="120" t="s">
        <v>596</v>
      </c>
      <c r="D218" s="120">
        <v>2021</v>
      </c>
      <c r="E218" s="120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>
        <f t="shared" si="13"/>
        <v>0</v>
      </c>
      <c r="P218" s="121"/>
      <c r="Q218" s="121"/>
      <c r="R218" s="121"/>
      <c r="T218" s="122">
        <v>3</v>
      </c>
      <c r="U218" s="123" t="s">
        <v>811</v>
      </c>
      <c r="V218" s="123" t="s">
        <v>812</v>
      </c>
    </row>
    <row r="219" spans="1:22">
      <c r="A219" s="119" t="s">
        <v>163</v>
      </c>
      <c r="B219" s="119" t="s">
        <v>428</v>
      </c>
      <c r="C219" s="120" t="s">
        <v>597</v>
      </c>
      <c r="D219" s="120">
        <v>2021</v>
      </c>
      <c r="E219" s="120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>
        <f t="shared" si="13"/>
        <v>0</v>
      </c>
      <c r="P219" s="121"/>
      <c r="Q219" s="121"/>
      <c r="R219" s="121"/>
      <c r="T219" s="122">
        <v>4</v>
      </c>
      <c r="U219" s="123" t="s">
        <v>811</v>
      </c>
      <c r="V219" s="123" t="s">
        <v>812</v>
      </c>
    </row>
    <row r="220" spans="1:22">
      <c r="A220" s="119" t="s">
        <v>163</v>
      </c>
      <c r="B220" s="119" t="s">
        <v>428</v>
      </c>
      <c r="C220" s="120" t="s">
        <v>600</v>
      </c>
      <c r="D220" s="120">
        <v>2021</v>
      </c>
      <c r="E220" s="120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>
        <f t="shared" si="13"/>
        <v>0</v>
      </c>
      <c r="P220" s="121"/>
      <c r="Q220" s="121"/>
      <c r="R220" s="121"/>
      <c r="T220" s="122">
        <v>5</v>
      </c>
      <c r="U220" s="123" t="s">
        <v>811</v>
      </c>
      <c r="V220" s="123" t="s">
        <v>812</v>
      </c>
    </row>
    <row r="221" spans="1:22" ht="10.5" customHeight="1">
      <c r="A221" s="119" t="s">
        <v>164</v>
      </c>
      <c r="B221" s="119" t="s">
        <v>429</v>
      </c>
      <c r="C221" s="120" t="s">
        <v>594</v>
      </c>
      <c r="D221" s="120">
        <v>2021</v>
      </c>
      <c r="E221" s="120"/>
      <c r="F221" s="121"/>
      <c r="G221" s="121"/>
      <c r="H221" s="121">
        <f>I221+J221</f>
        <v>12.051819999999999</v>
      </c>
      <c r="I221" s="121"/>
      <c r="J221" s="121">
        <f>219.124*0.055</f>
        <v>12.051819999999999</v>
      </c>
      <c r="K221" s="121"/>
      <c r="L221" s="121"/>
      <c r="M221" s="121"/>
      <c r="N221" s="121"/>
      <c r="O221" s="121">
        <f t="shared" si="13"/>
        <v>12.051819999999999</v>
      </c>
      <c r="P221" s="121">
        <f>219.124*0.055</f>
        <v>12.051819999999999</v>
      </c>
      <c r="Q221" s="121"/>
      <c r="R221" s="121"/>
      <c r="T221" s="122">
        <v>1</v>
      </c>
      <c r="U221" s="123" t="s">
        <v>811</v>
      </c>
      <c r="V221" s="123" t="s">
        <v>817</v>
      </c>
    </row>
    <row r="222" spans="1:22">
      <c r="A222" s="119" t="s">
        <v>164</v>
      </c>
      <c r="B222" s="119" t="s">
        <v>429</v>
      </c>
      <c r="C222" s="120" t="s">
        <v>595</v>
      </c>
      <c r="D222" s="120">
        <v>2021</v>
      </c>
      <c r="E222" s="120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>
        <f t="shared" si="13"/>
        <v>0</v>
      </c>
      <c r="P222" s="121"/>
      <c r="Q222" s="121"/>
      <c r="R222" s="121"/>
      <c r="T222" s="122">
        <v>2</v>
      </c>
      <c r="U222" s="123" t="s">
        <v>811</v>
      </c>
      <c r="V222" s="123" t="s">
        <v>817</v>
      </c>
    </row>
    <row r="223" spans="1:22">
      <c r="A223" s="119" t="s">
        <v>164</v>
      </c>
      <c r="B223" s="119" t="s">
        <v>429</v>
      </c>
      <c r="C223" s="125" t="s">
        <v>700</v>
      </c>
      <c r="D223" s="120">
        <v>2021</v>
      </c>
      <c r="E223" s="120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>
        <f t="shared" si="13"/>
        <v>0</v>
      </c>
      <c r="P223" s="121"/>
      <c r="Q223" s="121"/>
      <c r="R223" s="121"/>
      <c r="U223" s="123" t="s">
        <v>811</v>
      </c>
      <c r="V223" s="123" t="s">
        <v>817</v>
      </c>
    </row>
    <row r="224" spans="1:22">
      <c r="A224" s="119" t="s">
        <v>164</v>
      </c>
      <c r="B224" s="119" t="s">
        <v>429</v>
      </c>
      <c r="C224" s="120" t="s">
        <v>596</v>
      </c>
      <c r="D224" s="120">
        <v>2021</v>
      </c>
      <c r="E224" s="120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>
        <f t="shared" si="13"/>
        <v>0</v>
      </c>
      <c r="P224" s="121"/>
      <c r="Q224" s="121"/>
      <c r="R224" s="121"/>
      <c r="T224" s="122">
        <v>3</v>
      </c>
      <c r="U224" s="123" t="s">
        <v>811</v>
      </c>
      <c r="V224" s="123" t="s">
        <v>817</v>
      </c>
    </row>
    <row r="225" spans="1:22">
      <c r="A225" s="119" t="s">
        <v>164</v>
      </c>
      <c r="B225" s="119" t="s">
        <v>429</v>
      </c>
      <c r="C225" s="120" t="s">
        <v>597</v>
      </c>
      <c r="D225" s="120">
        <v>2021</v>
      </c>
      <c r="E225" s="120"/>
      <c r="F225" s="121"/>
      <c r="G225" s="121"/>
      <c r="H225" s="121">
        <f>I225+J225</f>
        <v>4.5999999999999999E-3</v>
      </c>
      <c r="I225" s="121"/>
      <c r="J225" s="124">
        <f>0.23*0.02</f>
        <v>4.5999999999999999E-3</v>
      </c>
      <c r="K225" s="121"/>
      <c r="L225" s="121"/>
      <c r="M225" s="121"/>
      <c r="N225" s="121"/>
      <c r="O225" s="121">
        <f t="shared" si="13"/>
        <v>4.5999999999999999E-3</v>
      </c>
      <c r="P225" s="124">
        <f>0.23*0.02</f>
        <v>4.5999999999999999E-3</v>
      </c>
      <c r="Q225" s="121"/>
      <c r="R225" s="121"/>
      <c r="T225" s="122">
        <v>4</v>
      </c>
      <c r="U225" s="123" t="s">
        <v>811</v>
      </c>
      <c r="V225" s="123" t="s">
        <v>817</v>
      </c>
    </row>
    <row r="226" spans="1:22">
      <c r="A226" s="119" t="s">
        <v>164</v>
      </c>
      <c r="B226" s="119" t="s">
        <v>429</v>
      </c>
      <c r="C226" s="120" t="s">
        <v>600</v>
      </c>
      <c r="D226" s="120">
        <v>2021</v>
      </c>
      <c r="E226" s="120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>
        <f t="shared" ref="O226:O263" si="14">F226+H226</f>
        <v>0</v>
      </c>
      <c r="P226" s="121"/>
      <c r="Q226" s="121"/>
      <c r="R226" s="121"/>
      <c r="T226" s="122">
        <v>5</v>
      </c>
      <c r="U226" s="123" t="s">
        <v>811</v>
      </c>
      <c r="V226" s="123" t="s">
        <v>817</v>
      </c>
    </row>
    <row r="227" spans="1:22">
      <c r="A227" s="119" t="s">
        <v>664</v>
      </c>
      <c r="B227" s="119" t="s">
        <v>430</v>
      </c>
      <c r="C227" s="120" t="s">
        <v>594</v>
      </c>
      <c r="D227" s="120">
        <v>2021</v>
      </c>
      <c r="E227" s="120"/>
      <c r="F227" s="121"/>
      <c r="G227" s="121"/>
      <c r="H227" s="121">
        <f>I227+J227</f>
        <v>10.151102499999999</v>
      </c>
      <c r="I227" s="121"/>
      <c r="J227" s="121">
        <f>184.5655*0.055</f>
        <v>10.151102499999999</v>
      </c>
      <c r="K227" s="121"/>
      <c r="L227" s="121"/>
      <c r="M227" s="121"/>
      <c r="N227" s="121"/>
      <c r="O227" s="121">
        <f t="shared" si="14"/>
        <v>10.151102499999999</v>
      </c>
      <c r="P227" s="121">
        <f>184.5655*0.055</f>
        <v>10.151102499999999</v>
      </c>
      <c r="Q227" s="121"/>
      <c r="R227" s="121"/>
      <c r="T227" s="122">
        <v>1</v>
      </c>
      <c r="U227" s="123" t="s">
        <v>811</v>
      </c>
      <c r="V227" s="123" t="s">
        <v>813</v>
      </c>
    </row>
    <row r="228" spans="1:22">
      <c r="A228" s="119" t="s">
        <v>664</v>
      </c>
      <c r="B228" s="119" t="s">
        <v>430</v>
      </c>
      <c r="C228" s="120" t="s">
        <v>595</v>
      </c>
      <c r="D228" s="120">
        <v>2021</v>
      </c>
      <c r="E228" s="120"/>
      <c r="F228" s="133"/>
      <c r="G228" s="121"/>
      <c r="H228" s="121"/>
      <c r="I228" s="121"/>
      <c r="J228" s="121"/>
      <c r="K228" s="121"/>
      <c r="L228" s="121"/>
      <c r="M228" s="121"/>
      <c r="N228" s="121"/>
      <c r="O228" s="121">
        <f t="shared" si="14"/>
        <v>0</v>
      </c>
      <c r="P228" s="121"/>
      <c r="Q228" s="121"/>
      <c r="R228" s="121"/>
      <c r="T228" s="122">
        <v>2</v>
      </c>
      <c r="U228" s="123" t="s">
        <v>811</v>
      </c>
      <c r="V228" s="123" t="s">
        <v>813</v>
      </c>
    </row>
    <row r="229" spans="1:22">
      <c r="A229" s="119" t="s">
        <v>664</v>
      </c>
      <c r="B229" s="119" t="s">
        <v>430</v>
      </c>
      <c r="C229" s="125" t="s">
        <v>700</v>
      </c>
      <c r="D229" s="120">
        <v>2021</v>
      </c>
      <c r="E229" s="120"/>
      <c r="F229" s="121"/>
      <c r="G229" s="121"/>
      <c r="H229" s="121"/>
      <c r="I229" s="121"/>
      <c r="J229" s="122"/>
      <c r="K229" s="121"/>
      <c r="L229" s="121"/>
      <c r="M229" s="121"/>
      <c r="N229" s="121"/>
      <c r="O229" s="121">
        <f>67.0788*0.11</f>
        <v>7.3786680000000002</v>
      </c>
      <c r="P229" s="121">
        <f>67.0788*0.11</f>
        <v>7.3786680000000002</v>
      </c>
      <c r="Q229" s="121"/>
      <c r="R229" s="121"/>
      <c r="U229" s="123" t="s">
        <v>811</v>
      </c>
      <c r="V229" s="123" t="s">
        <v>813</v>
      </c>
    </row>
    <row r="230" spans="1:22">
      <c r="A230" s="119" t="s">
        <v>664</v>
      </c>
      <c r="B230" s="119" t="s">
        <v>430</v>
      </c>
      <c r="C230" s="120" t="s">
        <v>596</v>
      </c>
      <c r="D230" s="120">
        <v>2021</v>
      </c>
      <c r="E230" s="120"/>
      <c r="F230" s="121"/>
      <c r="G230" s="121"/>
      <c r="H230" s="121">
        <f>I230+J230</f>
        <v>1.0608000000000001E-2</v>
      </c>
      <c r="I230" s="121"/>
      <c r="J230" s="121">
        <f>0.1632*0.065</f>
        <v>1.0608000000000001E-2</v>
      </c>
      <c r="K230" s="121"/>
      <c r="L230" s="121"/>
      <c r="M230" s="121"/>
      <c r="N230" s="121"/>
      <c r="O230" s="121">
        <f t="shared" si="14"/>
        <v>1.0608000000000001E-2</v>
      </c>
      <c r="P230" s="121">
        <f>0.1632*0.065</f>
        <v>1.0608000000000001E-2</v>
      </c>
      <c r="Q230" s="121"/>
      <c r="R230" s="121"/>
      <c r="T230" s="122">
        <v>3</v>
      </c>
      <c r="U230" s="123" t="s">
        <v>811</v>
      </c>
      <c r="V230" s="123" t="s">
        <v>813</v>
      </c>
    </row>
    <row r="231" spans="1:22">
      <c r="A231" s="119" t="s">
        <v>664</v>
      </c>
      <c r="B231" s="119" t="s">
        <v>430</v>
      </c>
      <c r="C231" s="120" t="s">
        <v>597</v>
      </c>
      <c r="D231" s="120">
        <v>2021</v>
      </c>
      <c r="E231" s="120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>
        <f t="shared" si="14"/>
        <v>0</v>
      </c>
      <c r="P231" s="121"/>
      <c r="Q231" s="121"/>
      <c r="R231" s="121"/>
      <c r="T231" s="122">
        <v>4</v>
      </c>
      <c r="U231" s="123" t="s">
        <v>811</v>
      </c>
      <c r="V231" s="123" t="s">
        <v>813</v>
      </c>
    </row>
    <row r="232" spans="1:22">
      <c r="A232" s="119" t="s">
        <v>664</v>
      </c>
      <c r="B232" s="119" t="s">
        <v>430</v>
      </c>
      <c r="C232" s="120" t="s">
        <v>600</v>
      </c>
      <c r="D232" s="120">
        <v>2021</v>
      </c>
      <c r="E232" s="120"/>
      <c r="F232" s="121"/>
      <c r="G232" s="121"/>
      <c r="H232" s="121">
        <f>I232+J232</f>
        <v>5.9839999999999997E-3</v>
      </c>
      <c r="I232" s="121"/>
      <c r="J232" s="121">
        <f>0.272*0.022</f>
        <v>5.9839999999999997E-3</v>
      </c>
      <c r="K232" s="121"/>
      <c r="L232" s="121"/>
      <c r="M232" s="121"/>
      <c r="N232" s="121"/>
      <c r="O232" s="121">
        <f>F232+H232</f>
        <v>5.9839999999999997E-3</v>
      </c>
      <c r="P232" s="121">
        <f>0.272*0.022</f>
        <v>5.9839999999999997E-3</v>
      </c>
      <c r="Q232" s="121"/>
      <c r="R232" s="121"/>
      <c r="T232" s="122">
        <v>5</v>
      </c>
      <c r="U232" s="123" t="s">
        <v>811</v>
      </c>
      <c r="V232" s="123" t="s">
        <v>813</v>
      </c>
    </row>
    <row r="233" spans="1:22">
      <c r="A233" s="119" t="s">
        <v>666</v>
      </c>
      <c r="B233" s="119" t="s">
        <v>431</v>
      </c>
      <c r="C233" s="125" t="s">
        <v>594</v>
      </c>
      <c r="D233" s="120">
        <v>2021</v>
      </c>
      <c r="E233" s="125"/>
      <c r="F233" s="124">
        <f>524.23*0.055</f>
        <v>28.832650000000001</v>
      </c>
      <c r="G233" s="124"/>
      <c r="H233" s="124">
        <f>I233+J233</f>
        <v>177.94429124999999</v>
      </c>
      <c r="I233" s="124">
        <f>1497.77*0.055</f>
        <v>82.377349999999993</v>
      </c>
      <c r="J233" s="124">
        <f>(1722.44*0.055)+(25.2*0.55*0.055)+(2.725*0.47*0.055)</f>
        <v>95.566941249999999</v>
      </c>
      <c r="K233" s="124"/>
      <c r="L233" s="124"/>
      <c r="M233" s="124"/>
      <c r="N233" s="124"/>
      <c r="O233" s="124">
        <f t="shared" ref="O233:O238" si="15">F233+H233</f>
        <v>206.77694124999999</v>
      </c>
      <c r="P233" s="124">
        <f>(3762.924*0.055)+(29.744*0.55*0.055)+(2.725*0.47*0.055)</f>
        <v>207.93101725</v>
      </c>
      <c r="Q233" s="124">
        <f>(18.48*0.055)+(4.536*0.55*0.055)</f>
        <v>1.1536139999999999</v>
      </c>
      <c r="R233" s="121"/>
      <c r="T233" s="122">
        <v>1</v>
      </c>
      <c r="U233" s="123" t="s">
        <v>809</v>
      </c>
      <c r="V233" s="123" t="s">
        <v>815</v>
      </c>
    </row>
    <row r="234" spans="1:22">
      <c r="A234" s="119" t="s">
        <v>666</v>
      </c>
      <c r="B234" s="119" t="s">
        <v>431</v>
      </c>
      <c r="C234" s="125" t="s">
        <v>595</v>
      </c>
      <c r="D234" s="120">
        <v>2021</v>
      </c>
      <c r="E234" s="125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>
        <f t="shared" si="15"/>
        <v>0</v>
      </c>
      <c r="P234" s="124"/>
      <c r="Q234" s="124"/>
      <c r="R234" s="121"/>
      <c r="T234" s="122">
        <v>2</v>
      </c>
      <c r="U234" s="123" t="s">
        <v>809</v>
      </c>
      <c r="V234" s="123" t="s">
        <v>815</v>
      </c>
    </row>
    <row r="235" spans="1:22">
      <c r="A235" s="119" t="s">
        <v>666</v>
      </c>
      <c r="B235" s="119" t="s">
        <v>431</v>
      </c>
      <c r="C235" s="125" t="s">
        <v>700</v>
      </c>
      <c r="D235" s="120">
        <v>2021</v>
      </c>
      <c r="E235" s="125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>
        <f t="shared" si="15"/>
        <v>0</v>
      </c>
      <c r="P235" s="124"/>
      <c r="Q235" s="124"/>
      <c r="R235" s="121"/>
      <c r="U235" s="123" t="s">
        <v>809</v>
      </c>
      <c r="V235" s="123" t="s">
        <v>815</v>
      </c>
    </row>
    <row r="236" spans="1:22">
      <c r="A236" s="119" t="s">
        <v>666</v>
      </c>
      <c r="B236" s="119" t="s">
        <v>431</v>
      </c>
      <c r="C236" s="125" t="s">
        <v>596</v>
      </c>
      <c r="D236" s="120">
        <v>2021</v>
      </c>
      <c r="E236" s="125"/>
      <c r="F236" s="124">
        <f>23.8*0.065</f>
        <v>1.5470000000000002</v>
      </c>
      <c r="G236" s="124"/>
      <c r="H236" s="124">
        <f>I236+J236</f>
        <v>0.67157999999999995</v>
      </c>
      <c r="I236" s="124"/>
      <c r="J236" s="124">
        <f>25.2*0.41*0.065</f>
        <v>0.67157999999999995</v>
      </c>
      <c r="K236" s="124"/>
      <c r="L236" s="124"/>
      <c r="M236" s="124"/>
      <c r="N236" s="124"/>
      <c r="O236" s="124">
        <f t="shared" si="15"/>
        <v>2.2185800000000002</v>
      </c>
      <c r="P236" s="124">
        <f>(23.8*0.065)+(29.744*0.41*0.065)</f>
        <v>2.3396775999999999</v>
      </c>
      <c r="Q236" s="124">
        <f>4.536*0.41*0.065</f>
        <v>0.12088439999999998</v>
      </c>
      <c r="R236" s="121"/>
      <c r="T236" s="122">
        <v>3</v>
      </c>
      <c r="U236" s="123" t="s">
        <v>809</v>
      </c>
      <c r="V236" s="123" t="s">
        <v>815</v>
      </c>
    </row>
    <row r="237" spans="1:22">
      <c r="A237" s="119" t="s">
        <v>666</v>
      </c>
      <c r="B237" s="119" t="s">
        <v>431</v>
      </c>
      <c r="C237" s="125" t="s">
        <v>597</v>
      </c>
      <c r="D237" s="120">
        <v>2021</v>
      </c>
      <c r="E237" s="125"/>
      <c r="F237" s="124"/>
      <c r="G237" s="124"/>
      <c r="H237" s="124">
        <f>I237+J237</f>
        <v>0.155</v>
      </c>
      <c r="I237" s="124"/>
      <c r="J237" s="124">
        <f>7.75*0.02</f>
        <v>0.155</v>
      </c>
      <c r="K237" s="124"/>
      <c r="L237" s="124"/>
      <c r="M237" s="124"/>
      <c r="N237" s="124"/>
      <c r="O237" s="124">
        <f t="shared" si="15"/>
        <v>0.155</v>
      </c>
      <c r="P237" s="124">
        <f>7.75*0.02</f>
        <v>0.155</v>
      </c>
      <c r="Q237" s="124"/>
      <c r="R237" s="121"/>
      <c r="T237" s="122">
        <v>4</v>
      </c>
      <c r="U237" s="123" t="s">
        <v>809</v>
      </c>
      <c r="V237" s="123" t="s">
        <v>815</v>
      </c>
    </row>
    <row r="238" spans="1:22">
      <c r="A238" s="119" t="s">
        <v>666</v>
      </c>
      <c r="B238" s="119" t="s">
        <v>431</v>
      </c>
      <c r="C238" s="125" t="s">
        <v>600</v>
      </c>
      <c r="D238" s="120">
        <v>2021</v>
      </c>
      <c r="E238" s="125"/>
      <c r="F238" s="124"/>
      <c r="G238" s="124"/>
      <c r="H238" s="124">
        <f>I238+J238</f>
        <v>7.4799999999999997E-3</v>
      </c>
      <c r="I238" s="124"/>
      <c r="J238" s="124">
        <f>0.34*0.022</f>
        <v>7.4799999999999997E-3</v>
      </c>
      <c r="K238" s="124"/>
      <c r="L238" s="124"/>
      <c r="M238" s="124"/>
      <c r="N238" s="124"/>
      <c r="O238" s="124">
        <f t="shared" si="15"/>
        <v>7.4799999999999997E-3</v>
      </c>
      <c r="P238" s="124">
        <f>0.34*0.022</f>
        <v>7.4799999999999997E-3</v>
      </c>
      <c r="Q238" s="124"/>
      <c r="R238" s="121"/>
      <c r="T238" s="122">
        <v>5</v>
      </c>
      <c r="U238" s="123" t="s">
        <v>809</v>
      </c>
      <c r="V238" s="123" t="s">
        <v>815</v>
      </c>
    </row>
    <row r="239" spans="1:22">
      <c r="A239" s="119" t="s">
        <v>575</v>
      </c>
      <c r="B239" s="119" t="s">
        <v>432</v>
      </c>
      <c r="C239" s="120" t="s">
        <v>594</v>
      </c>
      <c r="D239" s="120">
        <v>2021</v>
      </c>
      <c r="E239" s="120"/>
      <c r="F239" s="121"/>
      <c r="G239" s="121"/>
      <c r="H239" s="121">
        <f t="shared" ref="H239:H244" si="16">I239+J239</f>
        <v>3.96</v>
      </c>
      <c r="I239" s="121"/>
      <c r="J239" s="121">
        <f>72*0.055</f>
        <v>3.96</v>
      </c>
      <c r="K239" s="121"/>
      <c r="L239" s="121"/>
      <c r="M239" s="121"/>
      <c r="N239" s="121"/>
      <c r="O239" s="121">
        <f t="shared" si="14"/>
        <v>3.96</v>
      </c>
      <c r="P239" s="121">
        <f>72*0.055</f>
        <v>3.96</v>
      </c>
      <c r="Q239" s="121"/>
      <c r="R239" s="121"/>
      <c r="T239" s="122">
        <v>1</v>
      </c>
      <c r="U239" s="123" t="s">
        <v>811</v>
      </c>
      <c r="V239" s="123" t="s">
        <v>817</v>
      </c>
    </row>
    <row r="240" spans="1:22">
      <c r="A240" s="119" t="s">
        <v>575</v>
      </c>
      <c r="B240" s="119" t="s">
        <v>432</v>
      </c>
      <c r="C240" s="120" t="s">
        <v>595</v>
      </c>
      <c r="D240" s="120">
        <v>2021</v>
      </c>
      <c r="E240" s="120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>
        <f t="shared" si="14"/>
        <v>0</v>
      </c>
      <c r="P240" s="121"/>
      <c r="Q240" s="121"/>
      <c r="R240" s="121"/>
      <c r="T240" s="122">
        <v>2</v>
      </c>
      <c r="U240" s="123" t="s">
        <v>811</v>
      </c>
      <c r="V240" s="123" t="s">
        <v>817</v>
      </c>
    </row>
    <row r="241" spans="1:22" ht="9.6" customHeight="1">
      <c r="A241" s="119" t="s">
        <v>575</v>
      </c>
      <c r="B241" s="119" t="s">
        <v>432</v>
      </c>
      <c r="C241" s="120" t="s">
        <v>596</v>
      </c>
      <c r="D241" s="120">
        <v>2021</v>
      </c>
      <c r="E241" s="120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>
        <f t="shared" si="14"/>
        <v>0</v>
      </c>
      <c r="P241" s="121"/>
      <c r="Q241" s="121"/>
      <c r="R241" s="121"/>
      <c r="T241" s="122">
        <v>3</v>
      </c>
      <c r="U241" s="123" t="s">
        <v>811</v>
      </c>
      <c r="V241" s="123" t="s">
        <v>817</v>
      </c>
    </row>
    <row r="242" spans="1:22">
      <c r="A242" s="119" t="s">
        <v>575</v>
      </c>
      <c r="B242" s="119" t="s">
        <v>432</v>
      </c>
      <c r="C242" s="120" t="s">
        <v>597</v>
      </c>
      <c r="D242" s="120">
        <v>2021</v>
      </c>
      <c r="E242" s="120"/>
      <c r="F242" s="121"/>
      <c r="G242" s="121"/>
      <c r="H242" s="128">
        <f t="shared" si="16"/>
        <v>6.4000000000000003E-3</v>
      </c>
      <c r="I242" s="128"/>
      <c r="J242" s="128">
        <f>0.32*0.02</f>
        <v>6.4000000000000003E-3</v>
      </c>
      <c r="K242" s="121"/>
      <c r="L242" s="121"/>
      <c r="M242" s="121"/>
      <c r="N242" s="121"/>
      <c r="O242" s="121">
        <f t="shared" si="14"/>
        <v>6.4000000000000003E-3</v>
      </c>
      <c r="P242" s="128">
        <f>0.32*0.02</f>
        <v>6.4000000000000003E-3</v>
      </c>
      <c r="Q242" s="121"/>
      <c r="R242" s="121"/>
      <c r="T242" s="122">
        <v>4</v>
      </c>
      <c r="U242" s="123" t="s">
        <v>811</v>
      </c>
      <c r="V242" s="123" t="s">
        <v>817</v>
      </c>
    </row>
    <row r="243" spans="1:22">
      <c r="A243" s="119" t="s">
        <v>575</v>
      </c>
      <c r="B243" s="119" t="s">
        <v>432</v>
      </c>
      <c r="C243" s="120" t="s">
        <v>600</v>
      </c>
      <c r="D243" s="120">
        <v>2021</v>
      </c>
      <c r="E243" s="120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>
        <f t="shared" si="14"/>
        <v>0</v>
      </c>
      <c r="P243" s="121"/>
      <c r="Q243" s="121"/>
      <c r="R243" s="121"/>
      <c r="T243" s="122">
        <v>5</v>
      </c>
      <c r="U243" s="123" t="s">
        <v>811</v>
      </c>
      <c r="V243" s="123" t="s">
        <v>817</v>
      </c>
    </row>
    <row r="244" spans="1:22">
      <c r="A244" s="119" t="s">
        <v>363</v>
      </c>
      <c r="B244" s="119" t="s">
        <v>433</v>
      </c>
      <c r="C244" s="120" t="s">
        <v>594</v>
      </c>
      <c r="D244" s="120">
        <v>2021</v>
      </c>
      <c r="E244" s="120"/>
      <c r="F244" s="121"/>
      <c r="G244" s="121"/>
      <c r="H244" s="121">
        <f t="shared" si="16"/>
        <v>0.93500000000000005</v>
      </c>
      <c r="I244" s="121"/>
      <c r="J244" s="129">
        <f>17*0.055</f>
        <v>0.93500000000000005</v>
      </c>
      <c r="K244" s="121"/>
      <c r="L244" s="121"/>
      <c r="M244" s="121"/>
      <c r="N244" s="121"/>
      <c r="O244" s="121">
        <f t="shared" si="14"/>
        <v>0.93500000000000005</v>
      </c>
      <c r="P244" s="129">
        <f>17*0.055</f>
        <v>0.93500000000000005</v>
      </c>
      <c r="Q244" s="121"/>
      <c r="R244" s="121"/>
      <c r="T244" s="122">
        <v>1</v>
      </c>
      <c r="U244" s="123" t="s">
        <v>809</v>
      </c>
      <c r="V244" s="123" t="s">
        <v>815</v>
      </c>
    </row>
    <row r="245" spans="1:22">
      <c r="A245" s="119" t="s">
        <v>363</v>
      </c>
      <c r="B245" s="119" t="s">
        <v>433</v>
      </c>
      <c r="C245" s="120" t="s">
        <v>595</v>
      </c>
      <c r="D245" s="120">
        <v>2021</v>
      </c>
      <c r="E245" s="120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>
        <f t="shared" si="14"/>
        <v>0</v>
      </c>
      <c r="P245" s="129"/>
      <c r="Q245" s="121"/>
      <c r="R245" s="121"/>
      <c r="T245" s="122">
        <v>2</v>
      </c>
      <c r="U245" s="123" t="s">
        <v>809</v>
      </c>
      <c r="V245" s="123" t="s">
        <v>815</v>
      </c>
    </row>
    <row r="246" spans="1:22">
      <c r="A246" s="119" t="s">
        <v>363</v>
      </c>
      <c r="B246" s="119" t="s">
        <v>433</v>
      </c>
      <c r="C246" s="120" t="s">
        <v>596</v>
      </c>
      <c r="D246" s="120">
        <v>2021</v>
      </c>
      <c r="E246" s="120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>
        <f t="shared" si="14"/>
        <v>0</v>
      </c>
      <c r="P246" s="129"/>
      <c r="Q246" s="121"/>
      <c r="R246" s="121"/>
      <c r="T246" s="122">
        <v>3</v>
      </c>
      <c r="U246" s="123" t="s">
        <v>809</v>
      </c>
      <c r="V246" s="123" t="s">
        <v>815</v>
      </c>
    </row>
    <row r="247" spans="1:22">
      <c r="A247" s="119" t="s">
        <v>363</v>
      </c>
      <c r="B247" s="119" t="s">
        <v>433</v>
      </c>
      <c r="C247" s="120" t="s">
        <v>597</v>
      </c>
      <c r="D247" s="120">
        <v>2021</v>
      </c>
      <c r="E247" s="120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>
        <f t="shared" si="14"/>
        <v>0</v>
      </c>
      <c r="P247" s="129"/>
      <c r="Q247" s="121"/>
      <c r="R247" s="121"/>
      <c r="T247" s="122">
        <v>4</v>
      </c>
      <c r="U247" s="123" t="s">
        <v>809</v>
      </c>
      <c r="V247" s="123" t="s">
        <v>815</v>
      </c>
    </row>
    <row r="248" spans="1:22">
      <c r="A248" s="119" t="s">
        <v>363</v>
      </c>
      <c r="B248" s="119" t="s">
        <v>433</v>
      </c>
      <c r="C248" s="120" t="s">
        <v>600</v>
      </c>
      <c r="D248" s="120">
        <v>2021</v>
      </c>
      <c r="E248" s="120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>
        <f t="shared" si="14"/>
        <v>0</v>
      </c>
      <c r="P248" s="129"/>
      <c r="Q248" s="121"/>
      <c r="R248" s="121"/>
      <c r="T248" s="122">
        <v>5</v>
      </c>
      <c r="U248" s="123" t="s">
        <v>809</v>
      </c>
      <c r="V248" s="123" t="s">
        <v>815</v>
      </c>
    </row>
    <row r="249" spans="1:22">
      <c r="A249" s="119" t="s">
        <v>245</v>
      </c>
      <c r="B249" s="119" t="s">
        <v>434</v>
      </c>
      <c r="C249" s="120" t="s">
        <v>594</v>
      </c>
      <c r="D249" s="120">
        <v>2021</v>
      </c>
      <c r="E249" s="120"/>
      <c r="F249" s="121"/>
      <c r="G249" s="121"/>
      <c r="H249" s="121">
        <f>I249+J249</f>
        <v>0.60499999999999998</v>
      </c>
      <c r="I249" s="121"/>
      <c r="J249" s="121">
        <f>11*0.055</f>
        <v>0.60499999999999998</v>
      </c>
      <c r="K249" s="121"/>
      <c r="L249" s="121"/>
      <c r="M249" s="121"/>
      <c r="N249" s="121"/>
      <c r="O249" s="121">
        <f t="shared" si="14"/>
        <v>0.60499999999999998</v>
      </c>
      <c r="P249" s="121"/>
      <c r="Q249" s="121"/>
      <c r="R249" s="121"/>
      <c r="T249" s="122">
        <v>1</v>
      </c>
      <c r="U249" s="123" t="s">
        <v>809</v>
      </c>
      <c r="V249" s="123" t="s">
        <v>815</v>
      </c>
    </row>
    <row r="250" spans="1:22">
      <c r="A250" s="119" t="s">
        <v>245</v>
      </c>
      <c r="B250" s="119" t="s">
        <v>434</v>
      </c>
      <c r="C250" s="120" t="s">
        <v>595</v>
      </c>
      <c r="D250" s="120">
        <v>2021</v>
      </c>
      <c r="E250" s="120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>
        <f t="shared" si="14"/>
        <v>0</v>
      </c>
      <c r="P250" s="129"/>
      <c r="Q250" s="121"/>
      <c r="R250" s="121"/>
      <c r="T250" s="122">
        <v>2</v>
      </c>
      <c r="U250" s="123" t="s">
        <v>809</v>
      </c>
      <c r="V250" s="123" t="s">
        <v>815</v>
      </c>
    </row>
    <row r="251" spans="1:22">
      <c r="A251" s="119" t="s">
        <v>245</v>
      </c>
      <c r="B251" s="119" t="s">
        <v>434</v>
      </c>
      <c r="C251" s="120" t="s">
        <v>596</v>
      </c>
      <c r="D251" s="120">
        <v>2021</v>
      </c>
      <c r="E251" s="120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>
        <f t="shared" si="14"/>
        <v>0</v>
      </c>
      <c r="P251" s="129"/>
      <c r="Q251" s="121"/>
      <c r="R251" s="121"/>
      <c r="T251" s="122">
        <v>3</v>
      </c>
      <c r="U251" s="123" t="s">
        <v>809</v>
      </c>
      <c r="V251" s="123" t="s">
        <v>815</v>
      </c>
    </row>
    <row r="252" spans="1:22">
      <c r="A252" s="119" t="s">
        <v>245</v>
      </c>
      <c r="B252" s="119" t="s">
        <v>434</v>
      </c>
      <c r="C252" s="120" t="s">
        <v>597</v>
      </c>
      <c r="D252" s="120">
        <v>2021</v>
      </c>
      <c r="E252" s="120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>
        <f t="shared" si="14"/>
        <v>0</v>
      </c>
      <c r="P252" s="129"/>
      <c r="Q252" s="121"/>
      <c r="R252" s="121"/>
      <c r="T252" s="122">
        <v>4</v>
      </c>
      <c r="U252" s="123" t="s">
        <v>809</v>
      </c>
      <c r="V252" s="123" t="s">
        <v>815</v>
      </c>
    </row>
    <row r="253" spans="1:22">
      <c r="A253" s="119" t="s">
        <v>245</v>
      </c>
      <c r="B253" s="119" t="s">
        <v>434</v>
      </c>
      <c r="C253" s="120" t="s">
        <v>600</v>
      </c>
      <c r="D253" s="120">
        <v>2021</v>
      </c>
      <c r="E253" s="120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>
        <f t="shared" si="14"/>
        <v>0</v>
      </c>
      <c r="P253" s="129"/>
      <c r="Q253" s="121"/>
      <c r="R253" s="121"/>
      <c r="T253" s="122">
        <v>5</v>
      </c>
      <c r="U253" s="123" t="s">
        <v>809</v>
      </c>
      <c r="V253" s="123" t="s">
        <v>815</v>
      </c>
    </row>
    <row r="254" spans="1:22">
      <c r="A254" s="119" t="s">
        <v>844</v>
      </c>
      <c r="B254" s="119" t="s">
        <v>31</v>
      </c>
      <c r="C254" s="120" t="s">
        <v>594</v>
      </c>
      <c r="D254" s="120">
        <v>2021</v>
      </c>
      <c r="E254" s="120"/>
      <c r="F254" s="121"/>
      <c r="G254" s="121"/>
      <c r="H254" s="121">
        <f>I254+J254</f>
        <v>0.37371400000000005</v>
      </c>
      <c r="I254" s="121"/>
      <c r="J254" s="121">
        <f>6.7948*0.055</f>
        <v>0.37371400000000005</v>
      </c>
      <c r="K254" s="121"/>
      <c r="L254" s="121"/>
      <c r="M254" s="121"/>
      <c r="N254" s="121"/>
      <c r="O254" s="121">
        <f t="shared" ref="O254:O259" si="17">F254+H254</f>
        <v>0.37371400000000005</v>
      </c>
      <c r="P254" s="121"/>
      <c r="Q254" s="121"/>
      <c r="R254" s="121"/>
      <c r="T254" s="122">
        <v>1</v>
      </c>
      <c r="U254" s="123" t="s">
        <v>809</v>
      </c>
      <c r="V254" s="123" t="s">
        <v>815</v>
      </c>
    </row>
    <row r="255" spans="1:22">
      <c r="A255" s="119" t="s">
        <v>844</v>
      </c>
      <c r="B255" s="119" t="s">
        <v>31</v>
      </c>
      <c r="C255" s="120" t="s">
        <v>595</v>
      </c>
      <c r="D255" s="120">
        <v>2021</v>
      </c>
      <c r="E255" s="120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>
        <f t="shared" si="17"/>
        <v>0</v>
      </c>
      <c r="P255" s="121"/>
      <c r="Q255" s="121"/>
      <c r="R255" s="121"/>
      <c r="T255" s="122">
        <v>2</v>
      </c>
      <c r="U255" s="123" t="s">
        <v>809</v>
      </c>
      <c r="V255" s="123" t="s">
        <v>815</v>
      </c>
    </row>
    <row r="256" spans="1:22">
      <c r="A256" s="119" t="s">
        <v>844</v>
      </c>
      <c r="B256" s="119" t="s">
        <v>31</v>
      </c>
      <c r="C256" s="125" t="s">
        <v>700</v>
      </c>
      <c r="D256" s="120">
        <v>2021</v>
      </c>
      <c r="E256" s="120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>
        <f t="shared" si="17"/>
        <v>0</v>
      </c>
      <c r="P256" s="121"/>
      <c r="Q256" s="121"/>
      <c r="R256" s="121"/>
      <c r="U256" s="123" t="s">
        <v>809</v>
      </c>
      <c r="V256" s="123" t="s">
        <v>815</v>
      </c>
    </row>
    <row r="257" spans="1:22">
      <c r="A257" s="119" t="s">
        <v>844</v>
      </c>
      <c r="B257" s="119" t="s">
        <v>31</v>
      </c>
      <c r="C257" s="120" t="s">
        <v>596</v>
      </c>
      <c r="D257" s="120">
        <v>2021</v>
      </c>
      <c r="E257" s="120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>
        <f t="shared" si="17"/>
        <v>0</v>
      </c>
      <c r="P257" s="121"/>
      <c r="Q257" s="121"/>
      <c r="R257" s="121"/>
      <c r="T257" s="122">
        <v>3</v>
      </c>
      <c r="U257" s="123" t="s">
        <v>809</v>
      </c>
      <c r="V257" s="123" t="s">
        <v>815</v>
      </c>
    </row>
    <row r="258" spans="1:22">
      <c r="A258" s="119" t="s">
        <v>844</v>
      </c>
      <c r="B258" s="119" t="s">
        <v>31</v>
      </c>
      <c r="C258" s="120" t="s">
        <v>597</v>
      </c>
      <c r="D258" s="120">
        <v>2021</v>
      </c>
      <c r="E258" s="120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>
        <f t="shared" si="17"/>
        <v>0</v>
      </c>
      <c r="P258" s="121"/>
      <c r="Q258" s="121"/>
      <c r="R258" s="121"/>
      <c r="T258" s="122">
        <v>4</v>
      </c>
      <c r="U258" s="123" t="s">
        <v>809</v>
      </c>
      <c r="V258" s="123" t="s">
        <v>815</v>
      </c>
    </row>
    <row r="259" spans="1:22">
      <c r="A259" s="119" t="s">
        <v>844</v>
      </c>
      <c r="B259" s="119" t="s">
        <v>31</v>
      </c>
      <c r="C259" s="120" t="s">
        <v>600</v>
      </c>
      <c r="D259" s="120">
        <v>2021</v>
      </c>
      <c r="E259" s="120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>
        <f t="shared" si="17"/>
        <v>0</v>
      </c>
      <c r="P259" s="121"/>
      <c r="Q259" s="121"/>
      <c r="R259" s="121"/>
      <c r="T259" s="122">
        <v>5</v>
      </c>
      <c r="U259" s="123" t="s">
        <v>809</v>
      </c>
      <c r="V259" s="123" t="s">
        <v>815</v>
      </c>
    </row>
    <row r="260" spans="1:22">
      <c r="A260" s="119" t="s">
        <v>576</v>
      </c>
      <c r="B260" s="119" t="s">
        <v>435</v>
      </c>
      <c r="C260" s="120" t="s">
        <v>594</v>
      </c>
      <c r="D260" s="120">
        <v>2021</v>
      </c>
      <c r="E260" s="120"/>
      <c r="F260" s="121"/>
      <c r="G260" s="121"/>
      <c r="H260" s="121">
        <f>I260+J260</f>
        <v>3.3660000000000001</v>
      </c>
      <c r="I260" s="121"/>
      <c r="J260" s="121">
        <f>61.2*0.055</f>
        <v>3.3660000000000001</v>
      </c>
      <c r="K260" s="121"/>
      <c r="L260" s="121"/>
      <c r="M260" s="121"/>
      <c r="N260" s="121"/>
      <c r="O260" s="121">
        <f t="shared" si="14"/>
        <v>3.3660000000000001</v>
      </c>
      <c r="P260" s="121">
        <f>61.2*0.055</f>
        <v>3.3660000000000001</v>
      </c>
      <c r="Q260" s="121"/>
      <c r="R260" s="121"/>
      <c r="T260" s="122">
        <v>1</v>
      </c>
      <c r="U260" s="123" t="s">
        <v>809</v>
      </c>
      <c r="V260" s="123" t="s">
        <v>815</v>
      </c>
    </row>
    <row r="261" spans="1:22">
      <c r="A261" s="119" t="s">
        <v>576</v>
      </c>
      <c r="B261" s="119" t="s">
        <v>435</v>
      </c>
      <c r="C261" s="120" t="s">
        <v>595</v>
      </c>
      <c r="D261" s="120">
        <v>2021</v>
      </c>
      <c r="E261" s="120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>
        <f t="shared" si="14"/>
        <v>0</v>
      </c>
      <c r="P261" s="121"/>
      <c r="Q261" s="121"/>
      <c r="R261" s="121"/>
      <c r="T261" s="122">
        <v>2</v>
      </c>
      <c r="U261" s="123" t="s">
        <v>809</v>
      </c>
      <c r="V261" s="123" t="s">
        <v>815</v>
      </c>
    </row>
    <row r="262" spans="1:22">
      <c r="A262" s="119" t="s">
        <v>576</v>
      </c>
      <c r="B262" s="119" t="s">
        <v>435</v>
      </c>
      <c r="C262" s="120" t="s">
        <v>596</v>
      </c>
      <c r="D262" s="120">
        <v>2021</v>
      </c>
      <c r="E262" s="120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>
        <f t="shared" si="14"/>
        <v>0</v>
      </c>
      <c r="P262" s="121"/>
      <c r="Q262" s="121"/>
      <c r="R262" s="121"/>
      <c r="T262" s="122">
        <v>3</v>
      </c>
      <c r="U262" s="123" t="s">
        <v>809</v>
      </c>
      <c r="V262" s="123" t="s">
        <v>815</v>
      </c>
    </row>
    <row r="263" spans="1:22">
      <c r="A263" s="119" t="s">
        <v>576</v>
      </c>
      <c r="B263" s="119" t="s">
        <v>435</v>
      </c>
      <c r="C263" s="120" t="s">
        <v>597</v>
      </c>
      <c r="D263" s="120">
        <v>2021</v>
      </c>
      <c r="E263" s="120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>
        <f t="shared" si="14"/>
        <v>0</v>
      </c>
      <c r="P263" s="121"/>
      <c r="Q263" s="121"/>
      <c r="R263" s="121"/>
      <c r="T263" s="122">
        <v>4</v>
      </c>
      <c r="U263" s="123" t="s">
        <v>809</v>
      </c>
      <c r="V263" s="123" t="s">
        <v>815</v>
      </c>
    </row>
    <row r="264" spans="1:22">
      <c r="A264" s="119" t="s">
        <v>576</v>
      </c>
      <c r="B264" s="119" t="s">
        <v>435</v>
      </c>
      <c r="C264" s="120" t="s">
        <v>600</v>
      </c>
      <c r="D264" s="120">
        <v>2021</v>
      </c>
      <c r="E264" s="120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>
        <f t="shared" ref="O264:O282" si="18">F264+H264</f>
        <v>0</v>
      </c>
      <c r="P264" s="121"/>
      <c r="Q264" s="121"/>
      <c r="R264" s="121"/>
      <c r="T264" s="122">
        <v>5</v>
      </c>
      <c r="U264" s="123" t="s">
        <v>809</v>
      </c>
      <c r="V264" s="123" t="s">
        <v>815</v>
      </c>
    </row>
    <row r="265" spans="1:22">
      <c r="A265" s="119" t="s">
        <v>577</v>
      </c>
      <c r="B265" s="119" t="s">
        <v>436</v>
      </c>
      <c r="C265" s="120" t="s">
        <v>594</v>
      </c>
      <c r="D265" s="120">
        <v>2021</v>
      </c>
      <c r="E265" s="120"/>
      <c r="F265" s="121"/>
      <c r="G265" s="121"/>
      <c r="H265" s="121">
        <f>I265+J265</f>
        <v>1.98011</v>
      </c>
      <c r="I265" s="121"/>
      <c r="J265" s="121">
        <f>36.002*0.055</f>
        <v>1.98011</v>
      </c>
      <c r="K265" s="121"/>
      <c r="L265" s="121"/>
      <c r="M265" s="121"/>
      <c r="N265" s="121"/>
      <c r="O265" s="121">
        <f t="shared" si="18"/>
        <v>1.98011</v>
      </c>
      <c r="P265" s="121">
        <f>51.809*0.055</f>
        <v>2.8494949999999997</v>
      </c>
      <c r="Q265" s="121">
        <f>49.339*0.055</f>
        <v>2.7136450000000001</v>
      </c>
      <c r="R265" s="121"/>
      <c r="T265" s="122">
        <v>1</v>
      </c>
      <c r="U265" s="123" t="s">
        <v>806</v>
      </c>
      <c r="V265" s="123" t="s">
        <v>816</v>
      </c>
    </row>
    <row r="266" spans="1:22">
      <c r="A266" s="119" t="s">
        <v>577</v>
      </c>
      <c r="B266" s="119" t="s">
        <v>436</v>
      </c>
      <c r="C266" s="120" t="s">
        <v>595</v>
      </c>
      <c r="D266" s="120">
        <v>2021</v>
      </c>
      <c r="E266" s="120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>
        <f t="shared" si="18"/>
        <v>0</v>
      </c>
      <c r="P266" s="121"/>
      <c r="Q266" s="121"/>
      <c r="R266" s="121"/>
      <c r="T266" s="122">
        <v>2</v>
      </c>
      <c r="U266" s="123" t="s">
        <v>806</v>
      </c>
      <c r="V266" s="123" t="s">
        <v>816</v>
      </c>
    </row>
    <row r="267" spans="1:22">
      <c r="A267" s="119" t="s">
        <v>577</v>
      </c>
      <c r="B267" s="119" t="s">
        <v>436</v>
      </c>
      <c r="C267" s="120" t="s">
        <v>596</v>
      </c>
      <c r="D267" s="120">
        <v>2021</v>
      </c>
      <c r="E267" s="120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>
        <f t="shared" si="18"/>
        <v>0</v>
      </c>
      <c r="P267" s="121"/>
      <c r="Q267" s="121"/>
      <c r="R267" s="121"/>
      <c r="T267" s="122">
        <v>3</v>
      </c>
      <c r="U267" s="123" t="s">
        <v>806</v>
      </c>
      <c r="V267" s="123" t="s">
        <v>816</v>
      </c>
    </row>
    <row r="268" spans="1:22">
      <c r="A268" s="119" t="s">
        <v>577</v>
      </c>
      <c r="B268" s="119" t="s">
        <v>436</v>
      </c>
      <c r="C268" s="120" t="s">
        <v>597</v>
      </c>
      <c r="D268" s="120">
        <v>2021</v>
      </c>
      <c r="E268" s="120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>
        <f t="shared" si="18"/>
        <v>0</v>
      </c>
      <c r="P268" s="121"/>
      <c r="Q268" s="121"/>
      <c r="R268" s="121"/>
      <c r="T268" s="122">
        <v>4</v>
      </c>
      <c r="U268" s="123" t="s">
        <v>806</v>
      </c>
      <c r="V268" s="123" t="s">
        <v>816</v>
      </c>
    </row>
    <row r="269" spans="1:22">
      <c r="A269" s="119" t="s">
        <v>577</v>
      </c>
      <c r="B269" s="119" t="s">
        <v>436</v>
      </c>
      <c r="C269" s="120" t="s">
        <v>600</v>
      </c>
      <c r="D269" s="120">
        <v>2021</v>
      </c>
      <c r="E269" s="120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>
        <f t="shared" si="18"/>
        <v>0</v>
      </c>
      <c r="P269" s="121"/>
      <c r="Q269" s="121"/>
      <c r="R269" s="121"/>
      <c r="T269" s="122">
        <v>5</v>
      </c>
      <c r="U269" s="123" t="s">
        <v>806</v>
      </c>
      <c r="V269" s="123" t="s">
        <v>816</v>
      </c>
    </row>
    <row r="270" spans="1:22">
      <c r="A270" s="119" t="s">
        <v>578</v>
      </c>
      <c r="B270" s="119" t="s">
        <v>437</v>
      </c>
      <c r="C270" s="120" t="s">
        <v>594</v>
      </c>
      <c r="D270" s="120">
        <v>2021</v>
      </c>
      <c r="E270" s="120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>
        <f t="shared" si="18"/>
        <v>0</v>
      </c>
      <c r="P270" s="121">
        <f>195*0.055</f>
        <v>10.725</v>
      </c>
      <c r="Q270" s="121"/>
      <c r="R270" s="121"/>
      <c r="T270" s="122">
        <v>1</v>
      </c>
      <c r="U270" s="123" t="s">
        <v>809</v>
      </c>
      <c r="V270" s="123" t="s">
        <v>810</v>
      </c>
    </row>
    <row r="271" spans="1:22">
      <c r="A271" s="119" t="s">
        <v>578</v>
      </c>
      <c r="B271" s="119" t="s">
        <v>437</v>
      </c>
      <c r="C271" s="120" t="s">
        <v>595</v>
      </c>
      <c r="D271" s="120">
        <v>2021</v>
      </c>
      <c r="E271" s="120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>
        <f t="shared" si="18"/>
        <v>0</v>
      </c>
      <c r="P271" s="121"/>
      <c r="Q271" s="121"/>
      <c r="R271" s="121"/>
      <c r="T271" s="122">
        <v>2</v>
      </c>
      <c r="U271" s="123" t="s">
        <v>809</v>
      </c>
      <c r="V271" s="123" t="s">
        <v>810</v>
      </c>
    </row>
    <row r="272" spans="1:22">
      <c r="A272" s="119" t="s">
        <v>578</v>
      </c>
      <c r="B272" s="119" t="s">
        <v>437</v>
      </c>
      <c r="C272" s="120" t="s">
        <v>596</v>
      </c>
      <c r="D272" s="120">
        <v>2021</v>
      </c>
      <c r="E272" s="120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>
        <f t="shared" si="18"/>
        <v>0</v>
      </c>
      <c r="P272" s="121"/>
      <c r="Q272" s="121"/>
      <c r="R272" s="121"/>
      <c r="T272" s="122">
        <v>3</v>
      </c>
      <c r="U272" s="123" t="s">
        <v>809</v>
      </c>
      <c r="V272" s="123" t="s">
        <v>810</v>
      </c>
    </row>
    <row r="273" spans="1:22">
      <c r="A273" s="119" t="s">
        <v>578</v>
      </c>
      <c r="B273" s="119" t="s">
        <v>437</v>
      </c>
      <c r="C273" s="120" t="s">
        <v>597</v>
      </c>
      <c r="D273" s="120">
        <v>2021</v>
      </c>
      <c r="E273" s="120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>
        <f t="shared" si="18"/>
        <v>0</v>
      </c>
      <c r="P273" s="121"/>
      <c r="Q273" s="121"/>
      <c r="R273" s="121"/>
      <c r="T273" s="122">
        <v>4</v>
      </c>
      <c r="U273" s="123" t="s">
        <v>809</v>
      </c>
      <c r="V273" s="123" t="s">
        <v>810</v>
      </c>
    </row>
    <row r="274" spans="1:22">
      <c r="A274" s="119" t="s">
        <v>578</v>
      </c>
      <c r="B274" s="119" t="s">
        <v>437</v>
      </c>
      <c r="C274" s="120" t="s">
        <v>600</v>
      </c>
      <c r="D274" s="120">
        <v>2021</v>
      </c>
      <c r="E274" s="120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>
        <f t="shared" si="18"/>
        <v>0</v>
      </c>
      <c r="P274" s="121"/>
      <c r="Q274" s="121"/>
      <c r="R274" s="121"/>
      <c r="T274" s="122">
        <v>5</v>
      </c>
      <c r="U274" s="123" t="s">
        <v>809</v>
      </c>
      <c r="V274" s="123" t="s">
        <v>810</v>
      </c>
    </row>
    <row r="275" spans="1:22">
      <c r="A275" s="119" t="s">
        <v>579</v>
      </c>
      <c r="B275" s="119" t="s">
        <v>438</v>
      </c>
      <c r="C275" s="120" t="s">
        <v>594</v>
      </c>
      <c r="D275" s="120">
        <v>2021</v>
      </c>
      <c r="E275" s="120"/>
      <c r="F275" s="121"/>
      <c r="G275" s="121"/>
      <c r="H275" s="121">
        <f>I275+J275</f>
        <v>0.1925</v>
      </c>
      <c r="I275" s="121"/>
      <c r="J275" s="121">
        <f>3.5*0.055</f>
        <v>0.1925</v>
      </c>
      <c r="K275" s="121"/>
      <c r="L275" s="121"/>
      <c r="M275" s="121"/>
      <c r="N275" s="121"/>
      <c r="O275" s="121">
        <f t="shared" si="18"/>
        <v>0.1925</v>
      </c>
      <c r="P275" s="121"/>
      <c r="Q275" s="121"/>
      <c r="R275" s="121"/>
      <c r="T275" s="122">
        <v>1</v>
      </c>
      <c r="U275" s="123" t="s">
        <v>809</v>
      </c>
      <c r="V275" s="123" t="s">
        <v>815</v>
      </c>
    </row>
    <row r="276" spans="1:22">
      <c r="A276" s="119" t="s">
        <v>579</v>
      </c>
      <c r="B276" s="119" t="s">
        <v>438</v>
      </c>
      <c r="C276" s="120" t="s">
        <v>595</v>
      </c>
      <c r="D276" s="120">
        <v>2021</v>
      </c>
      <c r="E276" s="120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>
        <f t="shared" si="18"/>
        <v>0</v>
      </c>
      <c r="P276" s="121"/>
      <c r="Q276" s="121"/>
      <c r="R276" s="121"/>
      <c r="T276" s="122">
        <v>2</v>
      </c>
      <c r="U276" s="123" t="s">
        <v>809</v>
      </c>
      <c r="V276" s="123" t="s">
        <v>815</v>
      </c>
    </row>
    <row r="277" spans="1:22">
      <c r="A277" s="119" t="s">
        <v>579</v>
      </c>
      <c r="B277" s="119" t="s">
        <v>438</v>
      </c>
      <c r="C277" s="125" t="s">
        <v>700</v>
      </c>
      <c r="D277" s="120">
        <v>2021</v>
      </c>
      <c r="E277" s="120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>
        <f t="shared" si="18"/>
        <v>0</v>
      </c>
      <c r="P277" s="121"/>
      <c r="Q277" s="121"/>
      <c r="R277" s="121"/>
      <c r="U277" s="123" t="s">
        <v>809</v>
      </c>
      <c r="V277" s="123" t="s">
        <v>815</v>
      </c>
    </row>
    <row r="278" spans="1:22">
      <c r="A278" s="119" t="s">
        <v>579</v>
      </c>
      <c r="B278" s="119" t="s">
        <v>438</v>
      </c>
      <c r="C278" s="120" t="s">
        <v>596</v>
      </c>
      <c r="D278" s="120">
        <v>2021</v>
      </c>
      <c r="E278" s="120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>
        <f t="shared" si="18"/>
        <v>0</v>
      </c>
      <c r="P278" s="121"/>
      <c r="Q278" s="121"/>
      <c r="R278" s="121"/>
      <c r="T278" s="122">
        <v>3</v>
      </c>
      <c r="U278" s="123" t="s">
        <v>809</v>
      </c>
      <c r="V278" s="123" t="s">
        <v>815</v>
      </c>
    </row>
    <row r="279" spans="1:22">
      <c r="A279" s="119" t="s">
        <v>579</v>
      </c>
      <c r="B279" s="119" t="s">
        <v>438</v>
      </c>
      <c r="C279" s="120" t="s">
        <v>597</v>
      </c>
      <c r="D279" s="120">
        <v>2021</v>
      </c>
      <c r="E279" s="120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>
        <f t="shared" si="18"/>
        <v>0</v>
      </c>
      <c r="P279" s="121"/>
      <c r="Q279" s="121"/>
      <c r="R279" s="121"/>
      <c r="T279" s="122">
        <v>4</v>
      </c>
      <c r="U279" s="123" t="s">
        <v>809</v>
      </c>
      <c r="V279" s="123" t="s">
        <v>815</v>
      </c>
    </row>
    <row r="280" spans="1:22">
      <c r="A280" s="119" t="s">
        <v>579</v>
      </c>
      <c r="B280" s="119" t="s">
        <v>438</v>
      </c>
      <c r="C280" s="120" t="s">
        <v>600</v>
      </c>
      <c r="D280" s="120">
        <v>2021</v>
      </c>
      <c r="E280" s="120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>
        <f t="shared" si="18"/>
        <v>0</v>
      </c>
      <c r="P280" s="121"/>
      <c r="Q280" s="121"/>
      <c r="R280" s="121"/>
      <c r="T280" s="122">
        <v>5</v>
      </c>
      <c r="U280" s="123" t="s">
        <v>809</v>
      </c>
      <c r="V280" s="123" t="s">
        <v>815</v>
      </c>
    </row>
    <row r="281" spans="1:22">
      <c r="A281" s="119" t="s">
        <v>580</v>
      </c>
      <c r="B281" s="119" t="s">
        <v>439</v>
      </c>
      <c r="C281" s="120" t="s">
        <v>594</v>
      </c>
      <c r="D281" s="120">
        <v>2021</v>
      </c>
      <c r="E281" s="120"/>
      <c r="F281" s="121"/>
      <c r="G281" s="121"/>
      <c r="H281" s="121">
        <f>I281+J281</f>
        <v>0.91816999999999993</v>
      </c>
      <c r="I281" s="121"/>
      <c r="J281" s="121">
        <f>16.694*0.055</f>
        <v>0.91816999999999993</v>
      </c>
      <c r="K281" s="121"/>
      <c r="L281" s="121"/>
      <c r="M281" s="121"/>
      <c r="N281" s="121"/>
      <c r="O281" s="121">
        <f t="shared" si="18"/>
        <v>0.91816999999999993</v>
      </c>
      <c r="P281" s="121"/>
      <c r="Q281" s="121"/>
      <c r="R281" s="121"/>
      <c r="T281" s="122">
        <v>1</v>
      </c>
      <c r="U281" s="123" t="s">
        <v>808</v>
      </c>
      <c r="V281" s="123" t="s">
        <v>808</v>
      </c>
    </row>
    <row r="282" spans="1:22">
      <c r="A282" s="119" t="s">
        <v>580</v>
      </c>
      <c r="B282" s="119" t="s">
        <v>439</v>
      </c>
      <c r="C282" s="120" t="s">
        <v>595</v>
      </c>
      <c r="D282" s="120">
        <v>2021</v>
      </c>
      <c r="E282" s="120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>
        <f t="shared" si="18"/>
        <v>0</v>
      </c>
      <c r="P282" s="121"/>
      <c r="Q282" s="121"/>
      <c r="R282" s="121"/>
      <c r="T282" s="122">
        <v>2</v>
      </c>
      <c r="U282" s="123" t="s">
        <v>808</v>
      </c>
      <c r="V282" s="123" t="s">
        <v>808</v>
      </c>
    </row>
    <row r="283" spans="1:22">
      <c r="A283" s="119" t="s">
        <v>580</v>
      </c>
      <c r="B283" s="119" t="s">
        <v>439</v>
      </c>
      <c r="C283" s="120" t="s">
        <v>596</v>
      </c>
      <c r="D283" s="120">
        <v>2021</v>
      </c>
      <c r="E283" s="120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>
        <f>H283+K283</f>
        <v>0</v>
      </c>
      <c r="P283" s="121"/>
      <c r="Q283" s="121"/>
      <c r="R283" s="121"/>
      <c r="T283" s="122">
        <v>3</v>
      </c>
      <c r="U283" s="123" t="s">
        <v>808</v>
      </c>
      <c r="V283" s="123" t="s">
        <v>808</v>
      </c>
    </row>
    <row r="284" spans="1:22">
      <c r="A284" s="119" t="s">
        <v>580</v>
      </c>
      <c r="B284" s="119" t="s">
        <v>439</v>
      </c>
      <c r="C284" s="120" t="s">
        <v>597</v>
      </c>
      <c r="D284" s="120">
        <v>2021</v>
      </c>
      <c r="E284" s="120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>
        <f t="shared" ref="O284:O323" si="19">F284+H284</f>
        <v>0</v>
      </c>
      <c r="P284" s="121"/>
      <c r="Q284" s="121"/>
      <c r="R284" s="121"/>
      <c r="T284" s="122">
        <v>4</v>
      </c>
      <c r="U284" s="123" t="s">
        <v>808</v>
      </c>
      <c r="V284" s="123" t="s">
        <v>808</v>
      </c>
    </row>
    <row r="285" spans="1:22">
      <c r="A285" s="119" t="s">
        <v>580</v>
      </c>
      <c r="B285" s="119" t="s">
        <v>439</v>
      </c>
      <c r="C285" s="120" t="s">
        <v>600</v>
      </c>
      <c r="D285" s="120">
        <v>2021</v>
      </c>
      <c r="E285" s="120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>
        <f t="shared" si="19"/>
        <v>0</v>
      </c>
      <c r="P285" s="121"/>
      <c r="Q285" s="121"/>
      <c r="R285" s="121"/>
      <c r="T285" s="122">
        <v>5</v>
      </c>
      <c r="U285" s="123" t="s">
        <v>808</v>
      </c>
      <c r="V285" s="123" t="s">
        <v>808</v>
      </c>
    </row>
    <row r="286" spans="1:22">
      <c r="A286" s="119" t="s">
        <v>581</v>
      </c>
      <c r="B286" s="119" t="s">
        <v>440</v>
      </c>
      <c r="C286" s="120" t="s">
        <v>594</v>
      </c>
      <c r="D286" s="120">
        <v>2021</v>
      </c>
      <c r="E286" s="120"/>
      <c r="F286" s="121"/>
      <c r="G286" s="121"/>
      <c r="H286" s="121">
        <f>I286+J286</f>
        <v>16.087499999999999</v>
      </c>
      <c r="I286" s="121"/>
      <c r="J286" s="121">
        <f>292.5*0.055</f>
        <v>16.087499999999999</v>
      </c>
      <c r="K286" s="121"/>
      <c r="L286" s="121"/>
      <c r="M286" s="121"/>
      <c r="N286" s="121"/>
      <c r="O286" s="121">
        <f t="shared" si="19"/>
        <v>16.087499999999999</v>
      </c>
      <c r="P286" s="121"/>
      <c r="Q286" s="121"/>
      <c r="R286" s="121"/>
      <c r="T286" s="122">
        <v>1</v>
      </c>
      <c r="U286" s="123" t="s">
        <v>809</v>
      </c>
      <c r="V286" s="123" t="s">
        <v>815</v>
      </c>
    </row>
    <row r="287" spans="1:22">
      <c r="A287" s="119" t="s">
        <v>581</v>
      </c>
      <c r="B287" s="119" t="s">
        <v>440</v>
      </c>
      <c r="C287" s="120" t="s">
        <v>595</v>
      </c>
      <c r="D287" s="120">
        <v>2021</v>
      </c>
      <c r="E287" s="120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>
        <f t="shared" si="19"/>
        <v>0</v>
      </c>
      <c r="P287" s="121"/>
      <c r="Q287" s="121"/>
      <c r="R287" s="121"/>
      <c r="T287" s="122">
        <v>2</v>
      </c>
      <c r="U287" s="123" t="s">
        <v>809</v>
      </c>
      <c r="V287" s="123" t="s">
        <v>815</v>
      </c>
    </row>
    <row r="288" spans="1:22">
      <c r="A288" s="119" t="s">
        <v>581</v>
      </c>
      <c r="B288" s="119" t="s">
        <v>440</v>
      </c>
      <c r="C288" s="120" t="s">
        <v>596</v>
      </c>
      <c r="D288" s="120">
        <v>2021</v>
      </c>
      <c r="E288" s="120"/>
      <c r="F288" s="121"/>
      <c r="G288" s="121"/>
      <c r="H288" s="121">
        <f>I288+J288</f>
        <v>0.49036000000000002</v>
      </c>
      <c r="I288" s="121"/>
      <c r="J288" s="121">
        <f>7.544*0.065</f>
        <v>0.49036000000000002</v>
      </c>
      <c r="K288" s="121"/>
      <c r="L288" s="121"/>
      <c r="M288" s="121"/>
      <c r="N288" s="121"/>
      <c r="O288" s="121">
        <f t="shared" si="19"/>
        <v>0.49036000000000002</v>
      </c>
      <c r="P288" s="121"/>
      <c r="Q288" s="121"/>
      <c r="R288" s="121"/>
      <c r="T288" s="122">
        <v>3</v>
      </c>
      <c r="U288" s="123" t="s">
        <v>809</v>
      </c>
      <c r="V288" s="123" t="s">
        <v>815</v>
      </c>
    </row>
    <row r="289" spans="1:22">
      <c r="A289" s="119" t="s">
        <v>581</v>
      </c>
      <c r="B289" s="119" t="s">
        <v>440</v>
      </c>
      <c r="C289" s="120" t="s">
        <v>597</v>
      </c>
      <c r="D289" s="120">
        <v>2021</v>
      </c>
      <c r="E289" s="120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>
        <f t="shared" si="19"/>
        <v>0</v>
      </c>
      <c r="P289" s="121"/>
      <c r="Q289" s="121"/>
      <c r="R289" s="121"/>
      <c r="T289" s="122">
        <v>4</v>
      </c>
      <c r="U289" s="123" t="s">
        <v>809</v>
      </c>
      <c r="V289" s="123" t="s">
        <v>815</v>
      </c>
    </row>
    <row r="290" spans="1:22">
      <c r="A290" s="119" t="s">
        <v>581</v>
      </c>
      <c r="B290" s="119" t="s">
        <v>440</v>
      </c>
      <c r="C290" s="120" t="s">
        <v>600</v>
      </c>
      <c r="D290" s="120">
        <v>2021</v>
      </c>
      <c r="E290" s="120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>
        <f t="shared" si="19"/>
        <v>0</v>
      </c>
      <c r="P290" s="121"/>
      <c r="Q290" s="121"/>
      <c r="R290" s="121"/>
      <c r="T290" s="122">
        <v>5</v>
      </c>
      <c r="U290" s="123" t="s">
        <v>809</v>
      </c>
      <c r="V290" s="123" t="s">
        <v>815</v>
      </c>
    </row>
    <row r="291" spans="1:22">
      <c r="A291" s="119" t="s">
        <v>583</v>
      </c>
      <c r="B291" s="119" t="s">
        <v>441</v>
      </c>
      <c r="C291" s="120" t="s">
        <v>594</v>
      </c>
      <c r="D291" s="120">
        <v>2021</v>
      </c>
      <c r="E291" s="120"/>
      <c r="F291" s="121"/>
      <c r="G291" s="121"/>
      <c r="H291" s="121">
        <f>I291+J291</f>
        <v>0.12539999999999998</v>
      </c>
      <c r="I291" s="121"/>
      <c r="J291" s="121">
        <f>2.28*0.055</f>
        <v>0.12539999999999998</v>
      </c>
      <c r="K291" s="121"/>
      <c r="L291" s="121"/>
      <c r="M291" s="121"/>
      <c r="N291" s="121"/>
      <c r="O291" s="121">
        <f t="shared" si="19"/>
        <v>0.12539999999999998</v>
      </c>
      <c r="P291" s="121">
        <f>2.28*0.055</f>
        <v>0.12539999999999998</v>
      </c>
      <c r="Q291" s="121"/>
      <c r="R291" s="121"/>
      <c r="T291" s="122">
        <v>1</v>
      </c>
      <c r="U291" s="123" t="s">
        <v>811</v>
      </c>
      <c r="V291" s="123" t="s">
        <v>812</v>
      </c>
    </row>
    <row r="292" spans="1:22">
      <c r="A292" s="119" t="s">
        <v>583</v>
      </c>
      <c r="B292" s="119" t="s">
        <v>441</v>
      </c>
      <c r="C292" s="120" t="s">
        <v>595</v>
      </c>
      <c r="D292" s="120">
        <v>2021</v>
      </c>
      <c r="E292" s="120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>
        <f t="shared" si="19"/>
        <v>0</v>
      </c>
      <c r="P292" s="121"/>
      <c r="Q292" s="121"/>
      <c r="R292" s="121"/>
      <c r="T292" s="122">
        <v>2</v>
      </c>
      <c r="U292" s="123" t="s">
        <v>811</v>
      </c>
      <c r="V292" s="123" t="s">
        <v>812</v>
      </c>
    </row>
    <row r="293" spans="1:22">
      <c r="A293" s="119" t="s">
        <v>583</v>
      </c>
      <c r="B293" s="119" t="s">
        <v>441</v>
      </c>
      <c r="C293" s="120" t="s">
        <v>596</v>
      </c>
      <c r="D293" s="120">
        <v>2021</v>
      </c>
      <c r="E293" s="120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>
        <f t="shared" si="19"/>
        <v>0</v>
      </c>
      <c r="P293" s="121"/>
      <c r="Q293" s="121"/>
      <c r="R293" s="121"/>
      <c r="T293" s="122">
        <v>3</v>
      </c>
      <c r="U293" s="123" t="s">
        <v>811</v>
      </c>
      <c r="V293" s="123" t="s">
        <v>812</v>
      </c>
    </row>
    <row r="294" spans="1:22">
      <c r="A294" s="119" t="s">
        <v>583</v>
      </c>
      <c r="B294" s="119" t="s">
        <v>441</v>
      </c>
      <c r="C294" s="120" t="s">
        <v>597</v>
      </c>
      <c r="D294" s="120">
        <v>2021</v>
      </c>
      <c r="E294" s="120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>
        <f t="shared" si="19"/>
        <v>0</v>
      </c>
      <c r="P294" s="121"/>
      <c r="Q294" s="121"/>
      <c r="R294" s="121"/>
      <c r="T294" s="122">
        <v>4</v>
      </c>
      <c r="U294" s="123" t="s">
        <v>811</v>
      </c>
      <c r="V294" s="123" t="s">
        <v>812</v>
      </c>
    </row>
    <row r="295" spans="1:22">
      <c r="A295" s="119" t="s">
        <v>583</v>
      </c>
      <c r="B295" s="119" t="s">
        <v>441</v>
      </c>
      <c r="C295" s="120" t="s">
        <v>600</v>
      </c>
      <c r="D295" s="120">
        <v>2021</v>
      </c>
      <c r="E295" s="120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>
        <f t="shared" si="19"/>
        <v>0</v>
      </c>
      <c r="P295" s="121"/>
      <c r="Q295" s="121"/>
      <c r="R295" s="121"/>
      <c r="T295" s="122">
        <v>5</v>
      </c>
      <c r="U295" s="123" t="s">
        <v>811</v>
      </c>
      <c r="V295" s="123" t="s">
        <v>812</v>
      </c>
    </row>
    <row r="296" spans="1:22">
      <c r="A296" s="119" t="s">
        <v>584</v>
      </c>
      <c r="B296" s="119" t="s">
        <v>442</v>
      </c>
      <c r="C296" s="120" t="s">
        <v>594</v>
      </c>
      <c r="D296" s="120">
        <v>2021</v>
      </c>
      <c r="E296" s="120"/>
      <c r="F296" s="121"/>
      <c r="G296" s="121"/>
      <c r="H296" s="121">
        <f>I296+J296</f>
        <v>2.676377</v>
      </c>
      <c r="I296" s="121"/>
      <c r="J296" s="121">
        <f>48.6614*0.055</f>
        <v>2.676377</v>
      </c>
      <c r="K296" s="121"/>
      <c r="L296" s="121"/>
      <c r="M296" s="121"/>
      <c r="N296" s="121"/>
      <c r="O296" s="121">
        <f t="shared" si="19"/>
        <v>2.676377</v>
      </c>
      <c r="P296" s="121">
        <f>48.66*0.055</f>
        <v>2.6762999999999999</v>
      </c>
      <c r="Q296" s="121"/>
      <c r="R296" s="121"/>
      <c r="T296" s="122">
        <v>1</v>
      </c>
      <c r="U296" s="123" t="s">
        <v>811</v>
      </c>
      <c r="V296" s="123" t="s">
        <v>817</v>
      </c>
    </row>
    <row r="297" spans="1:22">
      <c r="A297" s="119" t="s">
        <v>584</v>
      </c>
      <c r="B297" s="119" t="s">
        <v>442</v>
      </c>
      <c r="C297" s="120" t="s">
        <v>595</v>
      </c>
      <c r="D297" s="120">
        <v>2021</v>
      </c>
      <c r="E297" s="120"/>
      <c r="F297" s="121"/>
      <c r="G297" s="121"/>
      <c r="H297" s="121">
        <f>I297+J297</f>
        <v>0.19448000000000001</v>
      </c>
      <c r="I297" s="121"/>
      <c r="J297" s="121">
        <f>1.768*0.11</f>
        <v>0.19448000000000001</v>
      </c>
      <c r="K297" s="121"/>
      <c r="L297" s="121"/>
      <c r="M297" s="121"/>
      <c r="N297" s="121"/>
      <c r="O297" s="121">
        <f t="shared" si="19"/>
        <v>0.19448000000000001</v>
      </c>
      <c r="P297" s="121">
        <f>1.77*0.11</f>
        <v>0.19470000000000001</v>
      </c>
      <c r="Q297" s="121"/>
      <c r="R297" s="121"/>
      <c r="T297" s="122">
        <v>2</v>
      </c>
      <c r="U297" s="123" t="s">
        <v>811</v>
      </c>
      <c r="V297" s="123" t="s">
        <v>817</v>
      </c>
    </row>
    <row r="298" spans="1:22">
      <c r="A298" s="119" t="s">
        <v>584</v>
      </c>
      <c r="B298" s="119" t="s">
        <v>442</v>
      </c>
      <c r="C298" s="125" t="s">
        <v>700</v>
      </c>
      <c r="D298" s="120">
        <v>2021</v>
      </c>
      <c r="E298" s="120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>
        <f t="shared" si="19"/>
        <v>0</v>
      </c>
      <c r="P298" s="124"/>
      <c r="Q298" s="121"/>
      <c r="R298" s="121"/>
      <c r="U298" s="123" t="s">
        <v>811</v>
      </c>
      <c r="V298" s="123" t="s">
        <v>817</v>
      </c>
    </row>
    <row r="299" spans="1:22">
      <c r="A299" s="119" t="s">
        <v>584</v>
      </c>
      <c r="B299" s="119" t="s">
        <v>442</v>
      </c>
      <c r="C299" s="120" t="s">
        <v>596</v>
      </c>
      <c r="D299" s="120">
        <v>2021</v>
      </c>
      <c r="E299" s="120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>
        <f t="shared" si="19"/>
        <v>0</v>
      </c>
      <c r="P299" s="121"/>
      <c r="Q299" s="121"/>
      <c r="R299" s="121"/>
      <c r="T299" s="122">
        <v>3</v>
      </c>
      <c r="U299" s="123" t="s">
        <v>811</v>
      </c>
      <c r="V299" s="123" t="s">
        <v>817</v>
      </c>
    </row>
    <row r="300" spans="1:22">
      <c r="A300" s="119" t="s">
        <v>584</v>
      </c>
      <c r="B300" s="119" t="s">
        <v>442</v>
      </c>
      <c r="C300" s="120" t="s">
        <v>597</v>
      </c>
      <c r="D300" s="120">
        <v>2021</v>
      </c>
      <c r="E300" s="120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>
        <f t="shared" si="19"/>
        <v>0</v>
      </c>
      <c r="P300" s="121"/>
      <c r="Q300" s="121"/>
      <c r="R300" s="121"/>
      <c r="T300" s="122">
        <v>4</v>
      </c>
      <c r="U300" s="123" t="s">
        <v>811</v>
      </c>
      <c r="V300" s="123" t="s">
        <v>817</v>
      </c>
    </row>
    <row r="301" spans="1:22">
      <c r="A301" s="119" t="s">
        <v>584</v>
      </c>
      <c r="B301" s="119" t="s">
        <v>442</v>
      </c>
      <c r="C301" s="120" t="s">
        <v>600</v>
      </c>
      <c r="D301" s="120">
        <v>2021</v>
      </c>
      <c r="E301" s="120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>
        <f t="shared" si="19"/>
        <v>0</v>
      </c>
      <c r="P301" s="121"/>
      <c r="Q301" s="121"/>
      <c r="R301" s="121"/>
      <c r="T301" s="122">
        <v>5</v>
      </c>
      <c r="U301" s="123" t="s">
        <v>811</v>
      </c>
      <c r="V301" s="123" t="s">
        <v>817</v>
      </c>
    </row>
    <row r="302" spans="1:22">
      <c r="A302" s="119" t="s">
        <v>584</v>
      </c>
      <c r="B302" s="119" t="s">
        <v>442</v>
      </c>
      <c r="C302" s="125" t="s">
        <v>406</v>
      </c>
      <c r="D302" s="120">
        <v>2021</v>
      </c>
      <c r="E302" s="120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>
        <f t="shared" si="19"/>
        <v>0</v>
      </c>
      <c r="P302" s="121"/>
      <c r="Q302" s="121"/>
      <c r="R302" s="121"/>
      <c r="U302" s="123" t="s">
        <v>811</v>
      </c>
      <c r="V302" s="123" t="s">
        <v>817</v>
      </c>
    </row>
    <row r="303" spans="1:22">
      <c r="A303" s="119" t="s">
        <v>585</v>
      </c>
      <c r="B303" s="119" t="s">
        <v>251</v>
      </c>
      <c r="C303" s="120" t="s">
        <v>594</v>
      </c>
      <c r="D303" s="120">
        <v>2021</v>
      </c>
      <c r="E303" s="120"/>
      <c r="F303" s="121"/>
      <c r="G303" s="121"/>
      <c r="H303" s="121">
        <f>I303+J303</f>
        <v>1.375</v>
      </c>
      <c r="I303" s="121"/>
      <c r="J303" s="121">
        <f>25*0.055</f>
        <v>1.375</v>
      </c>
      <c r="K303" s="121"/>
      <c r="L303" s="121"/>
      <c r="M303" s="121"/>
      <c r="N303" s="121"/>
      <c r="O303" s="121">
        <f t="shared" si="19"/>
        <v>1.375</v>
      </c>
      <c r="P303" s="121">
        <f>25*0.055</f>
        <v>1.375</v>
      </c>
      <c r="Q303" s="121"/>
      <c r="R303" s="121"/>
      <c r="T303" s="122">
        <v>1</v>
      </c>
      <c r="U303" s="123" t="s">
        <v>809</v>
      </c>
      <c r="V303" s="123" t="s">
        <v>810</v>
      </c>
    </row>
    <row r="304" spans="1:22">
      <c r="A304" s="119" t="s">
        <v>585</v>
      </c>
      <c r="B304" s="119" t="s">
        <v>251</v>
      </c>
      <c r="C304" s="120" t="s">
        <v>595</v>
      </c>
      <c r="D304" s="120">
        <v>2021</v>
      </c>
      <c r="E304" s="120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>
        <f t="shared" si="19"/>
        <v>0</v>
      </c>
      <c r="P304" s="121"/>
      <c r="Q304" s="121"/>
      <c r="R304" s="121"/>
      <c r="T304" s="122">
        <v>2</v>
      </c>
      <c r="U304" s="123" t="s">
        <v>809</v>
      </c>
      <c r="V304" s="123" t="s">
        <v>810</v>
      </c>
    </row>
    <row r="305" spans="1:22">
      <c r="A305" s="119" t="s">
        <v>585</v>
      </c>
      <c r="B305" s="119" t="s">
        <v>251</v>
      </c>
      <c r="C305" s="120" t="s">
        <v>596</v>
      </c>
      <c r="D305" s="120">
        <v>2021</v>
      </c>
      <c r="E305" s="120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>
        <f t="shared" si="19"/>
        <v>0</v>
      </c>
      <c r="P305" s="121"/>
      <c r="Q305" s="121"/>
      <c r="R305" s="121"/>
      <c r="T305" s="122">
        <v>3</v>
      </c>
      <c r="U305" s="123" t="s">
        <v>809</v>
      </c>
      <c r="V305" s="123" t="s">
        <v>810</v>
      </c>
    </row>
    <row r="306" spans="1:22">
      <c r="A306" s="119" t="s">
        <v>585</v>
      </c>
      <c r="B306" s="119" t="s">
        <v>251</v>
      </c>
      <c r="C306" s="120" t="s">
        <v>597</v>
      </c>
      <c r="D306" s="120">
        <v>2021</v>
      </c>
      <c r="E306" s="120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>
        <f t="shared" si="19"/>
        <v>0</v>
      </c>
      <c r="P306" s="121"/>
      <c r="Q306" s="121"/>
      <c r="R306" s="121"/>
      <c r="T306" s="122">
        <v>4</v>
      </c>
      <c r="U306" s="123" t="s">
        <v>809</v>
      </c>
      <c r="V306" s="123" t="s">
        <v>810</v>
      </c>
    </row>
    <row r="307" spans="1:22">
      <c r="A307" s="119" t="s">
        <v>585</v>
      </c>
      <c r="B307" s="119" t="s">
        <v>251</v>
      </c>
      <c r="C307" s="120" t="s">
        <v>600</v>
      </c>
      <c r="D307" s="120">
        <v>2021</v>
      </c>
      <c r="E307" s="120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>
        <f t="shared" si="19"/>
        <v>0</v>
      </c>
      <c r="P307" s="121"/>
      <c r="Q307" s="121"/>
      <c r="R307" s="121"/>
      <c r="T307" s="122">
        <v>5</v>
      </c>
      <c r="U307" s="123" t="s">
        <v>809</v>
      </c>
      <c r="V307" s="123" t="s">
        <v>810</v>
      </c>
    </row>
    <row r="308" spans="1:22">
      <c r="A308" s="119" t="s">
        <v>771</v>
      </c>
      <c r="B308" s="119" t="s">
        <v>252</v>
      </c>
      <c r="C308" s="120" t="s">
        <v>594</v>
      </c>
      <c r="D308" s="120">
        <v>2021</v>
      </c>
      <c r="E308" s="120"/>
      <c r="F308" s="121"/>
      <c r="G308" s="121"/>
      <c r="H308" s="121">
        <f>I308+J308</f>
        <v>0.82499999999999996</v>
      </c>
      <c r="I308" s="121"/>
      <c r="J308" s="121">
        <f>15*0.055</f>
        <v>0.82499999999999996</v>
      </c>
      <c r="K308" s="121"/>
      <c r="L308" s="121"/>
      <c r="M308" s="121"/>
      <c r="N308" s="121"/>
      <c r="O308" s="121">
        <f t="shared" si="19"/>
        <v>0.82499999999999996</v>
      </c>
      <c r="P308" s="121">
        <f>15*0.055</f>
        <v>0.82499999999999996</v>
      </c>
      <c r="Q308" s="121"/>
      <c r="R308" s="121"/>
      <c r="T308" s="122">
        <v>1</v>
      </c>
      <c r="U308" s="123" t="s">
        <v>809</v>
      </c>
      <c r="V308" s="123" t="s">
        <v>815</v>
      </c>
    </row>
    <row r="309" spans="1:22">
      <c r="A309" s="119" t="s">
        <v>771</v>
      </c>
      <c r="B309" s="119" t="s">
        <v>252</v>
      </c>
      <c r="C309" s="120" t="s">
        <v>595</v>
      </c>
      <c r="D309" s="120">
        <v>2021</v>
      </c>
      <c r="E309" s="120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>
        <f t="shared" si="19"/>
        <v>0</v>
      </c>
      <c r="P309" s="121"/>
      <c r="Q309" s="121"/>
      <c r="R309" s="121"/>
      <c r="T309" s="122">
        <v>2</v>
      </c>
      <c r="U309" s="123" t="s">
        <v>809</v>
      </c>
      <c r="V309" s="123" t="s">
        <v>815</v>
      </c>
    </row>
    <row r="310" spans="1:22">
      <c r="A310" s="119" t="s">
        <v>771</v>
      </c>
      <c r="B310" s="119" t="s">
        <v>252</v>
      </c>
      <c r="C310" s="120" t="s">
        <v>596</v>
      </c>
      <c r="D310" s="120">
        <v>2021</v>
      </c>
      <c r="E310" s="120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>
        <f t="shared" si="19"/>
        <v>0</v>
      </c>
      <c r="P310" s="121"/>
      <c r="Q310" s="121"/>
      <c r="R310" s="121"/>
      <c r="T310" s="122">
        <v>3</v>
      </c>
      <c r="U310" s="123" t="s">
        <v>809</v>
      </c>
      <c r="V310" s="123" t="s">
        <v>815</v>
      </c>
    </row>
    <row r="311" spans="1:22">
      <c r="A311" s="119" t="s">
        <v>771</v>
      </c>
      <c r="B311" s="119" t="s">
        <v>252</v>
      </c>
      <c r="C311" s="120" t="s">
        <v>597</v>
      </c>
      <c r="D311" s="120">
        <v>2021</v>
      </c>
      <c r="E311" s="120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>
        <f t="shared" si="19"/>
        <v>0</v>
      </c>
      <c r="P311" s="121"/>
      <c r="Q311" s="121"/>
      <c r="R311" s="121"/>
      <c r="T311" s="122">
        <v>4</v>
      </c>
      <c r="U311" s="123" t="s">
        <v>809</v>
      </c>
      <c r="V311" s="123" t="s">
        <v>815</v>
      </c>
    </row>
    <row r="312" spans="1:22">
      <c r="A312" s="119" t="s">
        <v>771</v>
      </c>
      <c r="B312" s="119" t="s">
        <v>252</v>
      </c>
      <c r="C312" s="120" t="s">
        <v>600</v>
      </c>
      <c r="D312" s="120">
        <v>2021</v>
      </c>
      <c r="E312" s="120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>
        <f t="shared" si="19"/>
        <v>0</v>
      </c>
      <c r="P312" s="121"/>
      <c r="Q312" s="121"/>
      <c r="R312" s="121"/>
      <c r="T312" s="122">
        <v>5</v>
      </c>
      <c r="U312" s="123" t="s">
        <v>809</v>
      </c>
      <c r="V312" s="123" t="s">
        <v>815</v>
      </c>
    </row>
    <row r="313" spans="1:22">
      <c r="A313" s="119" t="s">
        <v>586</v>
      </c>
      <c r="B313" s="119" t="s">
        <v>253</v>
      </c>
      <c r="C313" s="120" t="s">
        <v>594</v>
      </c>
      <c r="D313" s="120">
        <v>2021</v>
      </c>
      <c r="E313" s="120"/>
      <c r="F313" s="121"/>
      <c r="G313" s="121"/>
      <c r="H313" s="121">
        <f>I313+J313</f>
        <v>0.49775000000000003</v>
      </c>
      <c r="I313" s="121"/>
      <c r="J313" s="121">
        <f>9.05*0.055</f>
        <v>0.49775000000000003</v>
      </c>
      <c r="K313" s="121"/>
      <c r="L313" s="121"/>
      <c r="M313" s="121"/>
      <c r="N313" s="121"/>
      <c r="O313" s="121">
        <f t="shared" si="19"/>
        <v>0.49775000000000003</v>
      </c>
      <c r="P313" s="121">
        <f>9.05*0.055</f>
        <v>0.49775000000000003</v>
      </c>
      <c r="Q313" s="121"/>
      <c r="R313" s="121"/>
      <c r="T313" s="122">
        <v>1</v>
      </c>
      <c r="U313" s="123" t="s">
        <v>811</v>
      </c>
      <c r="V313" s="123" t="s">
        <v>812</v>
      </c>
    </row>
    <row r="314" spans="1:22">
      <c r="A314" s="119" t="s">
        <v>586</v>
      </c>
      <c r="B314" s="119" t="s">
        <v>253</v>
      </c>
      <c r="C314" s="120" t="s">
        <v>595</v>
      </c>
      <c r="D314" s="120">
        <v>2021</v>
      </c>
      <c r="E314" s="120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>
        <f>F314+H314+K314</f>
        <v>0</v>
      </c>
      <c r="P314" s="121"/>
      <c r="Q314" s="121"/>
      <c r="R314" s="121"/>
      <c r="T314" s="122">
        <v>2</v>
      </c>
      <c r="U314" s="123" t="s">
        <v>811</v>
      </c>
      <c r="V314" s="123" t="s">
        <v>812</v>
      </c>
    </row>
    <row r="315" spans="1:22">
      <c r="A315" s="119" t="s">
        <v>586</v>
      </c>
      <c r="B315" s="119" t="s">
        <v>253</v>
      </c>
      <c r="C315" s="120" t="s">
        <v>596</v>
      </c>
      <c r="D315" s="120">
        <v>2021</v>
      </c>
      <c r="E315" s="120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>
        <f t="shared" si="19"/>
        <v>0</v>
      </c>
      <c r="P315" s="121"/>
      <c r="Q315" s="121"/>
      <c r="R315" s="121"/>
      <c r="T315" s="122">
        <v>3</v>
      </c>
      <c r="U315" s="123" t="s">
        <v>811</v>
      </c>
      <c r="V315" s="123" t="s">
        <v>812</v>
      </c>
    </row>
    <row r="316" spans="1:22">
      <c r="A316" s="119" t="s">
        <v>586</v>
      </c>
      <c r="B316" s="119" t="s">
        <v>253</v>
      </c>
      <c r="C316" s="120" t="s">
        <v>597</v>
      </c>
      <c r="D316" s="120">
        <v>2021</v>
      </c>
      <c r="E316" s="120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>
        <f t="shared" si="19"/>
        <v>0</v>
      </c>
      <c r="P316" s="121"/>
      <c r="Q316" s="121"/>
      <c r="R316" s="121"/>
      <c r="T316" s="122">
        <v>4</v>
      </c>
      <c r="U316" s="123" t="s">
        <v>811</v>
      </c>
      <c r="V316" s="123" t="s">
        <v>812</v>
      </c>
    </row>
    <row r="317" spans="1:22">
      <c r="A317" s="119" t="s">
        <v>586</v>
      </c>
      <c r="B317" s="119" t="s">
        <v>253</v>
      </c>
      <c r="C317" s="120" t="s">
        <v>600</v>
      </c>
      <c r="D317" s="120">
        <v>2021</v>
      </c>
      <c r="E317" s="120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>
        <f t="shared" si="19"/>
        <v>0</v>
      </c>
      <c r="P317" s="121"/>
      <c r="Q317" s="121"/>
      <c r="R317" s="121"/>
      <c r="T317" s="122">
        <v>5</v>
      </c>
      <c r="U317" s="123" t="s">
        <v>811</v>
      </c>
      <c r="V317" s="123" t="s">
        <v>812</v>
      </c>
    </row>
    <row r="318" spans="1:22">
      <c r="A318" s="119" t="s">
        <v>582</v>
      </c>
      <c r="B318" s="119" t="s">
        <v>254</v>
      </c>
      <c r="C318" s="120" t="s">
        <v>594</v>
      </c>
      <c r="D318" s="120">
        <v>2021</v>
      </c>
      <c r="E318" s="120"/>
      <c r="F318" s="121"/>
      <c r="G318" s="121"/>
      <c r="H318" s="121">
        <f>I318+J318</f>
        <v>1.1286</v>
      </c>
      <c r="I318" s="121"/>
      <c r="J318" s="124">
        <f>20.52*0.055</f>
        <v>1.1286</v>
      </c>
      <c r="K318" s="121"/>
      <c r="L318" s="121"/>
      <c r="M318" s="121"/>
      <c r="N318" s="121"/>
      <c r="O318" s="121">
        <f t="shared" si="19"/>
        <v>1.1286</v>
      </c>
      <c r="P318" s="121">
        <f>20.52*0.055</f>
        <v>1.1286</v>
      </c>
      <c r="Q318" s="121"/>
      <c r="R318" s="121"/>
      <c r="T318" s="122">
        <v>1</v>
      </c>
      <c r="U318" s="123" t="s">
        <v>811</v>
      </c>
      <c r="V318" s="123" t="s">
        <v>812</v>
      </c>
    </row>
    <row r="319" spans="1:22">
      <c r="A319" s="119" t="s">
        <v>582</v>
      </c>
      <c r="B319" s="119" t="s">
        <v>254</v>
      </c>
      <c r="C319" s="120" t="s">
        <v>595</v>
      </c>
      <c r="D319" s="120">
        <v>2021</v>
      </c>
      <c r="E319" s="120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>
        <f t="shared" si="19"/>
        <v>0</v>
      </c>
      <c r="P319" s="121"/>
      <c r="Q319" s="121"/>
      <c r="R319" s="121"/>
      <c r="T319" s="122">
        <v>2</v>
      </c>
      <c r="U319" s="123" t="s">
        <v>811</v>
      </c>
      <c r="V319" s="123" t="s">
        <v>812</v>
      </c>
    </row>
    <row r="320" spans="1:22">
      <c r="A320" s="119" t="s">
        <v>582</v>
      </c>
      <c r="B320" s="119" t="s">
        <v>254</v>
      </c>
      <c r="C320" s="120" t="s">
        <v>596</v>
      </c>
      <c r="D320" s="120">
        <v>2021</v>
      </c>
      <c r="E320" s="120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>
        <f t="shared" si="19"/>
        <v>0</v>
      </c>
      <c r="P320" s="121"/>
      <c r="Q320" s="121"/>
      <c r="R320" s="121"/>
      <c r="T320" s="122">
        <v>3</v>
      </c>
      <c r="U320" s="123" t="s">
        <v>811</v>
      </c>
      <c r="V320" s="123" t="s">
        <v>812</v>
      </c>
    </row>
    <row r="321" spans="1:22">
      <c r="A321" s="119" t="s">
        <v>582</v>
      </c>
      <c r="B321" s="119" t="s">
        <v>254</v>
      </c>
      <c r="C321" s="120" t="s">
        <v>597</v>
      </c>
      <c r="D321" s="120">
        <v>2021</v>
      </c>
      <c r="E321" s="120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>
        <f t="shared" si="19"/>
        <v>0</v>
      </c>
      <c r="P321" s="121"/>
      <c r="Q321" s="121"/>
      <c r="R321" s="121"/>
      <c r="T321" s="122">
        <v>4</v>
      </c>
      <c r="U321" s="123" t="s">
        <v>811</v>
      </c>
      <c r="V321" s="123" t="s">
        <v>812</v>
      </c>
    </row>
    <row r="322" spans="1:22">
      <c r="A322" s="119" t="s">
        <v>582</v>
      </c>
      <c r="B322" s="119" t="s">
        <v>254</v>
      </c>
      <c r="C322" s="120" t="s">
        <v>600</v>
      </c>
      <c r="D322" s="120">
        <v>2021</v>
      </c>
      <c r="E322" s="120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>
        <f t="shared" si="19"/>
        <v>0</v>
      </c>
      <c r="P322" s="121"/>
      <c r="Q322" s="121"/>
      <c r="R322" s="121"/>
      <c r="T322" s="122">
        <v>5</v>
      </c>
      <c r="U322" s="123" t="s">
        <v>811</v>
      </c>
      <c r="V322" s="123" t="s">
        <v>812</v>
      </c>
    </row>
    <row r="323" spans="1:22">
      <c r="A323" s="119" t="s">
        <v>587</v>
      </c>
      <c r="B323" s="119" t="s">
        <v>255</v>
      </c>
      <c r="C323" s="120" t="s">
        <v>594</v>
      </c>
      <c r="D323" s="120">
        <v>2021</v>
      </c>
      <c r="E323" s="120"/>
      <c r="F323" s="121"/>
      <c r="G323" s="121"/>
      <c r="H323" s="121">
        <f>I323+J323</f>
        <v>6.6324500000000004</v>
      </c>
      <c r="I323" s="121"/>
      <c r="J323" s="121">
        <f>120.59*0.055</f>
        <v>6.6324500000000004</v>
      </c>
      <c r="K323" s="121"/>
      <c r="L323" s="121"/>
      <c r="M323" s="121"/>
      <c r="N323" s="121"/>
      <c r="O323" s="121">
        <f t="shared" si="19"/>
        <v>6.6324500000000004</v>
      </c>
      <c r="P323" s="121">
        <f>120.59*0.055</f>
        <v>6.6324500000000004</v>
      </c>
      <c r="Q323" s="121"/>
      <c r="R323" s="121"/>
      <c r="T323" s="122">
        <v>1</v>
      </c>
      <c r="U323" s="123" t="s">
        <v>811</v>
      </c>
      <c r="V323" s="123" t="s">
        <v>817</v>
      </c>
    </row>
    <row r="324" spans="1:22">
      <c r="A324" s="119" t="s">
        <v>587</v>
      </c>
      <c r="B324" s="119" t="s">
        <v>255</v>
      </c>
      <c r="C324" s="120" t="s">
        <v>595</v>
      </c>
      <c r="D324" s="120">
        <v>2021</v>
      </c>
      <c r="E324" s="120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>
        <f>F324+H324+K324</f>
        <v>0</v>
      </c>
      <c r="P324" s="121"/>
      <c r="Q324" s="121"/>
      <c r="R324" s="121"/>
      <c r="T324" s="122">
        <v>2</v>
      </c>
      <c r="U324" s="123" t="s">
        <v>811</v>
      </c>
      <c r="V324" s="123" t="s">
        <v>817</v>
      </c>
    </row>
    <row r="325" spans="1:22">
      <c r="A325" s="119" t="s">
        <v>587</v>
      </c>
      <c r="B325" s="119" t="s">
        <v>255</v>
      </c>
      <c r="C325" s="125" t="s">
        <v>700</v>
      </c>
      <c r="D325" s="120">
        <v>2021</v>
      </c>
      <c r="E325" s="120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>
        <f>F325+H325</f>
        <v>0</v>
      </c>
      <c r="P325" s="121"/>
      <c r="Q325" s="121"/>
      <c r="R325" s="121"/>
      <c r="U325" s="123" t="s">
        <v>811</v>
      </c>
      <c r="V325" s="123" t="s">
        <v>817</v>
      </c>
    </row>
    <row r="326" spans="1:22">
      <c r="A326" s="119" t="s">
        <v>587</v>
      </c>
      <c r="B326" s="119" t="s">
        <v>255</v>
      </c>
      <c r="C326" s="120" t="s">
        <v>596</v>
      </c>
      <c r="D326" s="120">
        <v>2021</v>
      </c>
      <c r="E326" s="120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>
        <f>F326+H326</f>
        <v>0</v>
      </c>
      <c r="P326" s="121"/>
      <c r="Q326" s="121"/>
      <c r="R326" s="121"/>
      <c r="T326" s="122">
        <v>3</v>
      </c>
      <c r="U326" s="123" t="s">
        <v>811</v>
      </c>
      <c r="V326" s="123" t="s">
        <v>817</v>
      </c>
    </row>
    <row r="327" spans="1:22">
      <c r="A327" s="119" t="s">
        <v>587</v>
      </c>
      <c r="B327" s="119" t="s">
        <v>255</v>
      </c>
      <c r="C327" s="120" t="s">
        <v>597</v>
      </c>
      <c r="D327" s="120">
        <v>2021</v>
      </c>
      <c r="E327" s="120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>
        <f>F327+H327</f>
        <v>0</v>
      </c>
      <c r="P327" s="121"/>
      <c r="Q327" s="121"/>
      <c r="R327" s="121"/>
      <c r="T327" s="122">
        <v>4</v>
      </c>
      <c r="U327" s="123" t="s">
        <v>811</v>
      </c>
      <c r="V327" s="123" t="s">
        <v>817</v>
      </c>
    </row>
    <row r="328" spans="1:22">
      <c r="A328" s="119" t="s">
        <v>587</v>
      </c>
      <c r="B328" s="119" t="s">
        <v>255</v>
      </c>
      <c r="C328" s="120" t="s">
        <v>600</v>
      </c>
      <c r="D328" s="120">
        <v>2021</v>
      </c>
      <c r="E328" s="120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>
        <f>F328+H328</f>
        <v>0</v>
      </c>
      <c r="P328" s="121"/>
      <c r="Q328" s="121"/>
      <c r="R328" s="121"/>
      <c r="T328" s="122">
        <v>5</v>
      </c>
      <c r="U328" s="123" t="s">
        <v>811</v>
      </c>
      <c r="V328" s="123" t="s">
        <v>817</v>
      </c>
    </row>
    <row r="329" spans="1:22">
      <c r="A329" s="119" t="s">
        <v>165</v>
      </c>
      <c r="B329" s="119" t="s">
        <v>256</v>
      </c>
      <c r="C329" s="120" t="s">
        <v>594</v>
      </c>
      <c r="D329" s="120">
        <v>2021</v>
      </c>
      <c r="E329" s="120"/>
      <c r="F329" s="121"/>
      <c r="G329" s="121"/>
      <c r="H329" s="121">
        <f t="shared" ref="H329:H338" si="20">I329+J329</f>
        <v>235.344615</v>
      </c>
      <c r="I329" s="121">
        <f>580.749*0.055</f>
        <v>31.941195</v>
      </c>
      <c r="J329" s="121">
        <f>3698.244*0.055</f>
        <v>203.40342000000001</v>
      </c>
      <c r="K329" s="121"/>
      <c r="L329" s="121"/>
      <c r="M329" s="121"/>
      <c r="N329" s="121"/>
      <c r="O329" s="121">
        <f t="shared" ref="O329:O334" si="21">F329+H329+G329+E329+K329</f>
        <v>235.344615</v>
      </c>
      <c r="P329" s="121"/>
      <c r="Q329" s="121">
        <f>17067.043 *0.055</f>
        <v>938.68736500000011</v>
      </c>
      <c r="R329" s="121">
        <f>21346.036*0.055</f>
        <v>1174.03198</v>
      </c>
      <c r="S329" s="127"/>
      <c r="T329" s="122">
        <v>1</v>
      </c>
      <c r="U329" s="123" t="s">
        <v>806</v>
      </c>
      <c r="V329" s="123" t="s">
        <v>807</v>
      </c>
    </row>
    <row r="330" spans="1:22">
      <c r="A330" s="119" t="s">
        <v>165</v>
      </c>
      <c r="B330" s="119" t="s">
        <v>256</v>
      </c>
      <c r="C330" s="120" t="s">
        <v>595</v>
      </c>
      <c r="D330" s="120">
        <v>2021</v>
      </c>
      <c r="E330" s="120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>
        <f t="shared" si="21"/>
        <v>0</v>
      </c>
      <c r="P330" s="121"/>
      <c r="Q330" s="121"/>
      <c r="R330" s="121"/>
      <c r="S330" s="127"/>
      <c r="T330" s="122">
        <v>2</v>
      </c>
      <c r="U330" s="123" t="s">
        <v>806</v>
      </c>
      <c r="V330" s="123" t="s">
        <v>807</v>
      </c>
    </row>
    <row r="331" spans="1:22">
      <c r="A331" s="119" t="s">
        <v>165</v>
      </c>
      <c r="B331" s="119" t="s">
        <v>256</v>
      </c>
      <c r="C331" s="125" t="s">
        <v>700</v>
      </c>
      <c r="D331" s="120">
        <v>2021</v>
      </c>
      <c r="E331" s="120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>
        <f t="shared" si="21"/>
        <v>0</v>
      </c>
      <c r="P331" s="121"/>
      <c r="Q331" s="121"/>
      <c r="R331" s="121"/>
      <c r="S331" s="127"/>
      <c r="U331" s="123" t="s">
        <v>806</v>
      </c>
      <c r="V331" s="123" t="s">
        <v>807</v>
      </c>
    </row>
    <row r="332" spans="1:22">
      <c r="A332" s="119" t="s">
        <v>165</v>
      </c>
      <c r="B332" s="119" t="s">
        <v>256</v>
      </c>
      <c r="C332" s="120" t="s">
        <v>596</v>
      </c>
      <c r="D332" s="120">
        <v>2021</v>
      </c>
      <c r="E332" s="120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>
        <f t="shared" si="21"/>
        <v>0</v>
      </c>
      <c r="P332" s="121"/>
      <c r="Q332" s="121"/>
      <c r="R332" s="121"/>
      <c r="S332" s="127"/>
      <c r="T332" s="122">
        <v>3</v>
      </c>
      <c r="U332" s="123" t="s">
        <v>806</v>
      </c>
      <c r="V332" s="123" t="s">
        <v>807</v>
      </c>
    </row>
    <row r="333" spans="1:22">
      <c r="A333" s="119" t="s">
        <v>165</v>
      </c>
      <c r="B333" s="119" t="s">
        <v>256</v>
      </c>
      <c r="C333" s="120" t="s">
        <v>597</v>
      </c>
      <c r="D333" s="120">
        <v>2021</v>
      </c>
      <c r="E333" s="120"/>
      <c r="F333" s="121"/>
      <c r="G333" s="121">
        <f>24*0.02</f>
        <v>0.48</v>
      </c>
      <c r="H333" s="121">
        <f t="shared" si="20"/>
        <v>0.46376000000000001</v>
      </c>
      <c r="I333" s="121"/>
      <c r="J333" s="121">
        <f>23.188*0.02</f>
        <v>0.46376000000000001</v>
      </c>
      <c r="K333" s="121"/>
      <c r="L333" s="121"/>
      <c r="M333" s="121"/>
      <c r="N333" s="121"/>
      <c r="O333" s="121">
        <f t="shared" si="21"/>
        <v>0.94375999999999993</v>
      </c>
      <c r="P333" s="121">
        <f>47.188*0.02</f>
        <v>0.94376000000000004</v>
      </c>
      <c r="Q333" s="121"/>
      <c r="R333" s="121"/>
      <c r="S333" s="127"/>
      <c r="T333" s="122">
        <v>4</v>
      </c>
      <c r="U333" s="123" t="s">
        <v>806</v>
      </c>
      <c r="V333" s="123" t="s">
        <v>807</v>
      </c>
    </row>
    <row r="334" spans="1:22">
      <c r="A334" s="119" t="s">
        <v>165</v>
      </c>
      <c r="B334" s="119" t="s">
        <v>256</v>
      </c>
      <c r="C334" s="120" t="s">
        <v>600</v>
      </c>
      <c r="D334" s="120">
        <v>2021</v>
      </c>
      <c r="E334" s="120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>
        <f t="shared" si="21"/>
        <v>0</v>
      </c>
      <c r="P334" s="121"/>
      <c r="Q334" s="121"/>
      <c r="R334" s="121"/>
      <c r="S334" s="127"/>
      <c r="T334" s="122">
        <v>5</v>
      </c>
      <c r="U334" s="123" t="s">
        <v>806</v>
      </c>
      <c r="V334" s="123" t="s">
        <v>807</v>
      </c>
    </row>
    <row r="335" spans="1:22">
      <c r="A335" s="119" t="s">
        <v>669</v>
      </c>
      <c r="B335" s="119" t="s">
        <v>257</v>
      </c>
      <c r="C335" s="120" t="s">
        <v>594</v>
      </c>
      <c r="D335" s="120">
        <v>2021</v>
      </c>
      <c r="E335" s="120"/>
      <c r="F335" s="121"/>
      <c r="G335" s="121"/>
      <c r="H335" s="121">
        <f t="shared" si="20"/>
        <v>160.2535</v>
      </c>
      <c r="I335" s="121"/>
      <c r="J335" s="121">
        <f>2913.7*0.055</f>
        <v>160.2535</v>
      </c>
      <c r="K335" s="121"/>
      <c r="L335" s="121"/>
      <c r="M335" s="121"/>
      <c r="N335" s="121"/>
      <c r="O335" s="121">
        <f t="shared" ref="O335:O340" si="22">E335+F335+G335+H335+K335+L335+N335</f>
        <v>160.2535</v>
      </c>
      <c r="P335" s="121">
        <f>2913.7*0.055</f>
        <v>160.2535</v>
      </c>
      <c r="Q335" s="121"/>
      <c r="R335" s="121"/>
      <c r="T335" s="122">
        <v>1</v>
      </c>
      <c r="U335" s="123" t="s">
        <v>806</v>
      </c>
      <c r="V335" s="123" t="s">
        <v>816</v>
      </c>
    </row>
    <row r="336" spans="1:22">
      <c r="A336" s="119" t="s">
        <v>669</v>
      </c>
      <c r="B336" s="119" t="s">
        <v>257</v>
      </c>
      <c r="C336" s="120" t="s">
        <v>595</v>
      </c>
      <c r="D336" s="120">
        <v>2021</v>
      </c>
      <c r="E336" s="120"/>
      <c r="F336" s="121">
        <f>100*0.11</f>
        <v>11</v>
      </c>
      <c r="G336" s="121"/>
      <c r="H336" s="121"/>
      <c r="I336" s="121"/>
      <c r="J336" s="121"/>
      <c r="K336" s="121"/>
      <c r="L336" s="121"/>
      <c r="M336" s="121"/>
      <c r="N336" s="121"/>
      <c r="O336" s="121">
        <f t="shared" si="22"/>
        <v>11</v>
      </c>
      <c r="P336" s="121">
        <f>100*0.11</f>
        <v>11</v>
      </c>
      <c r="Q336" s="121"/>
      <c r="R336" s="121"/>
      <c r="T336" s="122">
        <v>2</v>
      </c>
      <c r="U336" s="123" t="s">
        <v>806</v>
      </c>
      <c r="V336" s="123" t="s">
        <v>816</v>
      </c>
    </row>
    <row r="337" spans="1:22">
      <c r="A337" s="119" t="s">
        <v>669</v>
      </c>
      <c r="B337" s="119" t="s">
        <v>257</v>
      </c>
      <c r="C337" s="120" t="s">
        <v>596</v>
      </c>
      <c r="D337" s="120">
        <v>2021</v>
      </c>
      <c r="E337" s="120"/>
      <c r="F337" s="121"/>
      <c r="G337" s="121"/>
      <c r="H337" s="121">
        <f t="shared" si="20"/>
        <v>0.41665000000000002</v>
      </c>
      <c r="I337" s="121"/>
      <c r="J337" s="121">
        <f>6.41*0.065</f>
        <v>0.41665000000000002</v>
      </c>
      <c r="K337" s="121"/>
      <c r="L337" s="121"/>
      <c r="M337" s="121"/>
      <c r="N337" s="121"/>
      <c r="O337" s="121">
        <f t="shared" si="22"/>
        <v>0.41665000000000002</v>
      </c>
      <c r="P337" s="121">
        <f>6.41*0.065</f>
        <v>0.41665000000000002</v>
      </c>
      <c r="Q337" s="121"/>
      <c r="R337" s="121"/>
      <c r="T337" s="122">
        <v>3</v>
      </c>
      <c r="U337" s="123" t="s">
        <v>806</v>
      </c>
      <c r="V337" s="123" t="s">
        <v>816</v>
      </c>
    </row>
    <row r="338" spans="1:22">
      <c r="A338" s="119" t="s">
        <v>669</v>
      </c>
      <c r="B338" s="119" t="s">
        <v>257</v>
      </c>
      <c r="C338" s="120" t="s">
        <v>597</v>
      </c>
      <c r="D338" s="120">
        <v>2021</v>
      </c>
      <c r="E338" s="120"/>
      <c r="F338" s="121"/>
      <c r="G338" s="121">
        <f>14.54*0.02</f>
        <v>0.2908</v>
      </c>
      <c r="H338" s="121">
        <f t="shared" si="20"/>
        <v>0.39960000000000001</v>
      </c>
      <c r="I338" s="121"/>
      <c r="J338" s="121">
        <f>19.98*0.02</f>
        <v>0.39960000000000001</v>
      </c>
      <c r="K338" s="121"/>
      <c r="L338" s="121"/>
      <c r="M338" s="121"/>
      <c r="N338" s="121"/>
      <c r="O338" s="121">
        <f t="shared" si="22"/>
        <v>0.69040000000000001</v>
      </c>
      <c r="P338" s="121">
        <f>34.52*0.02</f>
        <v>0.69040000000000012</v>
      </c>
      <c r="Q338" s="121"/>
      <c r="R338" s="121"/>
      <c r="T338" s="122">
        <v>4</v>
      </c>
      <c r="U338" s="123" t="s">
        <v>806</v>
      </c>
      <c r="V338" s="123" t="s">
        <v>816</v>
      </c>
    </row>
    <row r="339" spans="1:22">
      <c r="A339" s="119" t="s">
        <v>669</v>
      </c>
      <c r="B339" s="119" t="s">
        <v>257</v>
      </c>
      <c r="C339" s="120" t="s">
        <v>600</v>
      </c>
      <c r="D339" s="120">
        <v>2021</v>
      </c>
      <c r="E339" s="120"/>
      <c r="F339" s="121"/>
      <c r="G339" s="121"/>
      <c r="H339" s="128"/>
      <c r="I339" s="128"/>
      <c r="J339" s="128"/>
      <c r="K339" s="121"/>
      <c r="L339" s="121"/>
      <c r="M339" s="121"/>
      <c r="N339" s="121"/>
      <c r="O339" s="121">
        <f t="shared" si="22"/>
        <v>0</v>
      </c>
      <c r="P339" s="121"/>
      <c r="Q339" s="121"/>
      <c r="R339" s="121"/>
      <c r="T339" s="122">
        <v>5</v>
      </c>
      <c r="U339" s="123" t="s">
        <v>806</v>
      </c>
      <c r="V339" s="123" t="s">
        <v>816</v>
      </c>
    </row>
    <row r="340" spans="1:22">
      <c r="A340" s="119" t="s">
        <v>669</v>
      </c>
      <c r="B340" s="119" t="s">
        <v>257</v>
      </c>
      <c r="C340" s="125" t="s">
        <v>643</v>
      </c>
      <c r="D340" s="120">
        <v>2021</v>
      </c>
      <c r="E340" s="120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>
        <f t="shared" si="22"/>
        <v>0</v>
      </c>
      <c r="P340" s="121"/>
      <c r="Q340" s="121"/>
      <c r="R340" s="121"/>
      <c r="U340" s="123" t="s">
        <v>806</v>
      </c>
      <c r="V340" s="123" t="s">
        <v>816</v>
      </c>
    </row>
    <row r="341" spans="1:22">
      <c r="A341" s="119" t="s">
        <v>413</v>
      </c>
      <c r="B341" s="119" t="s">
        <v>258</v>
      </c>
      <c r="C341" s="120" t="s">
        <v>594</v>
      </c>
      <c r="D341" s="120">
        <v>2021</v>
      </c>
      <c r="E341" s="120"/>
      <c r="F341" s="121">
        <f>21.703*0.055</f>
        <v>1.193665</v>
      </c>
      <c r="G341" s="121"/>
      <c r="H341" s="121">
        <f>I341+J341</f>
        <v>73.406464999999997</v>
      </c>
      <c r="I341" s="121">
        <f>518.131*0.055</f>
        <v>28.497204999999997</v>
      </c>
      <c r="J341" s="121">
        <f>816.532*0.055</f>
        <v>44.909260000000003</v>
      </c>
      <c r="K341" s="121"/>
      <c r="L341" s="121"/>
      <c r="M341" s="121"/>
      <c r="N341" s="121"/>
      <c r="O341" s="121">
        <f t="shared" ref="O341:O350" si="23">F341+H341</f>
        <v>74.600129999999993</v>
      </c>
      <c r="P341" s="121">
        <f>1356.37*0.055</f>
        <v>74.600349999999992</v>
      </c>
      <c r="Q341" s="121"/>
      <c r="R341" s="121"/>
      <c r="T341" s="122">
        <v>1</v>
      </c>
      <c r="U341" s="123" t="s">
        <v>806</v>
      </c>
      <c r="V341" s="123" t="s">
        <v>807</v>
      </c>
    </row>
    <row r="342" spans="1:22">
      <c r="A342" s="119" t="s">
        <v>413</v>
      </c>
      <c r="B342" s="119" t="s">
        <v>258</v>
      </c>
      <c r="C342" s="120" t="s">
        <v>595</v>
      </c>
      <c r="D342" s="120">
        <v>2021</v>
      </c>
      <c r="E342" s="120"/>
      <c r="F342" s="121">
        <f>83.6*0.11</f>
        <v>9.1959999999999997</v>
      </c>
      <c r="G342" s="121"/>
      <c r="H342" s="121">
        <f>I342+J342</f>
        <v>40.0411</v>
      </c>
      <c r="I342" s="121">
        <f>364.01*0.11</f>
        <v>40.0411</v>
      </c>
      <c r="J342" s="121"/>
      <c r="K342" s="121"/>
      <c r="L342" s="121"/>
      <c r="M342" s="121"/>
      <c r="N342" s="121"/>
      <c r="O342" s="121">
        <f t="shared" si="23"/>
        <v>49.237099999999998</v>
      </c>
      <c r="P342" s="121">
        <f>447.61*0.11</f>
        <v>49.237100000000005</v>
      </c>
      <c r="Q342" s="121"/>
      <c r="R342" s="121"/>
      <c r="T342" s="122">
        <v>2</v>
      </c>
      <c r="U342" s="123" t="s">
        <v>806</v>
      </c>
      <c r="V342" s="123" t="s">
        <v>807</v>
      </c>
    </row>
    <row r="343" spans="1:22">
      <c r="A343" s="119" t="s">
        <v>413</v>
      </c>
      <c r="B343" s="119" t="s">
        <v>258</v>
      </c>
      <c r="C343" s="120" t="s">
        <v>596</v>
      </c>
      <c r="D343" s="120">
        <v>2021</v>
      </c>
      <c r="E343" s="120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>
        <f t="shared" si="23"/>
        <v>0</v>
      </c>
      <c r="P343" s="121"/>
      <c r="Q343" s="121"/>
      <c r="R343" s="121"/>
      <c r="T343" s="122">
        <v>3</v>
      </c>
      <c r="U343" s="123" t="s">
        <v>806</v>
      </c>
      <c r="V343" s="123" t="s">
        <v>807</v>
      </c>
    </row>
    <row r="344" spans="1:22">
      <c r="A344" s="119" t="s">
        <v>413</v>
      </c>
      <c r="B344" s="119" t="s">
        <v>258</v>
      </c>
      <c r="C344" s="120" t="s">
        <v>597</v>
      </c>
      <c r="D344" s="120">
        <v>2021</v>
      </c>
      <c r="E344" s="120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>
        <f t="shared" si="23"/>
        <v>0</v>
      </c>
      <c r="P344" s="121"/>
      <c r="Q344" s="121"/>
      <c r="R344" s="121"/>
      <c r="T344" s="122">
        <v>4</v>
      </c>
      <c r="U344" s="123" t="s">
        <v>806</v>
      </c>
      <c r="V344" s="123" t="s">
        <v>807</v>
      </c>
    </row>
    <row r="345" spans="1:22">
      <c r="A345" s="119" t="s">
        <v>413</v>
      </c>
      <c r="B345" s="119" t="s">
        <v>258</v>
      </c>
      <c r="C345" s="120" t="s">
        <v>600</v>
      </c>
      <c r="D345" s="120">
        <v>2021</v>
      </c>
      <c r="E345" s="120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>
        <f t="shared" si="23"/>
        <v>0</v>
      </c>
      <c r="P345" s="121"/>
      <c r="Q345" s="121"/>
      <c r="R345" s="121"/>
      <c r="T345" s="122">
        <v>5</v>
      </c>
      <c r="U345" s="123" t="s">
        <v>806</v>
      </c>
      <c r="V345" s="123" t="s">
        <v>807</v>
      </c>
    </row>
    <row r="346" spans="1:22">
      <c r="A346" s="119" t="s">
        <v>364</v>
      </c>
      <c r="B346" s="119" t="s">
        <v>365</v>
      </c>
      <c r="C346" s="120" t="s">
        <v>594</v>
      </c>
      <c r="D346" s="120">
        <v>2021</v>
      </c>
      <c r="E346" s="120"/>
      <c r="F346" s="121"/>
      <c r="G346" s="121"/>
      <c r="H346" s="121">
        <f>I346+J346</f>
        <v>66.275000000000006</v>
      </c>
      <c r="I346" s="121">
        <f>64*0.055</f>
        <v>3.52</v>
      </c>
      <c r="J346" s="121">
        <f>1141*0.055</f>
        <v>62.755000000000003</v>
      </c>
      <c r="K346" s="121"/>
      <c r="L346" s="121"/>
      <c r="M346" s="121"/>
      <c r="N346" s="121"/>
      <c r="O346" s="121">
        <f t="shared" si="23"/>
        <v>66.275000000000006</v>
      </c>
      <c r="P346" s="121">
        <f>1207*0.055</f>
        <v>66.385000000000005</v>
      </c>
      <c r="Q346" s="121"/>
      <c r="R346" s="121"/>
      <c r="T346" s="122">
        <v>1</v>
      </c>
      <c r="U346" s="123" t="s">
        <v>806</v>
      </c>
      <c r="V346" s="123" t="s">
        <v>807</v>
      </c>
    </row>
    <row r="347" spans="1:22">
      <c r="A347" s="119" t="s">
        <v>364</v>
      </c>
      <c r="B347" s="119" t="s">
        <v>365</v>
      </c>
      <c r="C347" s="120" t="s">
        <v>595</v>
      </c>
      <c r="D347" s="120">
        <v>2021</v>
      </c>
      <c r="E347" s="120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>
        <f t="shared" si="23"/>
        <v>0</v>
      </c>
      <c r="P347" s="128"/>
      <c r="Q347" s="121"/>
      <c r="R347" s="121"/>
      <c r="T347" s="122">
        <v>2</v>
      </c>
      <c r="U347" s="123" t="s">
        <v>806</v>
      </c>
      <c r="V347" s="123" t="s">
        <v>807</v>
      </c>
    </row>
    <row r="348" spans="1:22">
      <c r="A348" s="119" t="s">
        <v>364</v>
      </c>
      <c r="B348" s="119" t="s">
        <v>365</v>
      </c>
      <c r="C348" s="120" t="s">
        <v>596</v>
      </c>
      <c r="D348" s="120">
        <v>2021</v>
      </c>
      <c r="E348" s="120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>
        <f t="shared" si="23"/>
        <v>0</v>
      </c>
      <c r="P348" s="128"/>
      <c r="Q348" s="121"/>
      <c r="R348" s="121"/>
      <c r="T348" s="122">
        <v>3</v>
      </c>
      <c r="U348" s="123" t="s">
        <v>806</v>
      </c>
      <c r="V348" s="123" t="s">
        <v>807</v>
      </c>
    </row>
    <row r="349" spans="1:22">
      <c r="A349" s="119" t="s">
        <v>364</v>
      </c>
      <c r="B349" s="119" t="s">
        <v>365</v>
      </c>
      <c r="C349" s="120" t="s">
        <v>597</v>
      </c>
      <c r="D349" s="120">
        <v>2021</v>
      </c>
      <c r="E349" s="120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>
        <f t="shared" si="23"/>
        <v>0</v>
      </c>
      <c r="P349" s="128"/>
      <c r="Q349" s="121"/>
      <c r="R349" s="121"/>
      <c r="T349" s="122">
        <v>4</v>
      </c>
      <c r="U349" s="123" t="s">
        <v>806</v>
      </c>
      <c r="V349" s="123" t="s">
        <v>807</v>
      </c>
    </row>
    <row r="350" spans="1:22">
      <c r="A350" s="119" t="s">
        <v>364</v>
      </c>
      <c r="B350" s="119" t="s">
        <v>365</v>
      </c>
      <c r="C350" s="120" t="s">
        <v>600</v>
      </c>
      <c r="D350" s="120">
        <v>2021</v>
      </c>
      <c r="E350" s="120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>
        <f t="shared" si="23"/>
        <v>0</v>
      </c>
      <c r="P350" s="128"/>
      <c r="Q350" s="121"/>
      <c r="R350" s="121"/>
      <c r="T350" s="122">
        <v>5</v>
      </c>
      <c r="U350" s="123" t="s">
        <v>806</v>
      </c>
      <c r="V350" s="123" t="s">
        <v>807</v>
      </c>
    </row>
    <row r="351" spans="1:22">
      <c r="A351" s="119" t="s">
        <v>667</v>
      </c>
      <c r="B351" s="119" t="s">
        <v>259</v>
      </c>
      <c r="C351" s="120" t="s">
        <v>594</v>
      </c>
      <c r="D351" s="120">
        <v>2021</v>
      </c>
      <c r="E351" s="120"/>
      <c r="F351" s="121"/>
      <c r="G351" s="121"/>
      <c r="H351" s="121">
        <f>I351+J351</f>
        <v>1.0824</v>
      </c>
      <c r="I351" s="121"/>
      <c r="J351" s="121">
        <f>19.68*0.055</f>
        <v>1.0824</v>
      </c>
      <c r="K351" s="121"/>
      <c r="L351" s="121"/>
      <c r="M351" s="121"/>
      <c r="N351" s="121"/>
      <c r="O351" s="121">
        <f>E351+F351+H351+K351+G351</f>
        <v>1.0824</v>
      </c>
      <c r="P351" s="121"/>
      <c r="Q351" s="121"/>
      <c r="R351" s="121"/>
      <c r="T351" s="122">
        <v>1</v>
      </c>
      <c r="U351" s="123" t="s">
        <v>811</v>
      </c>
      <c r="V351" s="123" t="s">
        <v>812</v>
      </c>
    </row>
    <row r="352" spans="1:22">
      <c r="A352" s="119" t="s">
        <v>667</v>
      </c>
      <c r="B352" s="119" t="s">
        <v>259</v>
      </c>
      <c r="C352" s="120" t="s">
        <v>595</v>
      </c>
      <c r="D352" s="120">
        <v>2021</v>
      </c>
      <c r="E352" s="120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>
        <f>E352+F352+H352+K352+G352</f>
        <v>0</v>
      </c>
      <c r="P352" s="121"/>
      <c r="Q352" s="121"/>
      <c r="R352" s="121"/>
      <c r="T352" s="122">
        <v>2</v>
      </c>
      <c r="U352" s="123" t="s">
        <v>811</v>
      </c>
      <c r="V352" s="123" t="s">
        <v>812</v>
      </c>
    </row>
    <row r="353" spans="1:22">
      <c r="A353" s="119" t="s">
        <v>667</v>
      </c>
      <c r="B353" s="119" t="s">
        <v>259</v>
      </c>
      <c r="C353" s="125" t="s">
        <v>700</v>
      </c>
      <c r="D353" s="120">
        <v>2021</v>
      </c>
      <c r="E353" s="120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>
        <f>E353+F353+H353+K353+G353</f>
        <v>0</v>
      </c>
      <c r="P353" s="121"/>
      <c r="Q353" s="121"/>
      <c r="R353" s="121"/>
      <c r="U353" s="123" t="s">
        <v>811</v>
      </c>
      <c r="V353" s="123" t="s">
        <v>812</v>
      </c>
    </row>
    <row r="354" spans="1:22">
      <c r="A354" s="119" t="s">
        <v>667</v>
      </c>
      <c r="B354" s="119" t="s">
        <v>259</v>
      </c>
      <c r="C354" s="120" t="s">
        <v>596</v>
      </c>
      <c r="D354" s="120">
        <v>2021</v>
      </c>
      <c r="E354" s="120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>
        <f>F354+H354</f>
        <v>0</v>
      </c>
      <c r="P354" s="121"/>
      <c r="Q354" s="121"/>
      <c r="R354" s="121"/>
      <c r="T354" s="122">
        <v>3</v>
      </c>
      <c r="U354" s="123" t="s">
        <v>811</v>
      </c>
      <c r="V354" s="123" t="s">
        <v>812</v>
      </c>
    </row>
    <row r="355" spans="1:22">
      <c r="A355" s="119" t="s">
        <v>667</v>
      </c>
      <c r="B355" s="119" t="s">
        <v>259</v>
      </c>
      <c r="C355" s="120" t="s">
        <v>597</v>
      </c>
      <c r="D355" s="120">
        <v>2021</v>
      </c>
      <c r="E355" s="120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>
        <f>F355+H355</f>
        <v>0</v>
      </c>
      <c r="P355" s="121"/>
      <c r="Q355" s="121"/>
      <c r="R355" s="121"/>
      <c r="T355" s="122">
        <v>4</v>
      </c>
      <c r="U355" s="123" t="s">
        <v>811</v>
      </c>
      <c r="V355" s="123" t="s">
        <v>812</v>
      </c>
    </row>
    <row r="356" spans="1:22">
      <c r="A356" s="119" t="s">
        <v>667</v>
      </c>
      <c r="B356" s="119" t="s">
        <v>259</v>
      </c>
      <c r="C356" s="120" t="s">
        <v>600</v>
      </c>
      <c r="D356" s="120">
        <v>2021</v>
      </c>
      <c r="E356" s="120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>
        <v>0</v>
      </c>
      <c r="P356" s="121"/>
      <c r="Q356" s="121"/>
      <c r="R356" s="121"/>
      <c r="T356" s="122">
        <v>5</v>
      </c>
      <c r="U356" s="123" t="s">
        <v>811</v>
      </c>
      <c r="V356" s="123" t="s">
        <v>812</v>
      </c>
    </row>
    <row r="357" spans="1:22">
      <c r="A357" s="119" t="s">
        <v>668</v>
      </c>
      <c r="B357" s="119" t="s">
        <v>260</v>
      </c>
      <c r="C357" s="120" t="s">
        <v>594</v>
      </c>
      <c r="D357" s="120">
        <v>2021</v>
      </c>
      <c r="E357" s="120"/>
      <c r="F357" s="121"/>
      <c r="G357" s="121"/>
      <c r="H357" s="121">
        <f>I357+J357</f>
        <v>9.1590950000000007</v>
      </c>
      <c r="I357" s="121">
        <f>5*0.055</f>
        <v>0.27500000000000002</v>
      </c>
      <c r="J357" s="121">
        <f>161.529*0.055</f>
        <v>8.8840950000000003</v>
      </c>
      <c r="K357" s="121"/>
      <c r="L357" s="121"/>
      <c r="M357" s="121"/>
      <c r="N357" s="121"/>
      <c r="O357" s="121">
        <f t="shared" ref="O357:O362" si="24">F357+H357+G357</f>
        <v>9.1590950000000007</v>
      </c>
      <c r="P357" s="121">
        <f>166.53*0.055</f>
        <v>9.1591500000000003</v>
      </c>
      <c r="Q357" s="121"/>
      <c r="R357" s="121"/>
      <c r="T357" s="122">
        <v>1</v>
      </c>
      <c r="U357" s="123" t="s">
        <v>806</v>
      </c>
      <c r="V357" s="123" t="s">
        <v>814</v>
      </c>
    </row>
    <row r="358" spans="1:22">
      <c r="A358" s="119" t="s">
        <v>668</v>
      </c>
      <c r="B358" s="119" t="s">
        <v>260</v>
      </c>
      <c r="C358" s="120" t="s">
        <v>595</v>
      </c>
      <c r="D358" s="120">
        <v>2021</v>
      </c>
      <c r="E358" s="120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>
        <f t="shared" si="24"/>
        <v>0</v>
      </c>
      <c r="P358" s="121"/>
      <c r="Q358" s="121"/>
      <c r="R358" s="121"/>
      <c r="T358" s="122">
        <v>2</v>
      </c>
      <c r="U358" s="123" t="s">
        <v>806</v>
      </c>
      <c r="V358" s="123" t="s">
        <v>814</v>
      </c>
    </row>
    <row r="359" spans="1:22">
      <c r="A359" s="119" t="s">
        <v>668</v>
      </c>
      <c r="B359" s="119" t="s">
        <v>260</v>
      </c>
      <c r="C359" s="120" t="s">
        <v>700</v>
      </c>
      <c r="D359" s="120">
        <v>2021</v>
      </c>
      <c r="E359" s="120"/>
      <c r="F359" s="121">
        <f>387.338*0.11</f>
        <v>42.60718</v>
      </c>
      <c r="G359" s="121"/>
      <c r="H359" s="121"/>
      <c r="I359" s="121"/>
      <c r="J359" s="121"/>
      <c r="K359" s="121"/>
      <c r="L359" s="121"/>
      <c r="M359" s="121"/>
      <c r="N359" s="121"/>
      <c r="O359" s="121">
        <f t="shared" si="24"/>
        <v>42.60718</v>
      </c>
      <c r="P359" s="121">
        <f>387.34*0.11</f>
        <v>42.607399999999998</v>
      </c>
      <c r="Q359" s="121"/>
      <c r="R359" s="121"/>
      <c r="U359" s="123" t="s">
        <v>806</v>
      </c>
      <c r="V359" s="123" t="s">
        <v>814</v>
      </c>
    </row>
    <row r="360" spans="1:22">
      <c r="A360" s="119" t="s">
        <v>668</v>
      </c>
      <c r="B360" s="119" t="s">
        <v>260</v>
      </c>
      <c r="C360" s="120" t="s">
        <v>596</v>
      </c>
      <c r="D360" s="120">
        <v>2021</v>
      </c>
      <c r="E360" s="120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>
        <f t="shared" si="24"/>
        <v>0</v>
      </c>
      <c r="P360" s="121"/>
      <c r="Q360" s="121"/>
      <c r="R360" s="121"/>
      <c r="T360" s="122">
        <v>3</v>
      </c>
      <c r="U360" s="123" t="s">
        <v>806</v>
      </c>
      <c r="V360" s="123" t="s">
        <v>814</v>
      </c>
    </row>
    <row r="361" spans="1:22">
      <c r="A361" s="119" t="s">
        <v>668</v>
      </c>
      <c r="B361" s="119" t="s">
        <v>260</v>
      </c>
      <c r="C361" s="120" t="s">
        <v>597</v>
      </c>
      <c r="D361" s="120">
        <v>2021</v>
      </c>
      <c r="E361" s="120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>
        <f t="shared" si="24"/>
        <v>0</v>
      </c>
      <c r="P361" s="121"/>
      <c r="Q361" s="121"/>
      <c r="R361" s="121"/>
      <c r="T361" s="122">
        <v>4</v>
      </c>
      <c r="U361" s="123" t="s">
        <v>806</v>
      </c>
      <c r="V361" s="123" t="s">
        <v>814</v>
      </c>
    </row>
    <row r="362" spans="1:22">
      <c r="A362" s="119" t="s">
        <v>668</v>
      </c>
      <c r="B362" s="119" t="s">
        <v>260</v>
      </c>
      <c r="C362" s="120" t="s">
        <v>600</v>
      </c>
      <c r="D362" s="120">
        <v>2021</v>
      </c>
      <c r="E362" s="120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>
        <f t="shared" si="24"/>
        <v>0</v>
      </c>
      <c r="P362" s="121"/>
      <c r="Q362" s="121"/>
      <c r="R362" s="121"/>
      <c r="T362" s="122">
        <v>5</v>
      </c>
      <c r="U362" s="123" t="s">
        <v>806</v>
      </c>
      <c r="V362" s="123" t="s">
        <v>814</v>
      </c>
    </row>
    <row r="363" spans="1:22">
      <c r="A363" s="119" t="s">
        <v>103</v>
      </c>
      <c r="B363" s="119" t="s">
        <v>261</v>
      </c>
      <c r="C363" s="120" t="s">
        <v>594</v>
      </c>
      <c r="D363" s="120">
        <v>2021</v>
      </c>
      <c r="E363" s="120"/>
      <c r="F363" s="121"/>
      <c r="G363" s="121"/>
      <c r="H363" s="121">
        <f>I363+J363</f>
        <v>4.2447900000000001</v>
      </c>
      <c r="I363" s="121"/>
      <c r="J363" s="121">
        <f>77.178*0.055</f>
        <v>4.2447900000000001</v>
      </c>
      <c r="K363" s="121"/>
      <c r="L363" s="121"/>
      <c r="M363" s="121"/>
      <c r="N363" s="121"/>
      <c r="O363" s="121">
        <f t="shared" ref="O363:O394" si="25">F363+H363</f>
        <v>4.2447900000000001</v>
      </c>
      <c r="P363" s="121">
        <f>77.18*0.055</f>
        <v>4.2449000000000003</v>
      </c>
      <c r="Q363" s="121"/>
      <c r="R363" s="121"/>
      <c r="T363" s="122">
        <v>1</v>
      </c>
      <c r="U363" s="123" t="s">
        <v>809</v>
      </c>
      <c r="V363" s="123" t="s">
        <v>815</v>
      </c>
    </row>
    <row r="364" spans="1:22">
      <c r="A364" s="119" t="s">
        <v>103</v>
      </c>
      <c r="B364" s="119" t="s">
        <v>261</v>
      </c>
      <c r="C364" s="120" t="s">
        <v>595</v>
      </c>
      <c r="D364" s="120">
        <v>2021</v>
      </c>
      <c r="E364" s="120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>
        <f t="shared" si="25"/>
        <v>0</v>
      </c>
      <c r="P364" s="121"/>
      <c r="Q364" s="121"/>
      <c r="R364" s="121"/>
      <c r="T364" s="122">
        <v>2</v>
      </c>
      <c r="U364" s="123" t="s">
        <v>809</v>
      </c>
      <c r="V364" s="123" t="s">
        <v>815</v>
      </c>
    </row>
    <row r="365" spans="1:22">
      <c r="A365" s="119" t="s">
        <v>103</v>
      </c>
      <c r="B365" s="119" t="s">
        <v>261</v>
      </c>
      <c r="C365" s="125" t="s">
        <v>700</v>
      </c>
      <c r="D365" s="120">
        <v>2021</v>
      </c>
      <c r="E365" s="120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>
        <f t="shared" si="25"/>
        <v>0</v>
      </c>
      <c r="P365" s="121"/>
      <c r="Q365" s="121"/>
      <c r="R365" s="121"/>
      <c r="U365" s="123" t="s">
        <v>809</v>
      </c>
      <c r="V365" s="123" t="s">
        <v>815</v>
      </c>
    </row>
    <row r="366" spans="1:22">
      <c r="A366" s="119" t="s">
        <v>103</v>
      </c>
      <c r="B366" s="119" t="s">
        <v>261</v>
      </c>
      <c r="C366" s="120" t="s">
        <v>596</v>
      </c>
      <c r="D366" s="120">
        <v>2021</v>
      </c>
      <c r="E366" s="120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>
        <f t="shared" si="25"/>
        <v>0</v>
      </c>
      <c r="P366" s="121"/>
      <c r="Q366" s="121"/>
      <c r="R366" s="121"/>
      <c r="T366" s="122">
        <v>3</v>
      </c>
      <c r="U366" s="123" t="s">
        <v>809</v>
      </c>
      <c r="V366" s="123" t="s">
        <v>815</v>
      </c>
    </row>
    <row r="367" spans="1:22">
      <c r="A367" s="119" t="s">
        <v>103</v>
      </c>
      <c r="B367" s="119" t="s">
        <v>261</v>
      </c>
      <c r="C367" s="120" t="s">
        <v>597</v>
      </c>
      <c r="D367" s="120">
        <v>2021</v>
      </c>
      <c r="E367" s="120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>
        <f t="shared" si="25"/>
        <v>0</v>
      </c>
      <c r="P367" s="121"/>
      <c r="Q367" s="121"/>
      <c r="R367" s="121"/>
      <c r="T367" s="122">
        <v>4</v>
      </c>
      <c r="U367" s="123" t="s">
        <v>809</v>
      </c>
      <c r="V367" s="123" t="s">
        <v>815</v>
      </c>
    </row>
    <row r="368" spans="1:22" ht="9.6" customHeight="1">
      <c r="A368" s="119" t="s">
        <v>103</v>
      </c>
      <c r="B368" s="119" t="s">
        <v>261</v>
      </c>
      <c r="C368" s="120" t="s">
        <v>600</v>
      </c>
      <c r="D368" s="120">
        <v>2021</v>
      </c>
      <c r="E368" s="120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>
        <f t="shared" si="25"/>
        <v>0</v>
      </c>
      <c r="P368" s="121"/>
      <c r="Q368" s="121"/>
      <c r="R368" s="121"/>
      <c r="T368" s="122">
        <v>5</v>
      </c>
      <c r="U368" s="123" t="s">
        <v>809</v>
      </c>
      <c r="V368" s="123" t="s">
        <v>815</v>
      </c>
    </row>
    <row r="369" spans="1:22">
      <c r="A369" s="119" t="s">
        <v>104</v>
      </c>
      <c r="B369" s="119" t="s">
        <v>262</v>
      </c>
      <c r="C369" s="120" t="s">
        <v>594</v>
      </c>
      <c r="D369" s="120">
        <v>2021</v>
      </c>
      <c r="E369" s="120"/>
      <c r="F369" s="121"/>
      <c r="G369" s="121"/>
      <c r="H369" s="128">
        <f>I369+J369</f>
        <v>7.7000000000000007E-4</v>
      </c>
      <c r="I369" s="121"/>
      <c r="J369" s="128">
        <f>0.014*0.055</f>
        <v>7.7000000000000007E-4</v>
      </c>
      <c r="K369" s="121"/>
      <c r="L369" s="121"/>
      <c r="M369" s="121"/>
      <c r="N369" s="121"/>
      <c r="O369" s="128">
        <f t="shared" si="25"/>
        <v>7.7000000000000007E-4</v>
      </c>
      <c r="P369" s="128">
        <f>0.014*0.055</f>
        <v>7.7000000000000007E-4</v>
      </c>
      <c r="Q369" s="121"/>
      <c r="R369" s="121"/>
      <c r="T369" s="122">
        <v>1</v>
      </c>
      <c r="U369" s="123" t="s">
        <v>806</v>
      </c>
      <c r="V369" s="123" t="s">
        <v>816</v>
      </c>
    </row>
    <row r="370" spans="1:22">
      <c r="A370" s="119" t="s">
        <v>104</v>
      </c>
      <c r="B370" s="119" t="s">
        <v>262</v>
      </c>
      <c r="C370" s="120" t="s">
        <v>595</v>
      </c>
      <c r="D370" s="120">
        <v>2021</v>
      </c>
      <c r="E370" s="120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>
        <f t="shared" si="25"/>
        <v>0</v>
      </c>
      <c r="P370" s="121"/>
      <c r="Q370" s="121"/>
      <c r="R370" s="121"/>
      <c r="T370" s="122">
        <v>2</v>
      </c>
      <c r="U370" s="123" t="s">
        <v>806</v>
      </c>
      <c r="V370" s="123" t="s">
        <v>816</v>
      </c>
    </row>
    <row r="371" spans="1:22">
      <c r="A371" s="119" t="s">
        <v>104</v>
      </c>
      <c r="B371" s="119" t="s">
        <v>262</v>
      </c>
      <c r="C371" s="120" t="s">
        <v>596</v>
      </c>
      <c r="D371" s="120">
        <v>2021</v>
      </c>
      <c r="E371" s="120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>
        <f t="shared" si="25"/>
        <v>0</v>
      </c>
      <c r="P371" s="121"/>
      <c r="Q371" s="121"/>
      <c r="R371" s="121"/>
      <c r="T371" s="122">
        <v>3</v>
      </c>
      <c r="U371" s="123" t="s">
        <v>806</v>
      </c>
      <c r="V371" s="123" t="s">
        <v>816</v>
      </c>
    </row>
    <row r="372" spans="1:22">
      <c r="A372" s="119" t="s">
        <v>104</v>
      </c>
      <c r="B372" s="119" t="s">
        <v>262</v>
      </c>
      <c r="C372" s="120" t="s">
        <v>597</v>
      </c>
      <c r="D372" s="120">
        <v>2021</v>
      </c>
      <c r="E372" s="120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>
        <f t="shared" si="25"/>
        <v>0</v>
      </c>
      <c r="P372" s="121"/>
      <c r="Q372" s="121"/>
      <c r="R372" s="121"/>
      <c r="T372" s="122">
        <v>4</v>
      </c>
      <c r="U372" s="123" t="s">
        <v>806</v>
      </c>
      <c r="V372" s="123" t="s">
        <v>816</v>
      </c>
    </row>
    <row r="373" spans="1:22" ht="9.6" customHeight="1">
      <c r="A373" s="119" t="s">
        <v>104</v>
      </c>
      <c r="B373" s="119" t="s">
        <v>262</v>
      </c>
      <c r="C373" s="120" t="s">
        <v>600</v>
      </c>
      <c r="D373" s="120">
        <v>2021</v>
      </c>
      <c r="E373" s="120"/>
      <c r="F373" s="121"/>
      <c r="G373" s="121"/>
      <c r="H373" s="128"/>
      <c r="I373" s="121"/>
      <c r="J373" s="121"/>
      <c r="K373" s="121"/>
      <c r="L373" s="121"/>
      <c r="M373" s="121"/>
      <c r="N373" s="121"/>
      <c r="O373" s="121">
        <f t="shared" si="25"/>
        <v>0</v>
      </c>
      <c r="P373" s="121"/>
      <c r="Q373" s="121"/>
      <c r="R373" s="121"/>
      <c r="T373" s="122">
        <v>5</v>
      </c>
      <c r="U373" s="123" t="s">
        <v>806</v>
      </c>
      <c r="V373" s="123" t="s">
        <v>816</v>
      </c>
    </row>
    <row r="374" spans="1:22" ht="10.5" customHeight="1">
      <c r="A374" s="119" t="s">
        <v>105</v>
      </c>
      <c r="B374" s="119" t="s">
        <v>263</v>
      </c>
      <c r="C374" s="120" t="s">
        <v>594</v>
      </c>
      <c r="D374" s="120">
        <v>2021</v>
      </c>
      <c r="E374" s="120"/>
      <c r="F374" s="121">
        <f>240*0.055</f>
        <v>13.2</v>
      </c>
      <c r="G374" s="121"/>
      <c r="H374" s="121">
        <f>I374+J374</f>
        <v>159.87372500000001</v>
      </c>
      <c r="I374" s="121">
        <f>100*0.055</f>
        <v>5.5</v>
      </c>
      <c r="J374" s="121">
        <f>2806.795*0.055</f>
        <v>154.37372500000001</v>
      </c>
      <c r="K374" s="121"/>
      <c r="L374" s="121"/>
      <c r="M374" s="121"/>
      <c r="N374" s="121"/>
      <c r="O374" s="121">
        <f t="shared" si="25"/>
        <v>173.073725</v>
      </c>
      <c r="P374" s="121">
        <f>3146.8*0.055</f>
        <v>173.07400000000001</v>
      </c>
      <c r="Q374" s="121"/>
      <c r="R374" s="121"/>
      <c r="T374" s="122">
        <v>1</v>
      </c>
      <c r="U374" s="123" t="s">
        <v>806</v>
      </c>
      <c r="V374" s="123" t="s">
        <v>814</v>
      </c>
    </row>
    <row r="375" spans="1:22">
      <c r="A375" s="119" t="s">
        <v>105</v>
      </c>
      <c r="B375" s="119" t="s">
        <v>263</v>
      </c>
      <c r="C375" s="120" t="s">
        <v>595</v>
      </c>
      <c r="D375" s="120">
        <v>2021</v>
      </c>
      <c r="E375" s="120"/>
      <c r="F375" s="121">
        <f>360*0.11</f>
        <v>39.6</v>
      </c>
      <c r="G375" s="121"/>
      <c r="H375" s="121"/>
      <c r="I375" s="121"/>
      <c r="J375" s="121"/>
      <c r="K375" s="121"/>
      <c r="L375" s="121"/>
      <c r="M375" s="121"/>
      <c r="N375" s="121"/>
      <c r="O375" s="121">
        <f>F375+H375+K375</f>
        <v>39.6</v>
      </c>
      <c r="P375" s="121">
        <f>360*0.11</f>
        <v>39.6</v>
      </c>
      <c r="Q375" s="121"/>
      <c r="R375" s="121"/>
      <c r="T375" s="122">
        <v>2</v>
      </c>
      <c r="U375" s="123" t="s">
        <v>806</v>
      </c>
      <c r="V375" s="123" t="s">
        <v>814</v>
      </c>
    </row>
    <row r="376" spans="1:22">
      <c r="A376" s="119" t="s">
        <v>105</v>
      </c>
      <c r="B376" s="119" t="s">
        <v>263</v>
      </c>
      <c r="C376" s="120" t="s">
        <v>700</v>
      </c>
      <c r="D376" s="120">
        <v>2021</v>
      </c>
      <c r="E376" s="120"/>
      <c r="F376" s="121">
        <f>235*0.11</f>
        <v>25.85</v>
      </c>
      <c r="G376" s="121"/>
      <c r="H376" s="121"/>
      <c r="I376" s="121"/>
      <c r="J376" s="121"/>
      <c r="K376" s="121"/>
      <c r="L376" s="121"/>
      <c r="M376" s="121"/>
      <c r="N376" s="121"/>
      <c r="O376" s="121">
        <f t="shared" si="25"/>
        <v>25.85</v>
      </c>
      <c r="P376" s="121">
        <f>235*0.11</f>
        <v>25.85</v>
      </c>
      <c r="Q376" s="121"/>
      <c r="R376" s="121"/>
      <c r="U376" s="123" t="s">
        <v>806</v>
      </c>
      <c r="V376" s="123" t="s">
        <v>814</v>
      </c>
    </row>
    <row r="377" spans="1:22">
      <c r="A377" s="119" t="s">
        <v>105</v>
      </c>
      <c r="B377" s="119" t="s">
        <v>263</v>
      </c>
      <c r="C377" s="120" t="s">
        <v>596</v>
      </c>
      <c r="D377" s="120">
        <v>2021</v>
      </c>
      <c r="E377" s="120"/>
      <c r="F377" s="121">
        <f>180*0.065</f>
        <v>11.700000000000001</v>
      </c>
      <c r="G377" s="121"/>
      <c r="H377" s="121"/>
      <c r="I377" s="121"/>
      <c r="J377" s="121"/>
      <c r="K377" s="121"/>
      <c r="L377" s="121"/>
      <c r="M377" s="121"/>
      <c r="N377" s="121"/>
      <c r="O377" s="121">
        <f t="shared" si="25"/>
        <v>11.700000000000001</v>
      </c>
      <c r="P377" s="121">
        <f>180*0.065</f>
        <v>11.700000000000001</v>
      </c>
      <c r="Q377" s="121"/>
      <c r="R377" s="121"/>
      <c r="T377" s="122">
        <v>3</v>
      </c>
      <c r="U377" s="123" t="s">
        <v>806</v>
      </c>
      <c r="V377" s="123" t="s">
        <v>814</v>
      </c>
    </row>
    <row r="378" spans="1:22">
      <c r="A378" s="119" t="s">
        <v>105</v>
      </c>
      <c r="B378" s="119" t="s">
        <v>263</v>
      </c>
      <c r="C378" s="120" t="s">
        <v>597</v>
      </c>
      <c r="D378" s="120">
        <v>2021</v>
      </c>
      <c r="E378" s="120"/>
      <c r="F378" s="121"/>
      <c r="G378" s="121"/>
      <c r="H378" s="121">
        <f t="shared" ref="H378:H379" si="26">I378+J378</f>
        <v>7.1760000000000004E-2</v>
      </c>
      <c r="I378" s="121"/>
      <c r="J378" s="121">
        <f>3.588*0.02</f>
        <v>7.1760000000000004E-2</v>
      </c>
      <c r="K378" s="121"/>
      <c r="L378" s="121"/>
      <c r="M378" s="121"/>
      <c r="N378" s="121"/>
      <c r="O378" s="121">
        <f t="shared" si="25"/>
        <v>7.1760000000000004E-2</v>
      </c>
      <c r="P378" s="121"/>
      <c r="Q378" s="121"/>
      <c r="R378" s="121"/>
      <c r="T378" s="122">
        <v>4</v>
      </c>
      <c r="U378" s="123" t="s">
        <v>806</v>
      </c>
      <c r="V378" s="123" t="s">
        <v>814</v>
      </c>
    </row>
    <row r="379" spans="1:22" ht="9.6" customHeight="1">
      <c r="A379" s="119" t="s">
        <v>105</v>
      </c>
      <c r="B379" s="119" t="s">
        <v>263</v>
      </c>
      <c r="C379" s="120" t="s">
        <v>600</v>
      </c>
      <c r="D379" s="120">
        <v>2021</v>
      </c>
      <c r="E379" s="120"/>
      <c r="F379" s="121"/>
      <c r="G379" s="121"/>
      <c r="H379" s="121">
        <f t="shared" si="26"/>
        <v>8.8000000000000005E-3</v>
      </c>
      <c r="I379" s="121"/>
      <c r="J379" s="121">
        <f>0.4*0.022</f>
        <v>8.8000000000000005E-3</v>
      </c>
      <c r="K379" s="121"/>
      <c r="L379" s="121"/>
      <c r="M379" s="121"/>
      <c r="N379" s="121"/>
      <c r="O379" s="121">
        <f t="shared" si="25"/>
        <v>8.8000000000000005E-3</v>
      </c>
      <c r="P379" s="121"/>
      <c r="Q379" s="121"/>
      <c r="R379" s="121"/>
      <c r="T379" s="122">
        <v>5</v>
      </c>
      <c r="U379" s="123" t="s">
        <v>806</v>
      </c>
      <c r="V379" s="123" t="s">
        <v>814</v>
      </c>
    </row>
    <row r="380" spans="1:22">
      <c r="A380" s="119" t="s">
        <v>762</v>
      </c>
      <c r="B380" s="119" t="s">
        <v>264</v>
      </c>
      <c r="C380" s="120" t="s">
        <v>594</v>
      </c>
      <c r="D380" s="120">
        <v>2021</v>
      </c>
      <c r="E380" s="120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>
        <f t="shared" si="25"/>
        <v>0</v>
      </c>
      <c r="P380" s="121">
        <v>0</v>
      </c>
      <c r="Q380" s="121"/>
      <c r="R380" s="121"/>
      <c r="T380" s="122">
        <v>1</v>
      </c>
      <c r="U380" s="123" t="s">
        <v>808</v>
      </c>
      <c r="V380" s="123" t="s">
        <v>808</v>
      </c>
    </row>
    <row r="381" spans="1:22">
      <c r="A381" s="119" t="s">
        <v>762</v>
      </c>
      <c r="B381" s="119" t="s">
        <v>264</v>
      </c>
      <c r="C381" s="120" t="s">
        <v>595</v>
      </c>
      <c r="D381" s="120">
        <v>2021</v>
      </c>
      <c r="E381" s="120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>
        <f t="shared" si="25"/>
        <v>0</v>
      </c>
      <c r="P381" s="121"/>
      <c r="Q381" s="121"/>
      <c r="R381" s="121"/>
      <c r="T381" s="122">
        <v>2</v>
      </c>
      <c r="U381" s="123" t="s">
        <v>808</v>
      </c>
      <c r="V381" s="123" t="s">
        <v>808</v>
      </c>
    </row>
    <row r="382" spans="1:22">
      <c r="A382" s="119" t="s">
        <v>762</v>
      </c>
      <c r="B382" s="119" t="s">
        <v>264</v>
      </c>
      <c r="C382" s="125" t="s">
        <v>700</v>
      </c>
      <c r="D382" s="120">
        <v>2021</v>
      </c>
      <c r="E382" s="120"/>
      <c r="F382" s="121"/>
      <c r="G382" s="121"/>
      <c r="H382" s="121"/>
      <c r="I382" s="121"/>
      <c r="J382" s="124"/>
      <c r="K382" s="121"/>
      <c r="L382" s="121"/>
      <c r="M382" s="121"/>
      <c r="N382" s="121"/>
      <c r="O382" s="121">
        <f t="shared" si="25"/>
        <v>0</v>
      </c>
      <c r="P382" s="121"/>
      <c r="Q382" s="121"/>
      <c r="R382" s="121"/>
      <c r="U382" s="123" t="s">
        <v>808</v>
      </c>
      <c r="V382" s="123" t="s">
        <v>808</v>
      </c>
    </row>
    <row r="383" spans="1:22">
      <c r="A383" s="119" t="s">
        <v>762</v>
      </c>
      <c r="B383" s="119" t="s">
        <v>264</v>
      </c>
      <c r="C383" s="120" t="s">
        <v>596</v>
      </c>
      <c r="D383" s="120">
        <v>2021</v>
      </c>
      <c r="E383" s="120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>
        <f t="shared" si="25"/>
        <v>0</v>
      </c>
      <c r="P383" s="121"/>
      <c r="Q383" s="121"/>
      <c r="R383" s="121"/>
      <c r="T383" s="122">
        <v>3</v>
      </c>
      <c r="U383" s="123" t="s">
        <v>808</v>
      </c>
      <c r="V383" s="123" t="s">
        <v>808</v>
      </c>
    </row>
    <row r="384" spans="1:22">
      <c r="A384" s="119" t="s">
        <v>762</v>
      </c>
      <c r="B384" s="119" t="s">
        <v>264</v>
      </c>
      <c r="C384" s="120" t="s">
        <v>597</v>
      </c>
      <c r="D384" s="120">
        <v>2021</v>
      </c>
      <c r="E384" s="120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>
        <f t="shared" si="25"/>
        <v>0</v>
      </c>
      <c r="P384" s="121"/>
      <c r="Q384" s="121"/>
      <c r="R384" s="121"/>
      <c r="T384" s="122">
        <v>4</v>
      </c>
      <c r="U384" s="123" t="s">
        <v>808</v>
      </c>
      <c r="V384" s="123" t="s">
        <v>808</v>
      </c>
    </row>
    <row r="385" spans="1:22">
      <c r="A385" s="119" t="s">
        <v>762</v>
      </c>
      <c r="B385" s="119" t="s">
        <v>264</v>
      </c>
      <c r="C385" s="120" t="s">
        <v>600</v>
      </c>
      <c r="D385" s="120">
        <v>2021</v>
      </c>
      <c r="E385" s="120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>
        <f t="shared" si="25"/>
        <v>0</v>
      </c>
      <c r="P385" s="121"/>
      <c r="Q385" s="121"/>
      <c r="R385" s="121"/>
      <c r="T385" s="122">
        <v>5</v>
      </c>
      <c r="U385" s="123" t="s">
        <v>808</v>
      </c>
      <c r="V385" s="123" t="s">
        <v>808</v>
      </c>
    </row>
    <row r="386" spans="1:22">
      <c r="A386" s="119" t="s">
        <v>414</v>
      </c>
      <c r="B386" s="119" t="s">
        <v>265</v>
      </c>
      <c r="C386" s="120" t="s">
        <v>594</v>
      </c>
      <c r="D386" s="120">
        <v>2021</v>
      </c>
      <c r="E386" s="120"/>
      <c r="F386" s="121"/>
      <c r="G386" s="121"/>
      <c r="H386" s="121">
        <f>I386+J386</f>
        <v>0.82280000000000009</v>
      </c>
      <c r="I386" s="121"/>
      <c r="J386" s="121">
        <f>14.96*0.055</f>
        <v>0.82280000000000009</v>
      </c>
      <c r="K386" s="121"/>
      <c r="L386" s="121"/>
      <c r="M386" s="121"/>
      <c r="N386" s="121"/>
      <c r="O386" s="121">
        <f t="shared" si="25"/>
        <v>0.82280000000000009</v>
      </c>
      <c r="P386" s="121">
        <f>14.96*0.055</f>
        <v>0.82280000000000009</v>
      </c>
      <c r="Q386" s="121"/>
      <c r="R386" s="121"/>
      <c r="T386" s="122">
        <v>1</v>
      </c>
      <c r="U386" s="123" t="s">
        <v>806</v>
      </c>
      <c r="V386" s="123" t="s">
        <v>816</v>
      </c>
    </row>
    <row r="387" spans="1:22">
      <c r="A387" s="119" t="s">
        <v>414</v>
      </c>
      <c r="B387" s="119" t="s">
        <v>265</v>
      </c>
      <c r="C387" s="120" t="s">
        <v>595</v>
      </c>
      <c r="D387" s="120">
        <v>2021</v>
      </c>
      <c r="E387" s="120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>
        <f t="shared" si="25"/>
        <v>0</v>
      </c>
      <c r="P387" s="121"/>
      <c r="Q387" s="121"/>
      <c r="R387" s="121"/>
      <c r="T387" s="122">
        <v>2</v>
      </c>
      <c r="U387" s="123" t="s">
        <v>806</v>
      </c>
      <c r="V387" s="123" t="s">
        <v>816</v>
      </c>
    </row>
    <row r="388" spans="1:22">
      <c r="A388" s="119" t="s">
        <v>414</v>
      </c>
      <c r="B388" s="119" t="s">
        <v>265</v>
      </c>
      <c r="C388" s="125" t="s">
        <v>700</v>
      </c>
      <c r="D388" s="120">
        <v>2021</v>
      </c>
      <c r="E388" s="120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>
        <f t="shared" si="25"/>
        <v>0</v>
      </c>
      <c r="P388" s="121"/>
      <c r="Q388" s="121"/>
      <c r="R388" s="121"/>
      <c r="U388" s="123" t="s">
        <v>806</v>
      </c>
      <c r="V388" s="123" t="s">
        <v>816</v>
      </c>
    </row>
    <row r="389" spans="1:22">
      <c r="A389" s="119" t="s">
        <v>414</v>
      </c>
      <c r="B389" s="119" t="s">
        <v>265</v>
      </c>
      <c r="C389" s="120" t="s">
        <v>596</v>
      </c>
      <c r="D389" s="120">
        <v>2021</v>
      </c>
      <c r="E389" s="120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>
        <f t="shared" si="25"/>
        <v>0</v>
      </c>
      <c r="P389" s="121"/>
      <c r="Q389" s="121"/>
      <c r="R389" s="121"/>
      <c r="T389" s="122">
        <v>3</v>
      </c>
      <c r="U389" s="123" t="s">
        <v>806</v>
      </c>
      <c r="V389" s="123" t="s">
        <v>816</v>
      </c>
    </row>
    <row r="390" spans="1:22">
      <c r="A390" s="119" t="s">
        <v>414</v>
      </c>
      <c r="B390" s="119" t="s">
        <v>265</v>
      </c>
      <c r="C390" s="120" t="s">
        <v>597</v>
      </c>
      <c r="D390" s="120">
        <v>2021</v>
      </c>
      <c r="E390" s="120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>
        <f t="shared" si="25"/>
        <v>0</v>
      </c>
      <c r="P390" s="121"/>
      <c r="Q390" s="121"/>
      <c r="R390" s="121"/>
      <c r="T390" s="122">
        <v>4</v>
      </c>
      <c r="U390" s="123" t="s">
        <v>806</v>
      </c>
      <c r="V390" s="123" t="s">
        <v>816</v>
      </c>
    </row>
    <row r="391" spans="1:22">
      <c r="A391" s="119" t="s">
        <v>414</v>
      </c>
      <c r="B391" s="119" t="s">
        <v>265</v>
      </c>
      <c r="C391" s="120" t="s">
        <v>600</v>
      </c>
      <c r="D391" s="120">
        <v>2021</v>
      </c>
      <c r="E391" s="120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>
        <f t="shared" si="25"/>
        <v>0</v>
      </c>
      <c r="P391" s="121"/>
      <c r="Q391" s="121"/>
      <c r="R391" s="121"/>
      <c r="T391" s="122">
        <v>5</v>
      </c>
      <c r="U391" s="123" t="s">
        <v>806</v>
      </c>
      <c r="V391" s="123" t="s">
        <v>816</v>
      </c>
    </row>
    <row r="392" spans="1:22">
      <c r="A392" s="119" t="s">
        <v>732</v>
      </c>
      <c r="B392" s="119" t="s">
        <v>266</v>
      </c>
      <c r="C392" s="120" t="s">
        <v>594</v>
      </c>
      <c r="D392" s="120">
        <v>2021</v>
      </c>
      <c r="E392" s="120"/>
      <c r="F392" s="121"/>
      <c r="G392" s="121"/>
      <c r="H392" s="121">
        <f>I392+J392</f>
        <v>26.063400000000001</v>
      </c>
      <c r="I392" s="121">
        <f>11.5*0.055</f>
        <v>0.63249999999999995</v>
      </c>
      <c r="J392" s="121">
        <f>462.38*0.055</f>
        <v>25.430900000000001</v>
      </c>
      <c r="K392" s="121"/>
      <c r="L392" s="121"/>
      <c r="M392" s="121"/>
      <c r="N392" s="121"/>
      <c r="O392" s="121">
        <f t="shared" si="25"/>
        <v>26.063400000000001</v>
      </c>
      <c r="P392" s="121">
        <f>474.28*0.055</f>
        <v>26.0854</v>
      </c>
      <c r="Q392" s="121"/>
      <c r="R392" s="121"/>
      <c r="T392" s="122">
        <v>1</v>
      </c>
      <c r="U392" s="123" t="s">
        <v>806</v>
      </c>
      <c r="V392" s="123" t="s">
        <v>814</v>
      </c>
    </row>
    <row r="393" spans="1:22">
      <c r="A393" s="119" t="s">
        <v>732</v>
      </c>
      <c r="B393" s="119" t="s">
        <v>266</v>
      </c>
      <c r="C393" s="120" t="s">
        <v>595</v>
      </c>
      <c r="D393" s="120">
        <v>2021</v>
      </c>
      <c r="E393" s="120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>
        <f t="shared" si="25"/>
        <v>0</v>
      </c>
      <c r="P393" s="121"/>
      <c r="Q393" s="121"/>
      <c r="R393" s="121"/>
      <c r="T393" s="122">
        <v>2</v>
      </c>
      <c r="U393" s="123" t="s">
        <v>806</v>
      </c>
      <c r="V393" s="123" t="s">
        <v>814</v>
      </c>
    </row>
    <row r="394" spans="1:22">
      <c r="A394" s="119" t="s">
        <v>732</v>
      </c>
      <c r="B394" s="119" t="s">
        <v>266</v>
      </c>
      <c r="C394" s="125" t="s">
        <v>700</v>
      </c>
      <c r="D394" s="120">
        <v>2021</v>
      </c>
      <c r="E394" s="120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>
        <f t="shared" si="25"/>
        <v>0</v>
      </c>
      <c r="P394" s="121"/>
      <c r="Q394" s="121"/>
      <c r="R394" s="121"/>
      <c r="U394" s="123" t="s">
        <v>806</v>
      </c>
      <c r="V394" s="123" t="s">
        <v>814</v>
      </c>
    </row>
    <row r="395" spans="1:22">
      <c r="A395" s="119" t="s">
        <v>732</v>
      </c>
      <c r="B395" s="119" t="s">
        <v>266</v>
      </c>
      <c r="C395" s="120" t="s">
        <v>596</v>
      </c>
      <c r="D395" s="120">
        <v>2021</v>
      </c>
      <c r="E395" s="120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>
        <f t="shared" ref="O395:O426" si="27">F395+H395</f>
        <v>0</v>
      </c>
      <c r="P395" s="121"/>
      <c r="Q395" s="121"/>
      <c r="R395" s="121"/>
      <c r="T395" s="122">
        <v>3</v>
      </c>
      <c r="U395" s="123" t="s">
        <v>806</v>
      </c>
      <c r="V395" s="123" t="s">
        <v>814</v>
      </c>
    </row>
    <row r="396" spans="1:22">
      <c r="A396" s="119" t="s">
        <v>732</v>
      </c>
      <c r="B396" s="119" t="s">
        <v>266</v>
      </c>
      <c r="C396" s="120" t="s">
        <v>597</v>
      </c>
      <c r="D396" s="120">
        <v>2021</v>
      </c>
      <c r="E396" s="120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>
        <f t="shared" si="27"/>
        <v>0</v>
      </c>
      <c r="P396" s="121"/>
      <c r="Q396" s="121"/>
      <c r="R396" s="121"/>
      <c r="T396" s="122">
        <v>4</v>
      </c>
      <c r="U396" s="123" t="s">
        <v>806</v>
      </c>
      <c r="V396" s="123" t="s">
        <v>814</v>
      </c>
    </row>
    <row r="397" spans="1:22">
      <c r="A397" s="119" t="s">
        <v>732</v>
      </c>
      <c r="B397" s="119" t="s">
        <v>266</v>
      </c>
      <c r="C397" s="120" t="s">
        <v>600</v>
      </c>
      <c r="D397" s="120">
        <v>2021</v>
      </c>
      <c r="E397" s="120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>
        <f t="shared" si="27"/>
        <v>0</v>
      </c>
      <c r="P397" s="121"/>
      <c r="Q397" s="121"/>
      <c r="R397" s="121"/>
      <c r="T397" s="122">
        <v>5</v>
      </c>
      <c r="U397" s="123" t="s">
        <v>806</v>
      </c>
      <c r="V397" s="123" t="s">
        <v>814</v>
      </c>
    </row>
    <row r="398" spans="1:22">
      <c r="A398" s="119" t="s">
        <v>733</v>
      </c>
      <c r="B398" s="119" t="s">
        <v>267</v>
      </c>
      <c r="C398" s="120" t="s">
        <v>594</v>
      </c>
      <c r="D398" s="120">
        <v>2021</v>
      </c>
      <c r="E398" s="120"/>
      <c r="F398" s="121"/>
      <c r="G398" s="121"/>
      <c r="H398" s="121">
        <f>I398+J398</f>
        <v>0.44346500000000005</v>
      </c>
      <c r="I398" s="121"/>
      <c r="J398" s="121">
        <f>8.063*0.055</f>
        <v>0.44346500000000005</v>
      </c>
      <c r="K398" s="121"/>
      <c r="L398" s="121"/>
      <c r="M398" s="121"/>
      <c r="N398" s="121"/>
      <c r="O398" s="121">
        <f t="shared" si="27"/>
        <v>0.44346500000000005</v>
      </c>
      <c r="P398" s="121"/>
      <c r="Q398" s="121"/>
      <c r="R398" s="121"/>
      <c r="T398" s="122">
        <v>1</v>
      </c>
      <c r="U398" s="123" t="s">
        <v>809</v>
      </c>
      <c r="V398" s="123" t="s">
        <v>815</v>
      </c>
    </row>
    <row r="399" spans="1:22">
      <c r="A399" s="119" t="s">
        <v>733</v>
      </c>
      <c r="B399" s="119" t="s">
        <v>267</v>
      </c>
      <c r="C399" s="120" t="s">
        <v>595</v>
      </c>
      <c r="D399" s="120">
        <v>2021</v>
      </c>
      <c r="E399" s="120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>
        <f t="shared" si="27"/>
        <v>0</v>
      </c>
      <c r="P399" s="121"/>
      <c r="Q399" s="121"/>
      <c r="R399" s="121"/>
      <c r="T399" s="122">
        <v>2</v>
      </c>
      <c r="U399" s="123" t="s">
        <v>809</v>
      </c>
      <c r="V399" s="123" t="s">
        <v>815</v>
      </c>
    </row>
    <row r="400" spans="1:22">
      <c r="A400" s="119" t="s">
        <v>733</v>
      </c>
      <c r="B400" s="119" t="s">
        <v>267</v>
      </c>
      <c r="C400" s="120" t="s">
        <v>596</v>
      </c>
      <c r="D400" s="120">
        <v>2021</v>
      </c>
      <c r="E400" s="120"/>
      <c r="F400" s="121"/>
      <c r="G400" s="121"/>
      <c r="H400" s="134">
        <f>I400+J400</f>
        <v>3.6205000000000005E-4</v>
      </c>
      <c r="I400" s="121"/>
      <c r="J400" s="134">
        <f>0.00557*0.065</f>
        <v>3.6205000000000005E-4</v>
      </c>
      <c r="K400" s="121"/>
      <c r="L400" s="121"/>
      <c r="M400" s="121"/>
      <c r="N400" s="121"/>
      <c r="O400" s="121">
        <f t="shared" si="27"/>
        <v>3.6205000000000005E-4</v>
      </c>
      <c r="P400" s="121"/>
      <c r="Q400" s="121"/>
      <c r="R400" s="121"/>
      <c r="T400" s="122">
        <v>3</v>
      </c>
      <c r="U400" s="123" t="s">
        <v>809</v>
      </c>
      <c r="V400" s="123" t="s">
        <v>815</v>
      </c>
    </row>
    <row r="401" spans="1:22">
      <c r="A401" s="119" t="s">
        <v>733</v>
      </c>
      <c r="B401" s="119" t="s">
        <v>267</v>
      </c>
      <c r="C401" s="120" t="s">
        <v>597</v>
      </c>
      <c r="D401" s="120">
        <v>2021</v>
      </c>
      <c r="E401" s="120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>
        <f t="shared" si="27"/>
        <v>0</v>
      </c>
      <c r="P401" s="121"/>
      <c r="Q401" s="121"/>
      <c r="R401" s="121"/>
      <c r="T401" s="122">
        <v>4</v>
      </c>
      <c r="U401" s="123" t="s">
        <v>809</v>
      </c>
      <c r="V401" s="123" t="s">
        <v>815</v>
      </c>
    </row>
    <row r="402" spans="1:22">
      <c r="A402" s="119" t="s">
        <v>733</v>
      </c>
      <c r="B402" s="119" t="s">
        <v>267</v>
      </c>
      <c r="C402" s="120" t="s">
        <v>600</v>
      </c>
      <c r="D402" s="120">
        <v>2021</v>
      </c>
      <c r="E402" s="120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>
        <f t="shared" si="27"/>
        <v>0</v>
      </c>
      <c r="P402" s="121"/>
      <c r="Q402" s="121"/>
      <c r="R402" s="121"/>
      <c r="T402" s="122">
        <v>5</v>
      </c>
      <c r="U402" s="123" t="s">
        <v>809</v>
      </c>
      <c r="V402" s="123" t="s">
        <v>815</v>
      </c>
    </row>
    <row r="403" spans="1:22">
      <c r="A403" s="119" t="s">
        <v>734</v>
      </c>
      <c r="B403" s="119" t="s">
        <v>446</v>
      </c>
      <c r="C403" s="120" t="s">
        <v>594</v>
      </c>
      <c r="D403" s="120">
        <v>2021</v>
      </c>
      <c r="E403" s="120"/>
      <c r="F403" s="121"/>
      <c r="G403" s="121"/>
      <c r="H403" s="121">
        <f>I403+J403</f>
        <v>1.4377</v>
      </c>
      <c r="I403" s="121"/>
      <c r="J403" s="121">
        <f>26.14*0.055</f>
        <v>1.4377</v>
      </c>
      <c r="K403" s="121"/>
      <c r="L403" s="121"/>
      <c r="M403" s="121"/>
      <c r="N403" s="121"/>
      <c r="O403" s="121">
        <f t="shared" si="27"/>
        <v>1.4377</v>
      </c>
      <c r="P403" s="121"/>
      <c r="Q403" s="121"/>
      <c r="R403" s="121"/>
      <c r="T403" s="122">
        <v>1</v>
      </c>
      <c r="U403" s="123" t="s">
        <v>809</v>
      </c>
      <c r="V403" s="123" t="s">
        <v>815</v>
      </c>
    </row>
    <row r="404" spans="1:22">
      <c r="A404" s="119" t="s">
        <v>734</v>
      </c>
      <c r="B404" s="119" t="s">
        <v>446</v>
      </c>
      <c r="C404" s="120" t="s">
        <v>595</v>
      </c>
      <c r="D404" s="120">
        <v>2021</v>
      </c>
      <c r="E404" s="120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>
        <f t="shared" si="27"/>
        <v>0</v>
      </c>
      <c r="P404" s="121"/>
      <c r="Q404" s="121"/>
      <c r="R404" s="121"/>
      <c r="T404" s="122">
        <v>2</v>
      </c>
      <c r="U404" s="123" t="s">
        <v>809</v>
      </c>
      <c r="V404" s="123" t="s">
        <v>815</v>
      </c>
    </row>
    <row r="405" spans="1:22">
      <c r="A405" s="119" t="s">
        <v>734</v>
      </c>
      <c r="B405" s="119" t="s">
        <v>446</v>
      </c>
      <c r="C405" s="120" t="s">
        <v>596</v>
      </c>
      <c r="D405" s="120">
        <v>2021</v>
      </c>
      <c r="E405" s="120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>
        <f t="shared" si="27"/>
        <v>0</v>
      </c>
      <c r="P405" s="121"/>
      <c r="Q405" s="121"/>
      <c r="R405" s="121"/>
      <c r="T405" s="122">
        <v>3</v>
      </c>
      <c r="U405" s="123" t="s">
        <v>809</v>
      </c>
      <c r="V405" s="123" t="s">
        <v>815</v>
      </c>
    </row>
    <row r="406" spans="1:22">
      <c r="A406" s="119" t="s">
        <v>734</v>
      </c>
      <c r="B406" s="119" t="s">
        <v>446</v>
      </c>
      <c r="C406" s="120" t="s">
        <v>597</v>
      </c>
      <c r="D406" s="120">
        <v>2021</v>
      </c>
      <c r="E406" s="120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>
        <f t="shared" si="27"/>
        <v>0</v>
      </c>
      <c r="P406" s="121"/>
      <c r="Q406" s="121"/>
      <c r="R406" s="121"/>
      <c r="T406" s="122">
        <v>4</v>
      </c>
      <c r="U406" s="123" t="s">
        <v>809</v>
      </c>
      <c r="V406" s="123" t="s">
        <v>815</v>
      </c>
    </row>
    <row r="407" spans="1:22">
      <c r="A407" s="119" t="s">
        <v>734</v>
      </c>
      <c r="B407" s="119" t="s">
        <v>446</v>
      </c>
      <c r="C407" s="120" t="s">
        <v>600</v>
      </c>
      <c r="D407" s="120">
        <v>2021</v>
      </c>
      <c r="E407" s="120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>
        <f t="shared" si="27"/>
        <v>0</v>
      </c>
      <c r="P407" s="121"/>
      <c r="Q407" s="121"/>
      <c r="R407" s="121"/>
      <c r="T407" s="122">
        <v>5</v>
      </c>
      <c r="U407" s="123" t="s">
        <v>809</v>
      </c>
      <c r="V407" s="123" t="s">
        <v>815</v>
      </c>
    </row>
    <row r="408" spans="1:22">
      <c r="A408" s="119" t="s">
        <v>464</v>
      </c>
      <c r="B408" s="119" t="s">
        <v>445</v>
      </c>
      <c r="C408" s="120" t="s">
        <v>594</v>
      </c>
      <c r="D408" s="120">
        <v>2021</v>
      </c>
      <c r="E408" s="120"/>
      <c r="F408" s="121"/>
      <c r="G408" s="121"/>
      <c r="H408" s="121">
        <f>I408+J408</f>
        <v>47.951750000000004</v>
      </c>
      <c r="I408" s="121"/>
      <c r="J408" s="121">
        <f>871.85*0.055</f>
        <v>47.951750000000004</v>
      </c>
      <c r="K408" s="121"/>
      <c r="L408" s="121"/>
      <c r="M408" s="121"/>
      <c r="N408" s="121"/>
      <c r="O408" s="121">
        <f t="shared" si="27"/>
        <v>47.951750000000004</v>
      </c>
      <c r="P408" s="121"/>
      <c r="Q408" s="121"/>
      <c r="R408" s="121"/>
      <c r="T408" s="122">
        <v>1</v>
      </c>
      <c r="U408" s="123" t="s">
        <v>809</v>
      </c>
      <c r="V408" s="123" t="s">
        <v>815</v>
      </c>
    </row>
    <row r="409" spans="1:22">
      <c r="A409" s="119" t="s">
        <v>464</v>
      </c>
      <c r="B409" s="119" t="s">
        <v>445</v>
      </c>
      <c r="C409" s="120" t="s">
        <v>595</v>
      </c>
      <c r="D409" s="120">
        <v>2021</v>
      </c>
      <c r="E409" s="120"/>
      <c r="F409" s="121">
        <f>245.91*0.11</f>
        <v>27.0501</v>
      </c>
      <c r="G409" s="121"/>
      <c r="H409" s="121"/>
      <c r="I409" s="121"/>
      <c r="J409" s="121"/>
      <c r="K409" s="121"/>
      <c r="L409" s="121"/>
      <c r="M409" s="121"/>
      <c r="N409" s="121"/>
      <c r="O409" s="121">
        <f>F409+H409</f>
        <v>27.0501</v>
      </c>
      <c r="P409" s="121"/>
      <c r="Q409" s="121"/>
      <c r="R409" s="121"/>
      <c r="T409" s="122">
        <v>2</v>
      </c>
      <c r="U409" s="123" t="s">
        <v>809</v>
      </c>
      <c r="V409" s="123" t="s">
        <v>815</v>
      </c>
    </row>
    <row r="410" spans="1:22">
      <c r="A410" s="119" t="s">
        <v>464</v>
      </c>
      <c r="B410" s="119" t="s">
        <v>445</v>
      </c>
      <c r="C410" s="120" t="s">
        <v>596</v>
      </c>
      <c r="D410" s="120">
        <v>2021</v>
      </c>
      <c r="E410" s="120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>
        <f t="shared" si="27"/>
        <v>0</v>
      </c>
      <c r="P410" s="121"/>
      <c r="Q410" s="121"/>
      <c r="R410" s="121"/>
      <c r="T410" s="122">
        <v>3</v>
      </c>
      <c r="U410" s="123" t="s">
        <v>809</v>
      </c>
      <c r="V410" s="123" t="s">
        <v>815</v>
      </c>
    </row>
    <row r="411" spans="1:22">
      <c r="A411" s="119" t="s">
        <v>464</v>
      </c>
      <c r="B411" s="119" t="s">
        <v>445</v>
      </c>
      <c r="C411" s="120" t="s">
        <v>597</v>
      </c>
      <c r="D411" s="120">
        <v>2021</v>
      </c>
      <c r="E411" s="120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>
        <f t="shared" si="27"/>
        <v>0</v>
      </c>
      <c r="P411" s="121"/>
      <c r="Q411" s="121"/>
      <c r="R411" s="121"/>
      <c r="T411" s="122">
        <v>4</v>
      </c>
      <c r="U411" s="123" t="s">
        <v>809</v>
      </c>
      <c r="V411" s="123" t="s">
        <v>815</v>
      </c>
    </row>
    <row r="412" spans="1:22">
      <c r="A412" s="119" t="s">
        <v>464</v>
      </c>
      <c r="B412" s="119" t="s">
        <v>445</v>
      </c>
      <c r="C412" s="120" t="s">
        <v>600</v>
      </c>
      <c r="D412" s="120">
        <v>2021</v>
      </c>
      <c r="E412" s="120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>
        <f t="shared" si="27"/>
        <v>0</v>
      </c>
      <c r="P412" s="121"/>
      <c r="Q412" s="121"/>
      <c r="R412" s="121"/>
      <c r="T412" s="122">
        <v>5</v>
      </c>
      <c r="U412" s="123" t="s">
        <v>809</v>
      </c>
      <c r="V412" s="123" t="s">
        <v>815</v>
      </c>
    </row>
    <row r="413" spans="1:22">
      <c r="A413" s="119" t="s">
        <v>735</v>
      </c>
      <c r="B413" s="119" t="s">
        <v>447</v>
      </c>
      <c r="C413" s="120" t="s">
        <v>594</v>
      </c>
      <c r="D413" s="120">
        <v>2021</v>
      </c>
      <c r="E413" s="120"/>
      <c r="F413" s="121"/>
      <c r="G413" s="121"/>
      <c r="H413" s="121">
        <f>I413+J413</f>
        <v>9.4600000000000009</v>
      </c>
      <c r="I413" s="121"/>
      <c r="J413" s="121">
        <f>172*0.055</f>
        <v>9.4600000000000009</v>
      </c>
      <c r="K413" s="121"/>
      <c r="L413" s="121"/>
      <c r="M413" s="121"/>
      <c r="N413" s="121"/>
      <c r="O413" s="121">
        <f t="shared" si="27"/>
        <v>9.4600000000000009</v>
      </c>
      <c r="P413" s="121"/>
      <c r="Q413" s="121"/>
      <c r="R413" s="121"/>
      <c r="T413" s="122">
        <v>1</v>
      </c>
      <c r="U413" s="123" t="s">
        <v>809</v>
      </c>
      <c r="V413" s="123" t="s">
        <v>810</v>
      </c>
    </row>
    <row r="414" spans="1:22">
      <c r="A414" s="119" t="s">
        <v>735</v>
      </c>
      <c r="B414" s="119" t="s">
        <v>447</v>
      </c>
      <c r="C414" s="120" t="s">
        <v>595</v>
      </c>
      <c r="D414" s="120">
        <v>2021</v>
      </c>
      <c r="E414" s="120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>
        <f t="shared" si="27"/>
        <v>0</v>
      </c>
      <c r="P414" s="121"/>
      <c r="Q414" s="121"/>
      <c r="R414" s="121"/>
      <c r="T414" s="122">
        <v>2</v>
      </c>
      <c r="U414" s="123" t="s">
        <v>809</v>
      </c>
      <c r="V414" s="123" t="s">
        <v>810</v>
      </c>
    </row>
    <row r="415" spans="1:22">
      <c r="A415" s="119" t="s">
        <v>735</v>
      </c>
      <c r="B415" s="119" t="s">
        <v>447</v>
      </c>
      <c r="C415" s="120" t="s">
        <v>596</v>
      </c>
      <c r="D415" s="120">
        <v>2021</v>
      </c>
      <c r="E415" s="120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>
        <f t="shared" si="27"/>
        <v>0</v>
      </c>
      <c r="P415" s="121"/>
      <c r="Q415" s="121"/>
      <c r="R415" s="121"/>
      <c r="T415" s="122">
        <v>3</v>
      </c>
      <c r="U415" s="123" t="s">
        <v>809</v>
      </c>
      <c r="V415" s="123" t="s">
        <v>810</v>
      </c>
    </row>
    <row r="416" spans="1:22">
      <c r="A416" s="119" t="s">
        <v>735</v>
      </c>
      <c r="B416" s="119" t="s">
        <v>447</v>
      </c>
      <c r="C416" s="120" t="s">
        <v>597</v>
      </c>
      <c r="D416" s="120">
        <v>2021</v>
      </c>
      <c r="E416" s="120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>
        <f t="shared" si="27"/>
        <v>0</v>
      </c>
      <c r="P416" s="121"/>
      <c r="Q416" s="121"/>
      <c r="R416" s="121"/>
      <c r="T416" s="122">
        <v>4</v>
      </c>
      <c r="U416" s="123" t="s">
        <v>809</v>
      </c>
      <c r="V416" s="123" t="s">
        <v>810</v>
      </c>
    </row>
    <row r="417" spans="1:22">
      <c r="A417" s="119" t="s">
        <v>735</v>
      </c>
      <c r="B417" s="119" t="s">
        <v>447</v>
      </c>
      <c r="C417" s="120" t="s">
        <v>600</v>
      </c>
      <c r="D417" s="120">
        <v>2021</v>
      </c>
      <c r="E417" s="120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>
        <f t="shared" si="27"/>
        <v>0</v>
      </c>
      <c r="P417" s="121"/>
      <c r="Q417" s="121"/>
      <c r="R417" s="121"/>
      <c r="T417" s="122">
        <v>5</v>
      </c>
      <c r="U417" s="123" t="s">
        <v>809</v>
      </c>
      <c r="V417" s="123" t="s">
        <v>810</v>
      </c>
    </row>
    <row r="418" spans="1:22">
      <c r="A418" s="119" t="s">
        <v>679</v>
      </c>
      <c r="B418" s="119" t="s">
        <v>111</v>
      </c>
      <c r="C418" s="120" t="s">
        <v>594</v>
      </c>
      <c r="D418" s="120">
        <v>2021</v>
      </c>
      <c r="E418" s="120"/>
      <c r="F418" s="121"/>
      <c r="G418" s="121"/>
      <c r="H418" s="121">
        <f>I418+J418</f>
        <v>2.8160000000000003</v>
      </c>
      <c r="I418" s="121"/>
      <c r="J418" s="121">
        <f>51.2*0.055</f>
        <v>2.8160000000000003</v>
      </c>
      <c r="K418" s="121"/>
      <c r="L418" s="121"/>
      <c r="M418" s="121"/>
      <c r="N418" s="121"/>
      <c r="O418" s="121">
        <f t="shared" si="27"/>
        <v>2.8160000000000003</v>
      </c>
      <c r="P418" s="121">
        <f>51.2*0.055</f>
        <v>2.8160000000000003</v>
      </c>
      <c r="Q418" s="121"/>
      <c r="R418" s="121"/>
      <c r="T418" s="122">
        <v>1</v>
      </c>
      <c r="U418" s="123" t="s">
        <v>809</v>
      </c>
      <c r="V418" s="123" t="s">
        <v>815</v>
      </c>
    </row>
    <row r="419" spans="1:22">
      <c r="A419" s="119" t="s">
        <v>679</v>
      </c>
      <c r="B419" s="119" t="s">
        <v>111</v>
      </c>
      <c r="C419" s="120" t="s">
        <v>595</v>
      </c>
      <c r="D419" s="120">
        <v>2021</v>
      </c>
      <c r="E419" s="120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>
        <f t="shared" si="27"/>
        <v>0</v>
      </c>
      <c r="P419" s="121"/>
      <c r="Q419" s="121"/>
      <c r="R419" s="121"/>
      <c r="T419" s="122">
        <v>2</v>
      </c>
      <c r="U419" s="123" t="s">
        <v>809</v>
      </c>
      <c r="V419" s="123" t="s">
        <v>815</v>
      </c>
    </row>
    <row r="420" spans="1:22">
      <c r="A420" s="119" t="s">
        <v>679</v>
      </c>
      <c r="B420" s="119" t="s">
        <v>111</v>
      </c>
      <c r="C420" s="120" t="s">
        <v>596</v>
      </c>
      <c r="D420" s="120">
        <v>2021</v>
      </c>
      <c r="E420" s="120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>
        <f t="shared" si="27"/>
        <v>0</v>
      </c>
      <c r="P420" s="121"/>
      <c r="Q420" s="121"/>
      <c r="R420" s="121"/>
      <c r="T420" s="122">
        <v>3</v>
      </c>
      <c r="U420" s="123" t="s">
        <v>809</v>
      </c>
      <c r="V420" s="123" t="s">
        <v>815</v>
      </c>
    </row>
    <row r="421" spans="1:22">
      <c r="A421" s="119" t="s">
        <v>679</v>
      </c>
      <c r="B421" s="119" t="s">
        <v>111</v>
      </c>
      <c r="C421" s="120" t="s">
        <v>597</v>
      </c>
      <c r="D421" s="120">
        <v>2021</v>
      </c>
      <c r="E421" s="120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>
        <f t="shared" si="27"/>
        <v>0</v>
      </c>
      <c r="P421" s="121"/>
      <c r="Q421" s="121"/>
      <c r="R421" s="121"/>
      <c r="T421" s="122">
        <v>4</v>
      </c>
      <c r="U421" s="123" t="s">
        <v>809</v>
      </c>
      <c r="V421" s="123" t="s">
        <v>815</v>
      </c>
    </row>
    <row r="422" spans="1:22">
      <c r="A422" s="119" t="s">
        <v>679</v>
      </c>
      <c r="B422" s="119" t="s">
        <v>111</v>
      </c>
      <c r="C422" s="120" t="s">
        <v>600</v>
      </c>
      <c r="D422" s="120">
        <v>2021</v>
      </c>
      <c r="E422" s="120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>
        <f t="shared" si="27"/>
        <v>0</v>
      </c>
      <c r="P422" s="121"/>
      <c r="Q422" s="121"/>
      <c r="R422" s="121"/>
      <c r="T422" s="122">
        <v>5</v>
      </c>
      <c r="U422" s="123" t="s">
        <v>809</v>
      </c>
      <c r="V422" s="123" t="s">
        <v>815</v>
      </c>
    </row>
    <row r="423" spans="1:22">
      <c r="A423" s="119" t="s">
        <v>736</v>
      </c>
      <c r="B423" s="119" t="s">
        <v>112</v>
      </c>
      <c r="C423" s="120" t="s">
        <v>594</v>
      </c>
      <c r="D423" s="120">
        <v>2021</v>
      </c>
      <c r="E423" s="120"/>
      <c r="F423" s="121"/>
      <c r="G423" s="121"/>
      <c r="H423" s="121">
        <f>I423+J423</f>
        <v>166.14856499999999</v>
      </c>
      <c r="I423" s="121"/>
      <c r="J423" s="121">
        <f>3020.883*0.055</f>
        <v>166.14856499999999</v>
      </c>
      <c r="K423" s="121"/>
      <c r="L423" s="121"/>
      <c r="M423" s="121"/>
      <c r="N423" s="121"/>
      <c r="O423" s="121">
        <f t="shared" si="27"/>
        <v>166.14856499999999</v>
      </c>
      <c r="P423" s="121">
        <f>3020.951*0.055</f>
        <v>166.15230500000001</v>
      </c>
      <c r="Q423" s="128">
        <f>0.068*0.055</f>
        <v>3.7400000000000003E-3</v>
      </c>
      <c r="R423" s="121"/>
      <c r="T423" s="122">
        <v>1</v>
      </c>
      <c r="U423" s="123" t="s">
        <v>806</v>
      </c>
      <c r="V423" s="123" t="s">
        <v>816</v>
      </c>
    </row>
    <row r="424" spans="1:22">
      <c r="A424" s="119" t="s">
        <v>736</v>
      </c>
      <c r="B424" s="119" t="s">
        <v>112</v>
      </c>
      <c r="C424" s="120" t="s">
        <v>595</v>
      </c>
      <c r="D424" s="120">
        <v>2021</v>
      </c>
      <c r="E424" s="120"/>
      <c r="F424" s="121">
        <f>126.724*0.11</f>
        <v>13.939640000000001</v>
      </c>
      <c r="G424" s="121"/>
      <c r="H424" s="121"/>
      <c r="I424" s="121"/>
      <c r="J424" s="121"/>
      <c r="K424" s="121">
        <f>8.5*0.11</f>
        <v>0.93500000000000005</v>
      </c>
      <c r="L424" s="121"/>
      <c r="M424" s="121"/>
      <c r="N424" s="121"/>
      <c r="O424" s="121">
        <f>F424+H424+K424</f>
        <v>14.874640000000001</v>
      </c>
      <c r="P424" s="121">
        <f>135.306*0.11</f>
        <v>14.883660000000001</v>
      </c>
      <c r="Q424" s="121">
        <f>0.082*0.11</f>
        <v>9.0200000000000002E-3</v>
      </c>
      <c r="R424" s="121"/>
      <c r="T424" s="122">
        <v>2</v>
      </c>
      <c r="U424" s="123" t="s">
        <v>806</v>
      </c>
      <c r="V424" s="123" t="s">
        <v>816</v>
      </c>
    </row>
    <row r="425" spans="1:22" ht="9.6" customHeight="1">
      <c r="A425" s="119" t="s">
        <v>736</v>
      </c>
      <c r="B425" s="119" t="s">
        <v>112</v>
      </c>
      <c r="C425" s="120" t="s">
        <v>596</v>
      </c>
      <c r="D425" s="120">
        <v>2021</v>
      </c>
      <c r="E425" s="120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>
        <f t="shared" si="27"/>
        <v>0</v>
      </c>
      <c r="P425" s="121"/>
      <c r="Q425" s="121"/>
      <c r="R425" s="121"/>
      <c r="T425" s="122">
        <v>3</v>
      </c>
      <c r="U425" s="123" t="s">
        <v>806</v>
      </c>
      <c r="V425" s="123" t="s">
        <v>816</v>
      </c>
    </row>
    <row r="426" spans="1:22">
      <c r="A426" s="119" t="s">
        <v>736</v>
      </c>
      <c r="B426" s="119" t="s">
        <v>112</v>
      </c>
      <c r="C426" s="120" t="s">
        <v>597</v>
      </c>
      <c r="D426" s="120">
        <v>2021</v>
      </c>
      <c r="E426" s="120"/>
      <c r="F426" s="121"/>
      <c r="G426" s="121"/>
      <c r="H426" s="121">
        <f>I426+J426</f>
        <v>0.54115999999999997</v>
      </c>
      <c r="I426" s="121"/>
      <c r="J426" s="121">
        <f>27.058*0.02</f>
        <v>0.54115999999999997</v>
      </c>
      <c r="K426" s="121"/>
      <c r="L426" s="121"/>
      <c r="M426" s="121"/>
      <c r="N426" s="121"/>
      <c r="O426" s="121">
        <f t="shared" si="27"/>
        <v>0.54115999999999997</v>
      </c>
      <c r="P426" s="121">
        <f>27.058*0.02</f>
        <v>0.54115999999999997</v>
      </c>
      <c r="Q426" s="121"/>
      <c r="R426" s="121"/>
      <c r="T426" s="122">
        <v>4</v>
      </c>
      <c r="U426" s="123" t="s">
        <v>806</v>
      </c>
      <c r="V426" s="123" t="s">
        <v>816</v>
      </c>
    </row>
    <row r="427" spans="1:22">
      <c r="A427" s="119" t="s">
        <v>736</v>
      </c>
      <c r="B427" s="119" t="s">
        <v>112</v>
      </c>
      <c r="C427" s="120" t="s">
        <v>600</v>
      </c>
      <c r="D427" s="120">
        <v>2021</v>
      </c>
      <c r="E427" s="120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>
        <f t="shared" ref="O427:O457" si="28">F427+H427</f>
        <v>0</v>
      </c>
      <c r="P427" s="121"/>
      <c r="Q427" s="121"/>
      <c r="R427" s="121"/>
      <c r="T427" s="122">
        <v>5</v>
      </c>
      <c r="U427" s="123" t="s">
        <v>806</v>
      </c>
      <c r="V427" s="123" t="s">
        <v>816</v>
      </c>
    </row>
    <row r="428" spans="1:22">
      <c r="A428" s="119" t="s">
        <v>736</v>
      </c>
      <c r="B428" s="119" t="s">
        <v>112</v>
      </c>
      <c r="C428" s="120" t="s">
        <v>246</v>
      </c>
      <c r="D428" s="120">
        <v>2021</v>
      </c>
      <c r="E428" s="120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>
        <f t="shared" si="28"/>
        <v>0</v>
      </c>
      <c r="P428" s="121"/>
      <c r="Q428" s="121"/>
      <c r="R428" s="121"/>
      <c r="U428" s="123" t="s">
        <v>806</v>
      </c>
      <c r="V428" s="123" t="s">
        <v>816</v>
      </c>
    </row>
    <row r="429" spans="1:22">
      <c r="A429" s="119" t="s">
        <v>736</v>
      </c>
      <c r="B429" s="119" t="s">
        <v>112</v>
      </c>
      <c r="C429" s="120" t="s">
        <v>643</v>
      </c>
      <c r="D429" s="120">
        <v>2021</v>
      </c>
      <c r="E429" s="120"/>
      <c r="F429" s="121"/>
      <c r="G429" s="121"/>
      <c r="H429" s="121"/>
      <c r="I429" s="121"/>
      <c r="J429" s="121"/>
      <c r="K429" s="128"/>
      <c r="L429" s="121"/>
      <c r="M429" s="121"/>
      <c r="N429" s="121"/>
      <c r="O429" s="128">
        <f>K429</f>
        <v>0</v>
      </c>
      <c r="P429" s="128"/>
      <c r="Q429" s="121"/>
      <c r="R429" s="121"/>
      <c r="U429" s="123" t="s">
        <v>806</v>
      </c>
      <c r="V429" s="123" t="s">
        <v>816</v>
      </c>
    </row>
    <row r="430" spans="1:22">
      <c r="A430" s="119" t="s">
        <v>736</v>
      </c>
      <c r="B430" s="119" t="s">
        <v>112</v>
      </c>
      <c r="C430" s="125" t="s">
        <v>405</v>
      </c>
      <c r="D430" s="120">
        <v>2021</v>
      </c>
      <c r="E430" s="120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>
        <f t="shared" ref="O430:O431" si="29">K430</f>
        <v>0</v>
      </c>
      <c r="P430" s="121"/>
      <c r="Q430" s="121"/>
      <c r="R430" s="121"/>
    </row>
    <row r="431" spans="1:22">
      <c r="A431" s="119" t="s">
        <v>736</v>
      </c>
      <c r="B431" s="119" t="s">
        <v>112</v>
      </c>
      <c r="C431" s="125" t="s">
        <v>406</v>
      </c>
      <c r="D431" s="120">
        <v>2021</v>
      </c>
      <c r="E431" s="120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>
        <f t="shared" si="29"/>
        <v>0</v>
      </c>
      <c r="P431" s="121"/>
      <c r="Q431" s="121"/>
      <c r="R431" s="121"/>
    </row>
    <row r="432" spans="1:22">
      <c r="A432" s="119" t="s">
        <v>736</v>
      </c>
      <c r="B432" s="119" t="s">
        <v>112</v>
      </c>
      <c r="C432" s="125" t="s">
        <v>361</v>
      </c>
      <c r="D432" s="120">
        <v>2021</v>
      </c>
      <c r="E432" s="120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>
        <f t="shared" si="28"/>
        <v>0</v>
      </c>
      <c r="P432" s="121"/>
      <c r="Q432" s="121"/>
      <c r="R432" s="121"/>
      <c r="U432" s="123" t="s">
        <v>806</v>
      </c>
      <c r="V432" s="123" t="s">
        <v>816</v>
      </c>
    </row>
    <row r="433" spans="1:22">
      <c r="A433" s="119" t="s">
        <v>676</v>
      </c>
      <c r="B433" s="119" t="s">
        <v>113</v>
      </c>
      <c r="C433" s="120" t="s">
        <v>594</v>
      </c>
      <c r="D433" s="120">
        <v>2021</v>
      </c>
      <c r="E433" s="120"/>
      <c r="F433" s="121"/>
      <c r="G433" s="121"/>
      <c r="H433" s="121">
        <f>I433+J433</f>
        <v>9.2333999999999999E-2</v>
      </c>
      <c r="I433" s="121"/>
      <c r="J433" s="121">
        <f>1.6788*0.055</f>
        <v>9.2333999999999999E-2</v>
      </c>
      <c r="K433" s="121"/>
      <c r="L433" s="121"/>
      <c r="M433" s="121"/>
      <c r="N433" s="121"/>
      <c r="O433" s="121">
        <f t="shared" si="28"/>
        <v>9.2333999999999999E-2</v>
      </c>
      <c r="P433" s="121">
        <f>1.6788*0.055</f>
        <v>9.2333999999999999E-2</v>
      </c>
      <c r="Q433" s="121"/>
      <c r="R433" s="121"/>
      <c r="T433" s="122">
        <v>1</v>
      </c>
      <c r="U433" s="123" t="s">
        <v>806</v>
      </c>
      <c r="V433" s="123" t="s">
        <v>807</v>
      </c>
    </row>
    <row r="434" spans="1:22">
      <c r="A434" s="119" t="s">
        <v>676</v>
      </c>
      <c r="B434" s="119" t="s">
        <v>113</v>
      </c>
      <c r="C434" s="120" t="s">
        <v>595</v>
      </c>
      <c r="D434" s="120">
        <v>2021</v>
      </c>
      <c r="E434" s="120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>
        <f t="shared" si="28"/>
        <v>0</v>
      </c>
      <c r="P434" s="121"/>
      <c r="Q434" s="121"/>
      <c r="R434" s="121"/>
      <c r="T434" s="122">
        <v>2</v>
      </c>
      <c r="U434" s="123" t="s">
        <v>806</v>
      </c>
      <c r="V434" s="123" t="s">
        <v>807</v>
      </c>
    </row>
    <row r="435" spans="1:22">
      <c r="A435" s="119" t="s">
        <v>676</v>
      </c>
      <c r="B435" s="119" t="s">
        <v>113</v>
      </c>
      <c r="C435" s="120" t="s">
        <v>596</v>
      </c>
      <c r="D435" s="120">
        <v>2021</v>
      </c>
      <c r="E435" s="120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>
        <f t="shared" si="28"/>
        <v>0</v>
      </c>
      <c r="P435" s="121"/>
      <c r="Q435" s="121"/>
      <c r="R435" s="121"/>
      <c r="T435" s="122">
        <v>3</v>
      </c>
      <c r="U435" s="123" t="s">
        <v>806</v>
      </c>
      <c r="V435" s="123" t="s">
        <v>807</v>
      </c>
    </row>
    <row r="436" spans="1:22">
      <c r="A436" s="119" t="s">
        <v>676</v>
      </c>
      <c r="B436" s="119" t="s">
        <v>113</v>
      </c>
      <c r="C436" s="120" t="s">
        <v>597</v>
      </c>
      <c r="D436" s="120">
        <v>2021</v>
      </c>
      <c r="E436" s="120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>
        <f t="shared" si="28"/>
        <v>0</v>
      </c>
      <c r="P436" s="121"/>
      <c r="Q436" s="121"/>
      <c r="R436" s="121"/>
      <c r="T436" s="122">
        <v>4</v>
      </c>
      <c r="U436" s="123" t="s">
        <v>806</v>
      </c>
      <c r="V436" s="123" t="s">
        <v>807</v>
      </c>
    </row>
    <row r="437" spans="1:22">
      <c r="A437" s="119" t="s">
        <v>676</v>
      </c>
      <c r="B437" s="119" t="s">
        <v>113</v>
      </c>
      <c r="C437" s="120" t="s">
        <v>600</v>
      </c>
      <c r="D437" s="120">
        <v>2021</v>
      </c>
      <c r="E437" s="120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>
        <f t="shared" si="28"/>
        <v>0</v>
      </c>
      <c r="P437" s="121"/>
      <c r="Q437" s="121"/>
      <c r="R437" s="121"/>
      <c r="T437" s="122">
        <v>5</v>
      </c>
      <c r="U437" s="123" t="s">
        <v>806</v>
      </c>
      <c r="V437" s="123" t="s">
        <v>807</v>
      </c>
    </row>
    <row r="438" spans="1:22">
      <c r="A438" s="119" t="s">
        <v>678</v>
      </c>
      <c r="B438" s="119" t="s">
        <v>114</v>
      </c>
      <c r="C438" s="120" t="s">
        <v>594</v>
      </c>
      <c r="D438" s="120">
        <v>2020</v>
      </c>
      <c r="E438" s="120"/>
      <c r="F438" s="121"/>
      <c r="G438" s="121"/>
      <c r="H438" s="121">
        <f>I438+J438</f>
        <v>5.2249999999999996</v>
      </c>
      <c r="I438" s="121"/>
      <c r="J438" s="121">
        <f>95*0.055</f>
        <v>5.2249999999999996</v>
      </c>
      <c r="K438" s="121"/>
      <c r="L438" s="121"/>
      <c r="M438" s="121"/>
      <c r="N438" s="121"/>
      <c r="O438" s="121">
        <f t="shared" si="28"/>
        <v>5.2249999999999996</v>
      </c>
      <c r="P438" s="121"/>
      <c r="Q438" s="121"/>
      <c r="R438" s="121"/>
      <c r="T438" s="122">
        <v>1</v>
      </c>
      <c r="U438" s="123" t="s">
        <v>809</v>
      </c>
      <c r="V438" s="123" t="s">
        <v>810</v>
      </c>
    </row>
    <row r="439" spans="1:22">
      <c r="A439" s="119" t="s">
        <v>678</v>
      </c>
      <c r="B439" s="119" t="s">
        <v>114</v>
      </c>
      <c r="C439" s="120" t="s">
        <v>595</v>
      </c>
      <c r="D439" s="120">
        <v>2020</v>
      </c>
      <c r="E439" s="120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>
        <f t="shared" si="28"/>
        <v>0</v>
      </c>
      <c r="P439" s="121"/>
      <c r="Q439" s="121"/>
      <c r="R439" s="121"/>
      <c r="T439" s="122">
        <v>2</v>
      </c>
      <c r="U439" s="123" t="s">
        <v>809</v>
      </c>
      <c r="V439" s="123" t="s">
        <v>810</v>
      </c>
    </row>
    <row r="440" spans="1:22">
      <c r="A440" s="119" t="s">
        <v>678</v>
      </c>
      <c r="B440" s="119" t="s">
        <v>114</v>
      </c>
      <c r="C440" s="120" t="s">
        <v>596</v>
      </c>
      <c r="D440" s="120">
        <v>2020</v>
      </c>
      <c r="E440" s="120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>
        <f t="shared" si="28"/>
        <v>0</v>
      </c>
      <c r="P440" s="121"/>
      <c r="Q440" s="121"/>
      <c r="R440" s="121"/>
      <c r="T440" s="122">
        <v>3</v>
      </c>
      <c r="U440" s="123" t="s">
        <v>809</v>
      </c>
      <c r="V440" s="123" t="s">
        <v>810</v>
      </c>
    </row>
    <row r="441" spans="1:22">
      <c r="A441" s="119" t="s">
        <v>678</v>
      </c>
      <c r="B441" s="119" t="s">
        <v>114</v>
      </c>
      <c r="C441" s="120" t="s">
        <v>597</v>
      </c>
      <c r="D441" s="120">
        <v>2020</v>
      </c>
      <c r="E441" s="120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>
        <f t="shared" si="28"/>
        <v>0</v>
      </c>
      <c r="P441" s="121"/>
      <c r="Q441" s="121"/>
      <c r="R441" s="121"/>
      <c r="T441" s="122">
        <v>4</v>
      </c>
      <c r="U441" s="123" t="s">
        <v>809</v>
      </c>
      <c r="V441" s="123" t="s">
        <v>810</v>
      </c>
    </row>
    <row r="442" spans="1:22" ht="9.6" customHeight="1">
      <c r="A442" s="119" t="s">
        <v>678</v>
      </c>
      <c r="B442" s="119" t="s">
        <v>114</v>
      </c>
      <c r="C442" s="120" t="s">
        <v>600</v>
      </c>
      <c r="D442" s="120">
        <v>2020</v>
      </c>
      <c r="E442" s="120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>
        <f t="shared" si="28"/>
        <v>0</v>
      </c>
      <c r="P442" s="121"/>
      <c r="Q442" s="121"/>
      <c r="R442" s="121"/>
      <c r="T442" s="122">
        <v>5</v>
      </c>
      <c r="U442" s="123" t="s">
        <v>809</v>
      </c>
      <c r="V442" s="123" t="s">
        <v>810</v>
      </c>
    </row>
    <row r="443" spans="1:22">
      <c r="A443" s="119" t="s">
        <v>674</v>
      </c>
      <c r="B443" s="119" t="s">
        <v>115</v>
      </c>
      <c r="C443" s="120" t="s">
        <v>594</v>
      </c>
      <c r="D443" s="120">
        <v>2021</v>
      </c>
      <c r="E443" s="120"/>
      <c r="F443" s="121"/>
      <c r="G443" s="121"/>
      <c r="H443" s="121">
        <f>I443+J443</f>
        <v>0</v>
      </c>
      <c r="I443" s="121"/>
      <c r="J443" s="121">
        <v>0</v>
      </c>
      <c r="K443" s="121"/>
      <c r="L443" s="121"/>
      <c r="M443" s="121"/>
      <c r="N443" s="121"/>
      <c r="O443" s="121">
        <f t="shared" si="28"/>
        <v>0</v>
      </c>
      <c r="P443" s="121">
        <v>0</v>
      </c>
      <c r="Q443" s="121"/>
      <c r="R443" s="121"/>
      <c r="T443" s="122">
        <v>1</v>
      </c>
      <c r="U443" s="123" t="s">
        <v>806</v>
      </c>
      <c r="V443" s="123" t="s">
        <v>816</v>
      </c>
    </row>
    <row r="444" spans="1:22">
      <c r="A444" s="119" t="s">
        <v>674</v>
      </c>
      <c r="B444" s="119" t="s">
        <v>115</v>
      </c>
      <c r="C444" s="120" t="s">
        <v>595</v>
      </c>
      <c r="D444" s="120">
        <v>2021</v>
      </c>
      <c r="E444" s="120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>
        <f t="shared" si="28"/>
        <v>0</v>
      </c>
      <c r="P444" s="121"/>
      <c r="Q444" s="121"/>
      <c r="R444" s="121"/>
      <c r="T444" s="122">
        <v>2</v>
      </c>
      <c r="U444" s="123" t="s">
        <v>806</v>
      </c>
      <c r="V444" s="123" t="s">
        <v>816</v>
      </c>
    </row>
    <row r="445" spans="1:22">
      <c r="A445" s="119" t="s">
        <v>674</v>
      </c>
      <c r="B445" s="119" t="s">
        <v>115</v>
      </c>
      <c r="C445" s="120" t="s">
        <v>596</v>
      </c>
      <c r="D445" s="120">
        <v>2021</v>
      </c>
      <c r="E445" s="120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>
        <f t="shared" si="28"/>
        <v>0</v>
      </c>
      <c r="P445" s="121"/>
      <c r="Q445" s="121"/>
      <c r="R445" s="121"/>
      <c r="T445" s="122">
        <v>3</v>
      </c>
      <c r="U445" s="123" t="s">
        <v>806</v>
      </c>
      <c r="V445" s="123" t="s">
        <v>816</v>
      </c>
    </row>
    <row r="446" spans="1:22">
      <c r="A446" s="119" t="s">
        <v>674</v>
      </c>
      <c r="B446" s="119" t="s">
        <v>115</v>
      </c>
      <c r="C446" s="120" t="s">
        <v>597</v>
      </c>
      <c r="D446" s="120">
        <v>2021</v>
      </c>
      <c r="E446" s="120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>
        <f t="shared" si="28"/>
        <v>0</v>
      </c>
      <c r="P446" s="121"/>
      <c r="Q446" s="121"/>
      <c r="R446" s="121"/>
      <c r="T446" s="122">
        <v>4</v>
      </c>
      <c r="U446" s="123" t="s">
        <v>806</v>
      </c>
      <c r="V446" s="123" t="s">
        <v>816</v>
      </c>
    </row>
    <row r="447" spans="1:22">
      <c r="A447" s="119" t="s">
        <v>674</v>
      </c>
      <c r="B447" s="119" t="s">
        <v>115</v>
      </c>
      <c r="C447" s="120" t="s">
        <v>600</v>
      </c>
      <c r="D447" s="120">
        <v>2021</v>
      </c>
      <c r="E447" s="120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>
        <f t="shared" si="28"/>
        <v>0</v>
      </c>
      <c r="P447" s="121"/>
      <c r="Q447" s="121"/>
      <c r="R447" s="121"/>
      <c r="T447" s="122">
        <v>5</v>
      </c>
      <c r="U447" s="123" t="s">
        <v>806</v>
      </c>
      <c r="V447" s="123" t="s">
        <v>816</v>
      </c>
    </row>
    <row r="448" spans="1:22">
      <c r="A448" s="119" t="s">
        <v>675</v>
      </c>
      <c r="B448" s="119" t="s">
        <v>116</v>
      </c>
      <c r="C448" s="120" t="s">
        <v>594</v>
      </c>
      <c r="D448" s="120">
        <v>2021</v>
      </c>
      <c r="E448" s="120"/>
      <c r="F448" s="121"/>
      <c r="G448" s="121"/>
      <c r="H448" s="121">
        <f>I448+J448</f>
        <v>13.122999999999999</v>
      </c>
      <c r="I448" s="121"/>
      <c r="J448" s="121">
        <f>238.6*0.055</f>
        <v>13.122999999999999</v>
      </c>
      <c r="K448" s="121"/>
      <c r="L448" s="121"/>
      <c r="M448" s="121"/>
      <c r="N448" s="121"/>
      <c r="O448" s="121">
        <f t="shared" si="28"/>
        <v>13.122999999999999</v>
      </c>
      <c r="P448" s="121">
        <f>238.6*0.055</f>
        <v>13.122999999999999</v>
      </c>
      <c r="Q448" s="121"/>
      <c r="R448" s="121"/>
      <c r="T448" s="122">
        <v>1</v>
      </c>
      <c r="U448" s="123" t="s">
        <v>809</v>
      </c>
      <c r="V448" s="123" t="s">
        <v>810</v>
      </c>
    </row>
    <row r="449" spans="1:22">
      <c r="A449" s="119" t="s">
        <v>675</v>
      </c>
      <c r="B449" s="119" t="s">
        <v>116</v>
      </c>
      <c r="C449" s="120" t="s">
        <v>595</v>
      </c>
      <c r="D449" s="120">
        <v>2021</v>
      </c>
      <c r="E449" s="120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>
        <f t="shared" si="28"/>
        <v>0</v>
      </c>
      <c r="P449" s="121"/>
      <c r="Q449" s="121"/>
      <c r="R449" s="121"/>
      <c r="T449" s="122">
        <v>2</v>
      </c>
      <c r="U449" s="123" t="s">
        <v>809</v>
      </c>
      <c r="V449" s="123" t="s">
        <v>810</v>
      </c>
    </row>
    <row r="450" spans="1:22">
      <c r="A450" s="119" t="s">
        <v>675</v>
      </c>
      <c r="B450" s="119" t="s">
        <v>116</v>
      </c>
      <c r="C450" s="120" t="s">
        <v>596</v>
      </c>
      <c r="D450" s="120">
        <v>2021</v>
      </c>
      <c r="E450" s="120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>
        <f t="shared" si="28"/>
        <v>0</v>
      </c>
      <c r="P450" s="121"/>
      <c r="Q450" s="121"/>
      <c r="R450" s="121"/>
      <c r="T450" s="122">
        <v>3</v>
      </c>
      <c r="U450" s="123" t="s">
        <v>809</v>
      </c>
      <c r="V450" s="123" t="s">
        <v>810</v>
      </c>
    </row>
    <row r="451" spans="1:22">
      <c r="A451" s="119" t="s">
        <v>675</v>
      </c>
      <c r="B451" s="119" t="s">
        <v>116</v>
      </c>
      <c r="C451" s="120" t="s">
        <v>597</v>
      </c>
      <c r="D451" s="120">
        <v>2021</v>
      </c>
      <c r="E451" s="120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>
        <f t="shared" si="28"/>
        <v>0</v>
      </c>
      <c r="P451" s="121"/>
      <c r="Q451" s="121"/>
      <c r="R451" s="121"/>
      <c r="T451" s="122">
        <v>4</v>
      </c>
      <c r="U451" s="123" t="s">
        <v>809</v>
      </c>
      <c r="V451" s="123" t="s">
        <v>810</v>
      </c>
    </row>
    <row r="452" spans="1:22">
      <c r="A452" s="119" t="s">
        <v>675</v>
      </c>
      <c r="B452" s="119" t="s">
        <v>116</v>
      </c>
      <c r="C452" s="120" t="s">
        <v>600</v>
      </c>
      <c r="D452" s="120">
        <v>2021</v>
      </c>
      <c r="E452" s="120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>
        <f t="shared" si="28"/>
        <v>0</v>
      </c>
      <c r="P452" s="121"/>
      <c r="Q452" s="121"/>
      <c r="R452" s="121"/>
      <c r="T452" s="122">
        <v>5</v>
      </c>
      <c r="U452" s="123" t="s">
        <v>809</v>
      </c>
      <c r="V452" s="123" t="s">
        <v>810</v>
      </c>
    </row>
    <row r="453" spans="1:22">
      <c r="A453" s="119" t="s">
        <v>673</v>
      </c>
      <c r="B453" s="119" t="s">
        <v>117</v>
      </c>
      <c r="C453" s="120" t="s">
        <v>594</v>
      </c>
      <c r="D453" s="120">
        <v>2021</v>
      </c>
      <c r="E453" s="120"/>
      <c r="F453" s="121"/>
      <c r="G453" s="121"/>
      <c r="H453" s="121">
        <f>I453+J453</f>
        <v>1.3843500000000002</v>
      </c>
      <c r="I453" s="121"/>
      <c r="J453" s="124">
        <f>25.17*0.055</f>
        <v>1.3843500000000002</v>
      </c>
      <c r="K453" s="121"/>
      <c r="L453" s="121"/>
      <c r="M453" s="121"/>
      <c r="N453" s="121"/>
      <c r="O453" s="121">
        <f t="shared" si="28"/>
        <v>1.3843500000000002</v>
      </c>
      <c r="P453" s="121">
        <f>25.17*0.055</f>
        <v>1.3843500000000002</v>
      </c>
      <c r="Q453" s="121"/>
      <c r="R453" s="130"/>
      <c r="T453" s="122">
        <v>1</v>
      </c>
      <c r="U453" s="123" t="s">
        <v>809</v>
      </c>
      <c r="V453" s="123" t="s">
        <v>815</v>
      </c>
    </row>
    <row r="454" spans="1:22">
      <c r="A454" s="119" t="s">
        <v>673</v>
      </c>
      <c r="B454" s="119" t="s">
        <v>117</v>
      </c>
      <c r="C454" s="120" t="s">
        <v>595</v>
      </c>
      <c r="D454" s="120">
        <v>2021</v>
      </c>
      <c r="E454" s="120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>
        <f t="shared" si="28"/>
        <v>0</v>
      </c>
      <c r="P454" s="121"/>
      <c r="Q454" s="121"/>
      <c r="R454" s="134"/>
      <c r="T454" s="122">
        <v>2</v>
      </c>
      <c r="U454" s="123" t="s">
        <v>809</v>
      </c>
      <c r="V454" s="123" t="s">
        <v>815</v>
      </c>
    </row>
    <row r="455" spans="1:22">
      <c r="A455" s="119" t="s">
        <v>673</v>
      </c>
      <c r="B455" s="119" t="s">
        <v>117</v>
      </c>
      <c r="C455" s="120" t="s">
        <v>596</v>
      </c>
      <c r="D455" s="120">
        <v>2021</v>
      </c>
      <c r="E455" s="120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>
        <f t="shared" si="28"/>
        <v>0</v>
      </c>
      <c r="P455" s="121"/>
      <c r="Q455" s="124"/>
      <c r="R455" s="134"/>
      <c r="T455" s="122">
        <v>3</v>
      </c>
      <c r="U455" s="123" t="s">
        <v>809</v>
      </c>
      <c r="V455" s="123" t="s">
        <v>815</v>
      </c>
    </row>
    <row r="456" spans="1:22">
      <c r="A456" s="119" t="s">
        <v>673</v>
      </c>
      <c r="B456" s="119" t="s">
        <v>117</v>
      </c>
      <c r="C456" s="120" t="s">
        <v>597</v>
      </c>
      <c r="D456" s="120">
        <v>2021</v>
      </c>
      <c r="E456" s="120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>
        <f t="shared" si="28"/>
        <v>0</v>
      </c>
      <c r="P456" s="121"/>
      <c r="Q456" s="121"/>
      <c r="R456" s="134"/>
      <c r="T456" s="122">
        <v>4</v>
      </c>
      <c r="U456" s="123" t="s">
        <v>809</v>
      </c>
      <c r="V456" s="123" t="s">
        <v>815</v>
      </c>
    </row>
    <row r="457" spans="1:22">
      <c r="A457" s="119" t="s">
        <v>673</v>
      </c>
      <c r="B457" s="119" t="s">
        <v>117</v>
      </c>
      <c r="C457" s="120" t="s">
        <v>600</v>
      </c>
      <c r="D457" s="120">
        <v>2021</v>
      </c>
      <c r="E457" s="120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>
        <f t="shared" si="28"/>
        <v>0</v>
      </c>
      <c r="P457" s="121"/>
      <c r="Q457" s="121"/>
      <c r="R457" s="134"/>
      <c r="T457" s="122">
        <v>5</v>
      </c>
      <c r="U457" s="123" t="s">
        <v>809</v>
      </c>
      <c r="V457" s="123" t="s">
        <v>815</v>
      </c>
    </row>
    <row r="458" spans="1:22">
      <c r="A458" s="119" t="s">
        <v>677</v>
      </c>
      <c r="B458" s="119" t="s">
        <v>118</v>
      </c>
      <c r="C458" s="120" t="s">
        <v>594</v>
      </c>
      <c r="D458" s="120">
        <v>2021</v>
      </c>
      <c r="E458" s="126"/>
      <c r="F458" s="121"/>
      <c r="G458" s="121"/>
      <c r="H458" s="121">
        <f>I458+J458</f>
        <v>125.56785364739824</v>
      </c>
      <c r="I458" s="121"/>
      <c r="J458" s="121">
        <f>2283.05188449815*0.055</f>
        <v>125.56785364739824</v>
      </c>
      <c r="K458" s="121"/>
      <c r="L458" s="121"/>
      <c r="M458" s="121"/>
      <c r="N458" s="121"/>
      <c r="O458" s="121">
        <f t="shared" ref="O458:O463" si="30">F458+H458+E458</f>
        <v>125.56785364739824</v>
      </c>
      <c r="P458" s="121">
        <f>1965.31182529*0.055</f>
        <v>108.09215039095</v>
      </c>
      <c r="Q458" s="121">
        <f>2197.85433379185*0.055</f>
        <v>120.88198835855175</v>
      </c>
      <c r="R458" s="121">
        <f>2515.594393*0.055</f>
        <v>138.35769161499999</v>
      </c>
      <c r="S458" s="127"/>
      <c r="T458" s="122">
        <v>1</v>
      </c>
      <c r="U458" s="123" t="s">
        <v>811</v>
      </c>
      <c r="V458" s="123" t="s">
        <v>817</v>
      </c>
    </row>
    <row r="459" spans="1:22">
      <c r="A459" s="119" t="s">
        <v>677</v>
      </c>
      <c r="B459" s="119" t="s">
        <v>118</v>
      </c>
      <c r="C459" s="120" t="s">
        <v>595</v>
      </c>
      <c r="D459" s="120">
        <v>2021</v>
      </c>
      <c r="E459" s="120"/>
      <c r="F459" s="121">
        <f>41.0545587*0.11</f>
        <v>4.5160014569999998</v>
      </c>
      <c r="G459" s="121"/>
      <c r="H459" s="121"/>
      <c r="I459" s="121"/>
      <c r="J459" s="121"/>
      <c r="K459" s="121"/>
      <c r="L459" s="121"/>
      <c r="M459" s="121"/>
      <c r="N459" s="121"/>
      <c r="O459" s="121">
        <f t="shared" si="30"/>
        <v>4.5160014569999998</v>
      </c>
      <c r="P459" s="121">
        <f>41.2948023*0.11</f>
        <v>4.5424282529999997</v>
      </c>
      <c r="Q459" s="121">
        <f>0.2399976*0.11</f>
        <v>2.6399736E-2</v>
      </c>
      <c r="R459" s="121"/>
      <c r="S459" s="127"/>
      <c r="T459" s="122">
        <v>2</v>
      </c>
      <c r="U459" s="123" t="s">
        <v>811</v>
      </c>
      <c r="V459" s="123" t="s">
        <v>817</v>
      </c>
    </row>
    <row r="460" spans="1:22">
      <c r="A460" s="119" t="s">
        <v>677</v>
      </c>
      <c r="B460" s="119" t="s">
        <v>118</v>
      </c>
      <c r="C460" s="125" t="s">
        <v>700</v>
      </c>
      <c r="D460" s="120">
        <v>2021</v>
      </c>
      <c r="E460" s="120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>
        <f t="shared" si="30"/>
        <v>0</v>
      </c>
      <c r="P460" s="121"/>
      <c r="Q460" s="121"/>
      <c r="R460" s="121"/>
      <c r="S460" s="127"/>
      <c r="U460" s="123" t="s">
        <v>811</v>
      </c>
      <c r="V460" s="123" t="s">
        <v>817</v>
      </c>
    </row>
    <row r="461" spans="1:22" ht="9.6" customHeight="1">
      <c r="A461" s="119" t="s">
        <v>677</v>
      </c>
      <c r="B461" s="119" t="s">
        <v>118</v>
      </c>
      <c r="C461" s="120" t="s">
        <v>596</v>
      </c>
      <c r="D461" s="120">
        <v>2021</v>
      </c>
      <c r="E461" s="120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>
        <f t="shared" si="30"/>
        <v>0</v>
      </c>
      <c r="P461" s="121"/>
      <c r="Q461" s="121">
        <f>0.44*0.065</f>
        <v>2.86E-2</v>
      </c>
      <c r="R461" s="121"/>
      <c r="S461" s="127"/>
      <c r="T461" s="122">
        <v>3</v>
      </c>
      <c r="U461" s="123" t="s">
        <v>811</v>
      </c>
      <c r="V461" s="123" t="s">
        <v>817</v>
      </c>
    </row>
    <row r="462" spans="1:22">
      <c r="A462" s="119" t="s">
        <v>677</v>
      </c>
      <c r="B462" s="119" t="s">
        <v>118</v>
      </c>
      <c r="C462" s="120" t="s">
        <v>597</v>
      </c>
      <c r="D462" s="120">
        <v>2021</v>
      </c>
      <c r="E462" s="120"/>
      <c r="F462" s="121"/>
      <c r="G462" s="121">
        <f>14.20061992*0.02</f>
        <v>0.28401239839999998</v>
      </c>
      <c r="H462" s="121"/>
      <c r="I462" s="121"/>
      <c r="J462" s="121"/>
      <c r="K462" s="121"/>
      <c r="L462" s="121"/>
      <c r="M462" s="121"/>
      <c r="N462" s="121"/>
      <c r="O462" s="121">
        <f>G462</f>
        <v>0.28401239839999998</v>
      </c>
      <c r="P462" s="121">
        <f>17.24241312*0.02</f>
        <v>0.34484826239999999</v>
      </c>
      <c r="Q462" s="121">
        <f>3.0417932*0.02</f>
        <v>6.0835863999999996E-2</v>
      </c>
      <c r="R462" s="121"/>
      <c r="S462" s="127"/>
      <c r="T462" s="122">
        <v>4</v>
      </c>
      <c r="U462" s="123" t="s">
        <v>811</v>
      </c>
      <c r="V462" s="123" t="s">
        <v>817</v>
      </c>
    </row>
    <row r="463" spans="1:22">
      <c r="A463" s="119" t="s">
        <v>677</v>
      </c>
      <c r="B463" s="119" t="s">
        <v>118</v>
      </c>
      <c r="C463" s="120" t="s">
        <v>600</v>
      </c>
      <c r="D463" s="120">
        <v>2021</v>
      </c>
      <c r="E463" s="120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>
        <f t="shared" si="30"/>
        <v>0</v>
      </c>
      <c r="P463" s="121"/>
      <c r="Q463" s="121"/>
      <c r="R463" s="121"/>
      <c r="S463" s="127"/>
      <c r="T463" s="122">
        <v>5</v>
      </c>
      <c r="U463" s="123" t="s">
        <v>811</v>
      </c>
      <c r="V463" s="123" t="s">
        <v>817</v>
      </c>
    </row>
    <row r="464" spans="1:22">
      <c r="A464" s="119" t="s">
        <v>415</v>
      </c>
      <c r="B464" s="119" t="s">
        <v>119</v>
      </c>
      <c r="C464" s="120" t="s">
        <v>594</v>
      </c>
      <c r="D464" s="120">
        <v>2021</v>
      </c>
      <c r="E464" s="120"/>
      <c r="F464" s="121"/>
      <c r="G464" s="121"/>
      <c r="H464" s="121">
        <f>I464+J464</f>
        <v>1.21E-2</v>
      </c>
      <c r="I464" s="121"/>
      <c r="J464" s="121">
        <f>0.22*0.055</f>
        <v>1.21E-2</v>
      </c>
      <c r="K464" s="121"/>
      <c r="L464" s="121"/>
      <c r="M464" s="121"/>
      <c r="N464" s="121"/>
      <c r="O464" s="121">
        <f t="shared" ref="O464:O497" si="31">F464+H464</f>
        <v>1.21E-2</v>
      </c>
      <c r="P464" s="121">
        <f>0.22*0.055</f>
        <v>1.21E-2</v>
      </c>
      <c r="Q464" s="121"/>
      <c r="R464" s="121"/>
      <c r="S464" s="127"/>
      <c r="T464" s="122">
        <v>1</v>
      </c>
      <c r="U464" s="123" t="s">
        <v>806</v>
      </c>
      <c r="V464" s="123" t="s">
        <v>816</v>
      </c>
    </row>
    <row r="465" spans="1:22">
      <c r="A465" s="119" t="s">
        <v>415</v>
      </c>
      <c r="B465" s="119" t="s">
        <v>119</v>
      </c>
      <c r="C465" s="120" t="s">
        <v>595</v>
      </c>
      <c r="D465" s="120">
        <v>2021</v>
      </c>
      <c r="E465" s="120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>
        <f t="shared" si="31"/>
        <v>0</v>
      </c>
      <c r="P465" s="121"/>
      <c r="Q465" s="121"/>
      <c r="R465" s="121"/>
      <c r="S465" s="127"/>
      <c r="T465" s="122">
        <v>2</v>
      </c>
      <c r="U465" s="123" t="s">
        <v>806</v>
      </c>
      <c r="V465" s="123" t="s">
        <v>816</v>
      </c>
    </row>
    <row r="466" spans="1:22">
      <c r="A466" s="119" t="s">
        <v>415</v>
      </c>
      <c r="B466" s="119" t="s">
        <v>119</v>
      </c>
      <c r="C466" s="120" t="s">
        <v>596</v>
      </c>
      <c r="D466" s="120">
        <v>2021</v>
      </c>
      <c r="E466" s="120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>
        <f t="shared" si="31"/>
        <v>0</v>
      </c>
      <c r="P466" s="121"/>
      <c r="Q466" s="121"/>
      <c r="R466" s="121"/>
      <c r="S466" s="127"/>
      <c r="T466" s="122">
        <v>3</v>
      </c>
      <c r="U466" s="123" t="s">
        <v>806</v>
      </c>
      <c r="V466" s="123" t="s">
        <v>816</v>
      </c>
    </row>
    <row r="467" spans="1:22">
      <c r="A467" s="119" t="s">
        <v>415</v>
      </c>
      <c r="B467" s="119" t="s">
        <v>119</v>
      </c>
      <c r="C467" s="120" t="s">
        <v>597</v>
      </c>
      <c r="D467" s="120">
        <v>2021</v>
      </c>
      <c r="E467" s="120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>
        <f t="shared" si="31"/>
        <v>0</v>
      </c>
      <c r="P467" s="121"/>
      <c r="Q467" s="121"/>
      <c r="R467" s="121"/>
      <c r="S467" s="127"/>
      <c r="T467" s="122">
        <v>4</v>
      </c>
      <c r="U467" s="123" t="s">
        <v>806</v>
      </c>
      <c r="V467" s="123" t="s">
        <v>816</v>
      </c>
    </row>
    <row r="468" spans="1:22">
      <c r="A468" s="119" t="s">
        <v>415</v>
      </c>
      <c r="B468" s="119" t="s">
        <v>119</v>
      </c>
      <c r="C468" s="120" t="s">
        <v>600</v>
      </c>
      <c r="D468" s="120">
        <v>2021</v>
      </c>
      <c r="E468" s="120"/>
      <c r="F468" s="121"/>
      <c r="G468" s="121"/>
      <c r="H468" s="134">
        <f>I468+J468</f>
        <v>4.3999999999999996E-4</v>
      </c>
      <c r="I468" s="134"/>
      <c r="J468" s="134">
        <f>0.02*0.022</f>
        <v>4.3999999999999996E-4</v>
      </c>
      <c r="K468" s="121"/>
      <c r="L468" s="121"/>
      <c r="M468" s="121"/>
      <c r="N468" s="121"/>
      <c r="O468" s="134">
        <f t="shared" si="31"/>
        <v>4.3999999999999996E-4</v>
      </c>
      <c r="P468" s="134">
        <f>0.02*0.022</f>
        <v>4.3999999999999996E-4</v>
      </c>
      <c r="Q468" s="121"/>
      <c r="R468" s="121"/>
      <c r="T468" s="122">
        <v>5</v>
      </c>
      <c r="U468" s="123" t="s">
        <v>806</v>
      </c>
      <c r="V468" s="123" t="s">
        <v>816</v>
      </c>
    </row>
    <row r="469" spans="1:22">
      <c r="A469" s="119" t="s">
        <v>236</v>
      </c>
      <c r="B469" s="119" t="s">
        <v>120</v>
      </c>
      <c r="C469" s="120" t="s">
        <v>594</v>
      </c>
      <c r="D469" s="120">
        <v>2021</v>
      </c>
      <c r="E469" s="120"/>
      <c r="F469" s="121"/>
      <c r="G469" s="121"/>
      <c r="H469" s="121">
        <f>I469+J469</f>
        <v>0.181005</v>
      </c>
      <c r="I469" s="121"/>
      <c r="J469" s="121">
        <f>3.291*0.055</f>
        <v>0.181005</v>
      </c>
      <c r="K469" s="121"/>
      <c r="L469" s="121"/>
      <c r="M469" s="121"/>
      <c r="N469" s="121"/>
      <c r="O469" s="121">
        <f t="shared" si="31"/>
        <v>0.181005</v>
      </c>
      <c r="P469" s="121">
        <f>3.291*0.055</f>
        <v>0.181005</v>
      </c>
      <c r="Q469" s="121"/>
      <c r="R469" s="121"/>
      <c r="T469" s="122">
        <v>1</v>
      </c>
      <c r="U469" s="123" t="s">
        <v>806</v>
      </c>
      <c r="V469" s="123" t="s">
        <v>807</v>
      </c>
    </row>
    <row r="470" spans="1:22">
      <c r="A470" s="119" t="s">
        <v>236</v>
      </c>
      <c r="B470" s="119" t="s">
        <v>120</v>
      </c>
      <c r="C470" s="120" t="s">
        <v>595</v>
      </c>
      <c r="D470" s="120">
        <v>2021</v>
      </c>
      <c r="E470" s="120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>
        <f t="shared" si="31"/>
        <v>0</v>
      </c>
      <c r="P470" s="121"/>
      <c r="Q470" s="121"/>
      <c r="R470" s="121"/>
      <c r="T470" s="122">
        <v>2</v>
      </c>
      <c r="U470" s="123" t="s">
        <v>806</v>
      </c>
      <c r="V470" s="123" t="s">
        <v>807</v>
      </c>
    </row>
    <row r="471" spans="1:22">
      <c r="A471" s="119" t="s">
        <v>236</v>
      </c>
      <c r="B471" s="119" t="s">
        <v>120</v>
      </c>
      <c r="C471" s="120" t="s">
        <v>596</v>
      </c>
      <c r="D471" s="120">
        <v>2021</v>
      </c>
      <c r="E471" s="120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>
        <f t="shared" si="31"/>
        <v>0</v>
      </c>
      <c r="P471" s="121"/>
      <c r="Q471" s="121"/>
      <c r="R471" s="121"/>
      <c r="T471" s="122">
        <v>3</v>
      </c>
      <c r="U471" s="123" t="s">
        <v>806</v>
      </c>
      <c r="V471" s="123" t="s">
        <v>807</v>
      </c>
    </row>
    <row r="472" spans="1:22">
      <c r="A472" s="119" t="s">
        <v>236</v>
      </c>
      <c r="B472" s="119" t="s">
        <v>120</v>
      </c>
      <c r="C472" s="120" t="s">
        <v>597</v>
      </c>
      <c r="D472" s="120">
        <v>2021</v>
      </c>
      <c r="E472" s="120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>
        <f t="shared" si="31"/>
        <v>0</v>
      </c>
      <c r="P472" s="121"/>
      <c r="Q472" s="121"/>
      <c r="R472" s="121"/>
      <c r="T472" s="122">
        <v>4</v>
      </c>
      <c r="U472" s="123" t="s">
        <v>806</v>
      </c>
      <c r="V472" s="123" t="s">
        <v>807</v>
      </c>
    </row>
    <row r="473" spans="1:22">
      <c r="A473" s="119" t="s">
        <v>236</v>
      </c>
      <c r="B473" s="119" t="s">
        <v>120</v>
      </c>
      <c r="C473" s="120" t="s">
        <v>600</v>
      </c>
      <c r="D473" s="120">
        <v>2021</v>
      </c>
      <c r="E473" s="120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>
        <f t="shared" si="31"/>
        <v>0</v>
      </c>
      <c r="P473" s="121"/>
      <c r="Q473" s="121"/>
      <c r="R473" s="121"/>
      <c r="T473" s="122">
        <v>5</v>
      </c>
      <c r="U473" s="123" t="s">
        <v>806</v>
      </c>
      <c r="V473" s="123" t="s">
        <v>807</v>
      </c>
    </row>
    <row r="474" spans="1:22">
      <c r="A474" s="119" t="s">
        <v>183</v>
      </c>
      <c r="B474" s="119" t="s">
        <v>121</v>
      </c>
      <c r="C474" s="120" t="s">
        <v>594</v>
      </c>
      <c r="D474" s="120">
        <v>2021</v>
      </c>
      <c r="E474" s="120"/>
      <c r="F474" s="121"/>
      <c r="G474" s="121"/>
      <c r="H474" s="121">
        <f>I474+J474</f>
        <v>0.10395</v>
      </c>
      <c r="I474" s="121"/>
      <c r="J474" s="121">
        <f>1.89*0.055</f>
        <v>0.10395</v>
      </c>
      <c r="K474" s="121"/>
      <c r="L474" s="121"/>
      <c r="M474" s="121"/>
      <c r="N474" s="121"/>
      <c r="O474" s="121">
        <f t="shared" si="31"/>
        <v>0.10395</v>
      </c>
      <c r="P474" s="121">
        <f>1.89*0.055</f>
        <v>0.10395</v>
      </c>
      <c r="Q474" s="121"/>
      <c r="R474" s="121"/>
      <c r="T474" s="122">
        <v>1</v>
      </c>
      <c r="U474" s="123" t="s">
        <v>808</v>
      </c>
      <c r="V474" s="123" t="s">
        <v>808</v>
      </c>
    </row>
    <row r="475" spans="1:22">
      <c r="A475" s="119" t="s">
        <v>183</v>
      </c>
      <c r="B475" s="119" t="s">
        <v>121</v>
      </c>
      <c r="C475" s="120" t="s">
        <v>595</v>
      </c>
      <c r="D475" s="120">
        <v>2021</v>
      </c>
      <c r="E475" s="120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>
        <f t="shared" si="31"/>
        <v>0</v>
      </c>
      <c r="P475" s="121"/>
      <c r="Q475" s="121"/>
      <c r="R475" s="121"/>
      <c r="T475" s="122">
        <v>2</v>
      </c>
      <c r="U475" s="123" t="s">
        <v>808</v>
      </c>
      <c r="V475" s="123" t="s">
        <v>808</v>
      </c>
    </row>
    <row r="476" spans="1:22">
      <c r="A476" s="119" t="s">
        <v>183</v>
      </c>
      <c r="B476" s="119" t="s">
        <v>121</v>
      </c>
      <c r="C476" s="120" t="s">
        <v>596</v>
      </c>
      <c r="D476" s="120">
        <v>2021</v>
      </c>
      <c r="E476" s="120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>
        <f t="shared" si="31"/>
        <v>0</v>
      </c>
      <c r="P476" s="121"/>
      <c r="Q476" s="121"/>
      <c r="R476" s="121"/>
      <c r="T476" s="122">
        <v>3</v>
      </c>
      <c r="U476" s="123" t="s">
        <v>808</v>
      </c>
      <c r="V476" s="123" t="s">
        <v>808</v>
      </c>
    </row>
    <row r="477" spans="1:22">
      <c r="A477" s="119" t="s">
        <v>183</v>
      </c>
      <c r="B477" s="119" t="s">
        <v>121</v>
      </c>
      <c r="C477" s="120" t="s">
        <v>597</v>
      </c>
      <c r="D477" s="120">
        <v>2021</v>
      </c>
      <c r="E477" s="120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>
        <f t="shared" si="31"/>
        <v>0</v>
      </c>
      <c r="P477" s="121"/>
      <c r="Q477" s="121"/>
      <c r="R477" s="121"/>
      <c r="T477" s="122">
        <v>4</v>
      </c>
      <c r="U477" s="123" t="s">
        <v>808</v>
      </c>
      <c r="V477" s="123" t="s">
        <v>808</v>
      </c>
    </row>
    <row r="478" spans="1:22">
      <c r="A478" s="119" t="s">
        <v>183</v>
      </c>
      <c r="B478" s="119" t="s">
        <v>121</v>
      </c>
      <c r="C478" s="120" t="s">
        <v>600</v>
      </c>
      <c r="D478" s="120">
        <v>2021</v>
      </c>
      <c r="E478" s="120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>
        <f t="shared" si="31"/>
        <v>0</v>
      </c>
      <c r="P478" s="121"/>
      <c r="Q478" s="121"/>
      <c r="R478" s="121"/>
      <c r="T478" s="122">
        <v>5</v>
      </c>
      <c r="U478" s="123" t="s">
        <v>808</v>
      </c>
      <c r="V478" s="123" t="s">
        <v>808</v>
      </c>
    </row>
    <row r="479" spans="1:22">
      <c r="A479" s="119" t="s">
        <v>237</v>
      </c>
      <c r="B479" s="119" t="s">
        <v>122</v>
      </c>
      <c r="C479" s="120" t="s">
        <v>594</v>
      </c>
      <c r="D479" s="120">
        <v>2021</v>
      </c>
      <c r="E479" s="120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>
        <f>F479+H479</f>
        <v>0</v>
      </c>
      <c r="P479" s="121">
        <f>320.41*0.055</f>
        <v>17.62255</v>
      </c>
      <c r="Q479" s="121"/>
      <c r="R479" s="121"/>
      <c r="T479" s="122">
        <v>1</v>
      </c>
      <c r="U479" s="123" t="s">
        <v>809</v>
      </c>
      <c r="V479" s="123" t="s">
        <v>810</v>
      </c>
    </row>
    <row r="480" spans="1:22">
      <c r="A480" s="119" t="s">
        <v>237</v>
      </c>
      <c r="B480" s="119" t="s">
        <v>122</v>
      </c>
      <c r="C480" s="120" t="s">
        <v>595</v>
      </c>
      <c r="D480" s="120">
        <v>2021</v>
      </c>
      <c r="E480" s="120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>
        <f>F480+H480+K480</f>
        <v>0</v>
      </c>
      <c r="P480" s="121"/>
      <c r="Q480" s="121"/>
      <c r="R480" s="121"/>
      <c r="T480" s="122">
        <v>2</v>
      </c>
      <c r="U480" s="123" t="s">
        <v>809</v>
      </c>
      <c r="V480" s="123" t="s">
        <v>810</v>
      </c>
    </row>
    <row r="481" spans="1:22">
      <c r="A481" s="119" t="s">
        <v>237</v>
      </c>
      <c r="B481" s="119" t="s">
        <v>122</v>
      </c>
      <c r="C481" s="120" t="s">
        <v>700</v>
      </c>
      <c r="D481" s="120">
        <v>2021</v>
      </c>
      <c r="E481" s="120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>
        <f>F481+H481</f>
        <v>0</v>
      </c>
      <c r="P481" s="121">
        <f>104.3*0.11</f>
        <v>11.472999999999999</v>
      </c>
      <c r="Q481" s="121"/>
      <c r="R481" s="121"/>
      <c r="U481" s="123" t="s">
        <v>809</v>
      </c>
      <c r="V481" s="123" t="s">
        <v>810</v>
      </c>
    </row>
    <row r="482" spans="1:22">
      <c r="A482" s="119" t="s">
        <v>237</v>
      </c>
      <c r="B482" s="119" t="s">
        <v>122</v>
      </c>
      <c r="C482" s="120" t="s">
        <v>596</v>
      </c>
      <c r="D482" s="120">
        <v>2021</v>
      </c>
      <c r="E482" s="120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>
        <f t="shared" si="31"/>
        <v>0</v>
      </c>
      <c r="P482" s="121"/>
      <c r="Q482" s="121"/>
      <c r="R482" s="121"/>
      <c r="T482" s="122">
        <v>3</v>
      </c>
      <c r="U482" s="123" t="s">
        <v>809</v>
      </c>
      <c r="V482" s="123" t="s">
        <v>810</v>
      </c>
    </row>
    <row r="483" spans="1:22">
      <c r="A483" s="119" t="s">
        <v>237</v>
      </c>
      <c r="B483" s="119" t="s">
        <v>122</v>
      </c>
      <c r="C483" s="120" t="s">
        <v>597</v>
      </c>
      <c r="D483" s="120">
        <v>2021</v>
      </c>
      <c r="E483" s="120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>
        <f t="shared" si="31"/>
        <v>0</v>
      </c>
      <c r="P483" s="121"/>
      <c r="Q483" s="121"/>
      <c r="R483" s="121"/>
      <c r="T483" s="122">
        <v>4</v>
      </c>
      <c r="U483" s="123" t="s">
        <v>809</v>
      </c>
      <c r="V483" s="123" t="s">
        <v>810</v>
      </c>
    </row>
    <row r="484" spans="1:22">
      <c r="A484" s="119" t="s">
        <v>237</v>
      </c>
      <c r="B484" s="119" t="s">
        <v>122</v>
      </c>
      <c r="C484" s="120" t="s">
        <v>600</v>
      </c>
      <c r="D484" s="120">
        <v>2021</v>
      </c>
      <c r="E484" s="120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>
        <f>F484+H484</f>
        <v>0</v>
      </c>
      <c r="P484" s="121"/>
      <c r="Q484" s="121"/>
      <c r="R484" s="121"/>
      <c r="T484" s="122">
        <v>5</v>
      </c>
      <c r="U484" s="123" t="s">
        <v>809</v>
      </c>
      <c r="V484" s="123" t="s">
        <v>810</v>
      </c>
    </row>
    <row r="485" spans="1:22">
      <c r="A485" s="119" t="s">
        <v>96</v>
      </c>
      <c r="B485" s="119" t="s">
        <v>123</v>
      </c>
      <c r="C485" s="120" t="s">
        <v>594</v>
      </c>
      <c r="D485" s="120">
        <v>2021</v>
      </c>
      <c r="E485" s="120"/>
      <c r="F485" s="121"/>
      <c r="G485" s="121"/>
      <c r="H485" s="121">
        <f>I485+J485</f>
        <v>2.2110000000000003</v>
      </c>
      <c r="I485" s="121"/>
      <c r="J485" s="121">
        <f>40.2*0.055</f>
        <v>2.2110000000000003</v>
      </c>
      <c r="K485" s="121"/>
      <c r="L485" s="121"/>
      <c r="M485" s="121"/>
      <c r="N485" s="121"/>
      <c r="O485" s="121">
        <f t="shared" ref="O485" si="32">F485+H485</f>
        <v>2.2110000000000003</v>
      </c>
      <c r="P485" s="121">
        <f>40.2*0.055</f>
        <v>2.2110000000000003</v>
      </c>
      <c r="Q485" s="121"/>
      <c r="R485" s="121"/>
      <c r="T485" s="122">
        <v>1</v>
      </c>
      <c r="U485" s="123" t="s">
        <v>809</v>
      </c>
      <c r="V485" s="123" t="s">
        <v>815</v>
      </c>
    </row>
    <row r="486" spans="1:22">
      <c r="A486" s="119" t="s">
        <v>96</v>
      </c>
      <c r="B486" s="119" t="s">
        <v>123</v>
      </c>
      <c r="C486" s="120" t="s">
        <v>595</v>
      </c>
      <c r="D486" s="120">
        <v>2021</v>
      </c>
      <c r="E486" s="120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>
        <f t="shared" si="31"/>
        <v>0</v>
      </c>
      <c r="P486" s="134"/>
      <c r="Q486" s="121"/>
      <c r="R486" s="121"/>
      <c r="T486" s="122">
        <v>2</v>
      </c>
      <c r="U486" s="123" t="s">
        <v>809</v>
      </c>
      <c r="V486" s="123" t="s">
        <v>815</v>
      </c>
    </row>
    <row r="487" spans="1:22">
      <c r="A487" s="119" t="s">
        <v>96</v>
      </c>
      <c r="B487" s="119" t="s">
        <v>123</v>
      </c>
      <c r="C487" s="120" t="s">
        <v>596</v>
      </c>
      <c r="D487" s="120">
        <v>2021</v>
      </c>
      <c r="E487" s="120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>
        <f t="shared" si="31"/>
        <v>0</v>
      </c>
      <c r="P487" s="121"/>
      <c r="Q487" s="121"/>
      <c r="R487" s="121"/>
      <c r="T487" s="122">
        <v>3</v>
      </c>
      <c r="U487" s="123" t="s">
        <v>809</v>
      </c>
      <c r="V487" s="123" t="s">
        <v>815</v>
      </c>
    </row>
    <row r="488" spans="1:22">
      <c r="A488" s="119" t="s">
        <v>96</v>
      </c>
      <c r="B488" s="119" t="s">
        <v>123</v>
      </c>
      <c r="C488" s="120" t="s">
        <v>597</v>
      </c>
      <c r="D488" s="120">
        <v>2021</v>
      </c>
      <c r="E488" s="120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>
        <f t="shared" si="31"/>
        <v>0</v>
      </c>
      <c r="P488" s="121"/>
      <c r="Q488" s="121"/>
      <c r="R488" s="121"/>
      <c r="T488" s="122">
        <v>4</v>
      </c>
      <c r="U488" s="123" t="s">
        <v>809</v>
      </c>
      <c r="V488" s="123" t="s">
        <v>815</v>
      </c>
    </row>
    <row r="489" spans="1:22">
      <c r="A489" s="119" t="s">
        <v>96</v>
      </c>
      <c r="B489" s="119" t="s">
        <v>123</v>
      </c>
      <c r="C489" s="120" t="s">
        <v>600</v>
      </c>
      <c r="D489" s="120">
        <v>2021</v>
      </c>
      <c r="E489" s="120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>
        <f t="shared" si="31"/>
        <v>0</v>
      </c>
      <c r="P489" s="121"/>
      <c r="Q489" s="121"/>
      <c r="R489" s="121"/>
      <c r="T489" s="122">
        <v>5</v>
      </c>
      <c r="U489" s="123" t="s">
        <v>809</v>
      </c>
      <c r="V489" s="123" t="s">
        <v>815</v>
      </c>
    </row>
    <row r="490" spans="1:22">
      <c r="A490" s="119" t="s">
        <v>97</v>
      </c>
      <c r="B490" s="119" t="s">
        <v>124</v>
      </c>
      <c r="C490" s="120" t="s">
        <v>594</v>
      </c>
      <c r="D490" s="120">
        <v>2021</v>
      </c>
      <c r="E490" s="120"/>
      <c r="F490" s="121"/>
      <c r="G490" s="121"/>
      <c r="H490" s="121">
        <f>I490+J490</f>
        <v>1.4719870000000002</v>
      </c>
      <c r="I490" s="121"/>
      <c r="J490" s="121">
        <f>26.7634*0.055</f>
        <v>1.4719870000000002</v>
      </c>
      <c r="K490" s="121"/>
      <c r="L490" s="121"/>
      <c r="M490" s="121"/>
      <c r="N490" s="121"/>
      <c r="O490" s="121">
        <f t="shared" si="31"/>
        <v>1.4719870000000002</v>
      </c>
      <c r="P490" s="121">
        <f>26.7634*0.055</f>
        <v>1.4719870000000002</v>
      </c>
      <c r="Q490" s="121"/>
      <c r="R490" s="121"/>
      <c r="T490" s="122">
        <v>1</v>
      </c>
      <c r="U490" s="123" t="s">
        <v>806</v>
      </c>
      <c r="V490" s="123" t="s">
        <v>816</v>
      </c>
    </row>
    <row r="491" spans="1:22">
      <c r="A491" s="119" t="s">
        <v>97</v>
      </c>
      <c r="B491" s="119" t="s">
        <v>124</v>
      </c>
      <c r="C491" s="120" t="s">
        <v>595</v>
      </c>
      <c r="D491" s="120">
        <v>2021</v>
      </c>
      <c r="E491" s="120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>
        <f t="shared" si="31"/>
        <v>0</v>
      </c>
      <c r="P491" s="121"/>
      <c r="Q491" s="121"/>
      <c r="R491" s="121"/>
      <c r="T491" s="122">
        <v>2</v>
      </c>
      <c r="U491" s="123" t="s">
        <v>806</v>
      </c>
      <c r="V491" s="123" t="s">
        <v>816</v>
      </c>
    </row>
    <row r="492" spans="1:22">
      <c r="A492" s="119" t="s">
        <v>97</v>
      </c>
      <c r="B492" s="119" t="s">
        <v>124</v>
      </c>
      <c r="C492" s="125" t="s">
        <v>700</v>
      </c>
      <c r="D492" s="120">
        <v>2021</v>
      </c>
      <c r="E492" s="120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>
        <f>F492</f>
        <v>0</v>
      </c>
      <c r="P492" s="121"/>
      <c r="Q492" s="121"/>
      <c r="R492" s="121"/>
    </row>
    <row r="493" spans="1:22">
      <c r="A493" s="119" t="s">
        <v>97</v>
      </c>
      <c r="B493" s="119" t="s">
        <v>124</v>
      </c>
      <c r="C493" s="120" t="s">
        <v>596</v>
      </c>
      <c r="D493" s="120">
        <v>2021</v>
      </c>
      <c r="E493" s="120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>
        <f t="shared" si="31"/>
        <v>0</v>
      </c>
      <c r="P493" s="121"/>
      <c r="Q493" s="121"/>
      <c r="R493" s="121"/>
      <c r="T493" s="122">
        <v>3</v>
      </c>
      <c r="U493" s="123" t="s">
        <v>806</v>
      </c>
      <c r="V493" s="123" t="s">
        <v>816</v>
      </c>
    </row>
    <row r="494" spans="1:22">
      <c r="A494" s="119" t="s">
        <v>97</v>
      </c>
      <c r="B494" s="119" t="s">
        <v>124</v>
      </c>
      <c r="C494" s="120" t="s">
        <v>597</v>
      </c>
      <c r="D494" s="120">
        <v>2021</v>
      </c>
      <c r="E494" s="120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>
        <f t="shared" si="31"/>
        <v>0</v>
      </c>
      <c r="P494" s="121"/>
      <c r="Q494" s="121"/>
      <c r="R494" s="121"/>
      <c r="T494" s="122">
        <v>4</v>
      </c>
      <c r="U494" s="123" t="s">
        <v>806</v>
      </c>
      <c r="V494" s="123" t="s">
        <v>816</v>
      </c>
    </row>
    <row r="495" spans="1:22">
      <c r="A495" s="119" t="s">
        <v>97</v>
      </c>
      <c r="B495" s="119" t="s">
        <v>124</v>
      </c>
      <c r="C495" s="120" t="s">
        <v>600</v>
      </c>
      <c r="D495" s="120">
        <v>2021</v>
      </c>
      <c r="E495" s="120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>
        <f t="shared" si="31"/>
        <v>0</v>
      </c>
      <c r="P495" s="121"/>
      <c r="Q495" s="121"/>
      <c r="R495" s="121"/>
      <c r="T495" s="122">
        <v>5</v>
      </c>
      <c r="U495" s="123" t="s">
        <v>806</v>
      </c>
      <c r="V495" s="123" t="s">
        <v>816</v>
      </c>
    </row>
    <row r="496" spans="1:22">
      <c r="A496" s="119" t="s">
        <v>98</v>
      </c>
      <c r="B496" s="119" t="s">
        <v>125</v>
      </c>
      <c r="C496" s="120" t="s">
        <v>594</v>
      </c>
      <c r="D496" s="120">
        <v>2021</v>
      </c>
      <c r="E496" s="120"/>
      <c r="F496" s="121"/>
      <c r="G496" s="121"/>
      <c r="H496" s="121">
        <f>I496+J496</f>
        <v>0.71499999999999997</v>
      </c>
      <c r="I496" s="121"/>
      <c r="J496" s="121">
        <f>13*0.055</f>
        <v>0.71499999999999997</v>
      </c>
      <c r="K496" s="121"/>
      <c r="L496" s="121"/>
      <c r="M496" s="121"/>
      <c r="N496" s="121"/>
      <c r="O496" s="121">
        <f t="shared" si="31"/>
        <v>0.71499999999999997</v>
      </c>
      <c r="P496" s="121">
        <f>13*0.055</f>
        <v>0.71499999999999997</v>
      </c>
      <c r="Q496" s="121"/>
      <c r="R496" s="121"/>
      <c r="T496" s="122">
        <v>1</v>
      </c>
      <c r="U496" s="123" t="s">
        <v>809</v>
      </c>
      <c r="V496" s="123" t="s">
        <v>815</v>
      </c>
    </row>
    <row r="497" spans="1:22">
      <c r="A497" s="119" t="s">
        <v>98</v>
      </c>
      <c r="B497" s="119" t="s">
        <v>125</v>
      </c>
      <c r="C497" s="120" t="s">
        <v>595</v>
      </c>
      <c r="D497" s="120">
        <v>2021</v>
      </c>
      <c r="E497" s="120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>
        <f t="shared" si="31"/>
        <v>0</v>
      </c>
      <c r="P497" s="121"/>
      <c r="Q497" s="121"/>
      <c r="R497" s="121"/>
      <c r="T497" s="122">
        <v>2</v>
      </c>
      <c r="U497" s="123" t="s">
        <v>809</v>
      </c>
      <c r="V497" s="123" t="s">
        <v>815</v>
      </c>
    </row>
    <row r="498" spans="1:22">
      <c r="A498" s="119" t="s">
        <v>98</v>
      </c>
      <c r="B498" s="119" t="s">
        <v>125</v>
      </c>
      <c r="C498" s="120" t="s">
        <v>596</v>
      </c>
      <c r="D498" s="120">
        <v>2021</v>
      </c>
      <c r="E498" s="120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>
        <f t="shared" ref="O498:O539" si="33">F498+H498</f>
        <v>0</v>
      </c>
      <c r="P498" s="121"/>
      <c r="Q498" s="121"/>
      <c r="R498" s="121"/>
      <c r="T498" s="122">
        <v>3</v>
      </c>
      <c r="U498" s="123" t="s">
        <v>809</v>
      </c>
      <c r="V498" s="123" t="s">
        <v>815</v>
      </c>
    </row>
    <row r="499" spans="1:22">
      <c r="A499" s="119" t="s">
        <v>98</v>
      </c>
      <c r="B499" s="119" t="s">
        <v>125</v>
      </c>
      <c r="C499" s="120" t="s">
        <v>597</v>
      </c>
      <c r="D499" s="120">
        <v>2021</v>
      </c>
      <c r="E499" s="120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>
        <f t="shared" si="33"/>
        <v>0</v>
      </c>
      <c r="P499" s="121"/>
      <c r="Q499" s="121"/>
      <c r="R499" s="121"/>
      <c r="T499" s="122">
        <v>4</v>
      </c>
      <c r="U499" s="123" t="s">
        <v>809</v>
      </c>
      <c r="V499" s="123" t="s">
        <v>815</v>
      </c>
    </row>
    <row r="500" spans="1:22">
      <c r="A500" s="119" t="s">
        <v>98</v>
      </c>
      <c r="B500" s="119" t="s">
        <v>125</v>
      </c>
      <c r="C500" s="120" t="s">
        <v>600</v>
      </c>
      <c r="D500" s="120">
        <v>2021</v>
      </c>
      <c r="E500" s="120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>
        <f t="shared" si="33"/>
        <v>0</v>
      </c>
      <c r="P500" s="121"/>
      <c r="Q500" s="121"/>
      <c r="R500" s="121"/>
      <c r="T500" s="122">
        <v>5</v>
      </c>
      <c r="U500" s="123" t="s">
        <v>809</v>
      </c>
      <c r="V500" s="123" t="s">
        <v>815</v>
      </c>
    </row>
    <row r="501" spans="1:22">
      <c r="A501" s="119" t="s">
        <v>772</v>
      </c>
      <c r="B501" s="119" t="s">
        <v>126</v>
      </c>
      <c r="C501" s="120" t="s">
        <v>594</v>
      </c>
      <c r="D501" s="120">
        <v>2021</v>
      </c>
      <c r="E501" s="120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>
        <f t="shared" si="33"/>
        <v>0</v>
      </c>
      <c r="P501" s="121">
        <v>0</v>
      </c>
      <c r="Q501" s="121"/>
      <c r="R501" s="121"/>
      <c r="T501" s="122">
        <v>1</v>
      </c>
      <c r="U501" s="123" t="s">
        <v>806</v>
      </c>
      <c r="V501" s="123" t="s">
        <v>816</v>
      </c>
    </row>
    <row r="502" spans="1:22">
      <c r="A502" s="119" t="s">
        <v>772</v>
      </c>
      <c r="B502" s="119" t="s">
        <v>126</v>
      </c>
      <c r="C502" s="120" t="s">
        <v>595</v>
      </c>
      <c r="D502" s="120">
        <v>2021</v>
      </c>
      <c r="E502" s="120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>
        <f t="shared" si="33"/>
        <v>0</v>
      </c>
      <c r="P502" s="121"/>
      <c r="Q502" s="121"/>
      <c r="R502" s="121"/>
      <c r="T502" s="122">
        <v>2</v>
      </c>
      <c r="U502" s="123" t="s">
        <v>806</v>
      </c>
      <c r="V502" s="123" t="s">
        <v>816</v>
      </c>
    </row>
    <row r="503" spans="1:22">
      <c r="A503" s="119" t="s">
        <v>772</v>
      </c>
      <c r="B503" s="119" t="s">
        <v>126</v>
      </c>
      <c r="C503" s="120" t="s">
        <v>596</v>
      </c>
      <c r="D503" s="120">
        <v>2021</v>
      </c>
      <c r="E503" s="120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>
        <f t="shared" si="33"/>
        <v>0</v>
      </c>
      <c r="P503" s="121"/>
      <c r="Q503" s="121"/>
      <c r="R503" s="121"/>
      <c r="T503" s="122">
        <v>3</v>
      </c>
      <c r="U503" s="123" t="s">
        <v>806</v>
      </c>
      <c r="V503" s="123" t="s">
        <v>816</v>
      </c>
    </row>
    <row r="504" spans="1:22">
      <c r="A504" s="119" t="s">
        <v>772</v>
      </c>
      <c r="B504" s="119" t="s">
        <v>126</v>
      </c>
      <c r="C504" s="120" t="s">
        <v>597</v>
      </c>
      <c r="D504" s="120">
        <v>2021</v>
      </c>
      <c r="E504" s="120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>
        <f t="shared" si="33"/>
        <v>0</v>
      </c>
      <c r="P504" s="121"/>
      <c r="Q504" s="121"/>
      <c r="R504" s="121"/>
      <c r="T504" s="122">
        <v>4</v>
      </c>
      <c r="U504" s="123" t="s">
        <v>806</v>
      </c>
      <c r="V504" s="123" t="s">
        <v>816</v>
      </c>
    </row>
    <row r="505" spans="1:22">
      <c r="A505" s="119" t="s">
        <v>772</v>
      </c>
      <c r="B505" s="119" t="s">
        <v>126</v>
      </c>
      <c r="C505" s="120" t="s">
        <v>600</v>
      </c>
      <c r="D505" s="120">
        <v>2021</v>
      </c>
      <c r="E505" s="120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>
        <f t="shared" si="33"/>
        <v>0</v>
      </c>
      <c r="P505" s="121"/>
      <c r="Q505" s="121"/>
      <c r="R505" s="121"/>
      <c r="T505" s="122">
        <v>5</v>
      </c>
      <c r="U505" s="123" t="s">
        <v>806</v>
      </c>
      <c r="V505" s="123" t="s">
        <v>816</v>
      </c>
    </row>
    <row r="506" spans="1:22">
      <c r="A506" s="119" t="s">
        <v>99</v>
      </c>
      <c r="B506" s="119" t="s">
        <v>127</v>
      </c>
      <c r="C506" s="120" t="s">
        <v>594</v>
      </c>
      <c r="D506" s="120">
        <v>2021</v>
      </c>
      <c r="E506" s="120"/>
      <c r="F506" s="121"/>
      <c r="G506" s="121"/>
      <c r="H506" s="121">
        <f>I506+J506</f>
        <v>0.20845</v>
      </c>
      <c r="I506" s="121"/>
      <c r="J506" s="121">
        <f>3.79*0.055</f>
        <v>0.20845</v>
      </c>
      <c r="K506" s="121"/>
      <c r="L506" s="121"/>
      <c r="M506" s="121"/>
      <c r="N506" s="121"/>
      <c r="O506" s="121">
        <f t="shared" si="33"/>
        <v>0.20845</v>
      </c>
      <c r="P506" s="121">
        <f>3.79*0.055</f>
        <v>0.20845</v>
      </c>
      <c r="Q506" s="121"/>
      <c r="R506" s="121"/>
      <c r="T506" s="122">
        <v>1</v>
      </c>
      <c r="U506" s="123" t="s">
        <v>806</v>
      </c>
      <c r="V506" s="123" t="s">
        <v>807</v>
      </c>
    </row>
    <row r="507" spans="1:22">
      <c r="A507" s="119" t="s">
        <v>99</v>
      </c>
      <c r="B507" s="119" t="s">
        <v>127</v>
      </c>
      <c r="C507" s="120" t="s">
        <v>595</v>
      </c>
      <c r="D507" s="120">
        <v>2021</v>
      </c>
      <c r="E507" s="120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>
        <f t="shared" si="33"/>
        <v>0</v>
      </c>
      <c r="P507" s="121"/>
      <c r="Q507" s="121"/>
      <c r="R507" s="121"/>
      <c r="T507" s="122">
        <v>2</v>
      </c>
      <c r="U507" s="123" t="s">
        <v>806</v>
      </c>
      <c r="V507" s="123" t="s">
        <v>807</v>
      </c>
    </row>
    <row r="508" spans="1:22">
      <c r="A508" s="119" t="s">
        <v>99</v>
      </c>
      <c r="B508" s="119" t="s">
        <v>127</v>
      </c>
      <c r="C508" s="120" t="s">
        <v>596</v>
      </c>
      <c r="D508" s="120">
        <v>2021</v>
      </c>
      <c r="E508" s="120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>
        <f t="shared" si="33"/>
        <v>0</v>
      </c>
      <c r="P508" s="121"/>
      <c r="Q508" s="121"/>
      <c r="R508" s="121"/>
      <c r="T508" s="122">
        <v>3</v>
      </c>
      <c r="U508" s="123" t="s">
        <v>806</v>
      </c>
      <c r="V508" s="123" t="s">
        <v>807</v>
      </c>
    </row>
    <row r="509" spans="1:22">
      <c r="A509" s="119" t="s">
        <v>99</v>
      </c>
      <c r="B509" s="119" t="s">
        <v>127</v>
      </c>
      <c r="C509" s="120" t="s">
        <v>597</v>
      </c>
      <c r="D509" s="120">
        <v>2021</v>
      </c>
      <c r="E509" s="120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>
        <f t="shared" si="33"/>
        <v>0</v>
      </c>
      <c r="P509" s="121"/>
      <c r="Q509" s="121"/>
      <c r="R509" s="121"/>
      <c r="T509" s="122">
        <v>4</v>
      </c>
      <c r="U509" s="123" t="s">
        <v>806</v>
      </c>
      <c r="V509" s="123" t="s">
        <v>807</v>
      </c>
    </row>
    <row r="510" spans="1:22">
      <c r="A510" s="119" t="s">
        <v>99</v>
      </c>
      <c r="B510" s="119" t="s">
        <v>127</v>
      </c>
      <c r="C510" s="120" t="s">
        <v>600</v>
      </c>
      <c r="D510" s="120">
        <v>2021</v>
      </c>
      <c r="E510" s="120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>
        <f t="shared" si="33"/>
        <v>0</v>
      </c>
      <c r="P510" s="121"/>
      <c r="Q510" s="121"/>
      <c r="R510" s="121"/>
      <c r="T510" s="122">
        <v>5</v>
      </c>
      <c r="U510" s="123" t="s">
        <v>806</v>
      </c>
      <c r="V510" s="123" t="s">
        <v>807</v>
      </c>
    </row>
    <row r="511" spans="1:22">
      <c r="A511" s="119" t="s">
        <v>101</v>
      </c>
      <c r="B511" s="119" t="s">
        <v>128</v>
      </c>
      <c r="C511" s="120" t="s">
        <v>594</v>
      </c>
      <c r="D511" s="120">
        <v>2021</v>
      </c>
      <c r="E511" s="120"/>
      <c r="F511" s="121"/>
      <c r="G511" s="121"/>
      <c r="H511" s="121">
        <f>I511+J511</f>
        <v>2.4700499999999996</v>
      </c>
      <c r="I511" s="121"/>
      <c r="J511" s="121">
        <f>44.91*0.055</f>
        <v>2.4700499999999996</v>
      </c>
      <c r="K511" s="121"/>
      <c r="L511" s="121"/>
      <c r="M511" s="121"/>
      <c r="N511" s="121"/>
      <c r="O511" s="121">
        <f t="shared" si="33"/>
        <v>2.4700499999999996</v>
      </c>
      <c r="P511" s="121"/>
      <c r="Q511" s="121"/>
      <c r="R511" s="121"/>
      <c r="T511" s="122">
        <v>1</v>
      </c>
      <c r="U511" s="123" t="s">
        <v>811</v>
      </c>
      <c r="V511" s="123" t="s">
        <v>817</v>
      </c>
    </row>
    <row r="512" spans="1:22">
      <c r="A512" s="119" t="s">
        <v>101</v>
      </c>
      <c r="B512" s="119" t="s">
        <v>128</v>
      </c>
      <c r="C512" s="120" t="s">
        <v>595</v>
      </c>
      <c r="D512" s="120">
        <v>2021</v>
      </c>
      <c r="E512" s="120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>
        <f t="shared" si="33"/>
        <v>0</v>
      </c>
      <c r="P512" s="121"/>
      <c r="Q512" s="121"/>
      <c r="R512" s="121"/>
      <c r="T512" s="122">
        <v>2</v>
      </c>
      <c r="U512" s="123" t="s">
        <v>811</v>
      </c>
      <c r="V512" s="123" t="s">
        <v>817</v>
      </c>
    </row>
    <row r="513" spans="1:22">
      <c r="A513" s="119" t="s">
        <v>101</v>
      </c>
      <c r="B513" s="119" t="s">
        <v>128</v>
      </c>
      <c r="C513" s="120" t="s">
        <v>700</v>
      </c>
      <c r="D513" s="120">
        <v>2021</v>
      </c>
      <c r="E513" s="120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>
        <f t="shared" si="33"/>
        <v>0</v>
      </c>
      <c r="P513" s="121"/>
      <c r="Q513" s="121"/>
      <c r="R513" s="121"/>
      <c r="U513" s="123" t="s">
        <v>811</v>
      </c>
      <c r="V513" s="123" t="s">
        <v>817</v>
      </c>
    </row>
    <row r="514" spans="1:22">
      <c r="A514" s="119" t="s">
        <v>101</v>
      </c>
      <c r="B514" s="119" t="s">
        <v>128</v>
      </c>
      <c r="C514" s="120" t="s">
        <v>596</v>
      </c>
      <c r="D514" s="120">
        <v>2021</v>
      </c>
      <c r="E514" s="120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>
        <f t="shared" si="33"/>
        <v>0</v>
      </c>
      <c r="P514" s="121"/>
      <c r="Q514" s="121"/>
      <c r="R514" s="121"/>
      <c r="T514" s="122">
        <v>3</v>
      </c>
      <c r="U514" s="123" t="s">
        <v>811</v>
      </c>
      <c r="V514" s="123" t="s">
        <v>817</v>
      </c>
    </row>
    <row r="515" spans="1:22">
      <c r="A515" s="119" t="s">
        <v>101</v>
      </c>
      <c r="B515" s="119" t="s">
        <v>128</v>
      </c>
      <c r="C515" s="120" t="s">
        <v>597</v>
      </c>
      <c r="D515" s="120">
        <v>2021</v>
      </c>
      <c r="E515" s="120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>
        <f t="shared" si="33"/>
        <v>0</v>
      </c>
      <c r="P515" s="121"/>
      <c r="Q515" s="121"/>
      <c r="R515" s="121"/>
      <c r="T515" s="122">
        <v>4</v>
      </c>
      <c r="U515" s="123" t="s">
        <v>811</v>
      </c>
      <c r="V515" s="123" t="s">
        <v>817</v>
      </c>
    </row>
    <row r="516" spans="1:22">
      <c r="A516" s="119" t="s">
        <v>101</v>
      </c>
      <c r="B516" s="119" t="s">
        <v>128</v>
      </c>
      <c r="C516" s="120" t="s">
        <v>600</v>
      </c>
      <c r="D516" s="120">
        <v>2021</v>
      </c>
      <c r="E516" s="120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>
        <f t="shared" si="33"/>
        <v>0</v>
      </c>
      <c r="P516" s="121"/>
      <c r="Q516" s="121"/>
      <c r="R516" s="121"/>
      <c r="T516" s="122">
        <v>5</v>
      </c>
      <c r="U516" s="123" t="s">
        <v>811</v>
      </c>
      <c r="V516" s="123" t="s">
        <v>817</v>
      </c>
    </row>
    <row r="517" spans="1:22">
      <c r="A517" s="119" t="s">
        <v>100</v>
      </c>
      <c r="B517" s="119" t="s">
        <v>129</v>
      </c>
      <c r="C517" s="120" t="s">
        <v>594</v>
      </c>
      <c r="D517" s="120">
        <v>2021</v>
      </c>
      <c r="E517" s="120"/>
      <c r="F517" s="121"/>
      <c r="G517" s="121"/>
      <c r="H517" s="121">
        <f>I517+J517</f>
        <v>9.0584999999999987</v>
      </c>
      <c r="I517" s="121"/>
      <c r="J517" s="121">
        <f>164.7*0.055</f>
        <v>9.0584999999999987</v>
      </c>
      <c r="K517" s="121"/>
      <c r="L517" s="121"/>
      <c r="M517" s="121"/>
      <c r="N517" s="121"/>
      <c r="O517" s="121">
        <f t="shared" si="33"/>
        <v>9.0584999999999987</v>
      </c>
      <c r="P517" s="121">
        <f>164.7*0.055</f>
        <v>9.0584999999999987</v>
      </c>
      <c r="Q517" s="121"/>
      <c r="R517" s="121"/>
      <c r="T517" s="122">
        <v>1</v>
      </c>
      <c r="U517" s="123" t="s">
        <v>809</v>
      </c>
      <c r="V517" s="123" t="s">
        <v>810</v>
      </c>
    </row>
    <row r="518" spans="1:22">
      <c r="A518" s="119" t="s">
        <v>100</v>
      </c>
      <c r="B518" s="119" t="s">
        <v>129</v>
      </c>
      <c r="C518" s="120" t="s">
        <v>595</v>
      </c>
      <c r="D518" s="120">
        <v>2021</v>
      </c>
      <c r="E518" s="120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>
        <f t="shared" si="33"/>
        <v>0</v>
      </c>
      <c r="P518" s="121"/>
      <c r="Q518" s="121"/>
      <c r="R518" s="121"/>
      <c r="T518" s="122">
        <v>2</v>
      </c>
      <c r="U518" s="123" t="s">
        <v>809</v>
      </c>
      <c r="V518" s="123" t="s">
        <v>810</v>
      </c>
    </row>
    <row r="519" spans="1:22">
      <c r="A519" s="119" t="s">
        <v>100</v>
      </c>
      <c r="B519" s="119" t="s">
        <v>129</v>
      </c>
      <c r="C519" s="120" t="s">
        <v>596</v>
      </c>
      <c r="D519" s="120">
        <v>2021</v>
      </c>
      <c r="E519" s="120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>
        <f t="shared" si="33"/>
        <v>0</v>
      </c>
      <c r="P519" s="121"/>
      <c r="Q519" s="121"/>
      <c r="R519" s="121"/>
      <c r="T519" s="122">
        <v>3</v>
      </c>
      <c r="U519" s="123" t="s">
        <v>809</v>
      </c>
      <c r="V519" s="123" t="s">
        <v>810</v>
      </c>
    </row>
    <row r="520" spans="1:22">
      <c r="A520" s="119" t="s">
        <v>100</v>
      </c>
      <c r="B520" s="119" t="s">
        <v>129</v>
      </c>
      <c r="C520" s="120" t="s">
        <v>597</v>
      </c>
      <c r="D520" s="120">
        <v>2021</v>
      </c>
      <c r="E520" s="120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>
        <f t="shared" si="33"/>
        <v>0</v>
      </c>
      <c r="P520" s="121"/>
      <c r="Q520" s="121"/>
      <c r="R520" s="121"/>
      <c r="T520" s="122">
        <v>4</v>
      </c>
      <c r="U520" s="123" t="s">
        <v>809</v>
      </c>
      <c r="V520" s="123" t="s">
        <v>810</v>
      </c>
    </row>
    <row r="521" spans="1:22">
      <c r="A521" s="119" t="s">
        <v>100</v>
      </c>
      <c r="B521" s="119" t="s">
        <v>129</v>
      </c>
      <c r="C521" s="120" t="s">
        <v>600</v>
      </c>
      <c r="D521" s="120">
        <v>2021</v>
      </c>
      <c r="E521" s="120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>
        <f t="shared" si="33"/>
        <v>0</v>
      </c>
      <c r="P521" s="121"/>
      <c r="Q521" s="121"/>
      <c r="R521" s="121"/>
      <c r="T521" s="122">
        <v>5</v>
      </c>
      <c r="U521" s="123" t="s">
        <v>809</v>
      </c>
      <c r="V521" s="123" t="s">
        <v>810</v>
      </c>
    </row>
    <row r="522" spans="1:22">
      <c r="A522" s="119" t="s">
        <v>102</v>
      </c>
      <c r="B522" s="119" t="s">
        <v>130</v>
      </c>
      <c r="C522" s="120" t="s">
        <v>594</v>
      </c>
      <c r="D522" s="120">
        <v>2021</v>
      </c>
      <c r="E522" s="120"/>
      <c r="F522" s="121"/>
      <c r="G522" s="121"/>
      <c r="H522" s="121">
        <f>I522+J522</f>
        <v>131.74039999999999</v>
      </c>
      <c r="I522" s="121">
        <f>519.78*0.055</f>
        <v>28.587899999999998</v>
      </c>
      <c r="J522" s="121">
        <f>1875.5*0.055</f>
        <v>103.1525</v>
      </c>
      <c r="K522" s="121"/>
      <c r="L522" s="121"/>
      <c r="M522" s="121"/>
      <c r="N522" s="121"/>
      <c r="O522" s="121">
        <f t="shared" si="33"/>
        <v>131.74039999999999</v>
      </c>
      <c r="P522" s="121"/>
      <c r="Q522" s="121"/>
      <c r="R522" s="121"/>
      <c r="T522" s="122">
        <v>1</v>
      </c>
      <c r="U522" s="123" t="s">
        <v>809</v>
      </c>
      <c r="V522" s="123" t="s">
        <v>815</v>
      </c>
    </row>
    <row r="523" spans="1:22">
      <c r="A523" s="119" t="s">
        <v>102</v>
      </c>
      <c r="B523" s="119" t="s">
        <v>130</v>
      </c>
      <c r="C523" s="120" t="s">
        <v>595</v>
      </c>
      <c r="D523" s="120">
        <v>2021</v>
      </c>
      <c r="E523" s="120"/>
      <c r="F523" s="121">
        <f>167.6*0.11</f>
        <v>18.436</v>
      </c>
      <c r="G523" s="121"/>
      <c r="H523" s="121"/>
      <c r="I523" s="121"/>
      <c r="J523" s="121"/>
      <c r="K523" s="121"/>
      <c r="L523" s="121"/>
      <c r="M523" s="121"/>
      <c r="N523" s="121"/>
      <c r="O523" s="121">
        <f t="shared" si="33"/>
        <v>18.436</v>
      </c>
      <c r="P523" s="121"/>
      <c r="Q523" s="121"/>
      <c r="R523" s="121"/>
      <c r="T523" s="122">
        <v>2</v>
      </c>
      <c r="U523" s="123" t="s">
        <v>809</v>
      </c>
      <c r="V523" s="123" t="s">
        <v>815</v>
      </c>
    </row>
    <row r="524" spans="1:22">
      <c r="A524" s="119" t="s">
        <v>102</v>
      </c>
      <c r="B524" s="119" t="s">
        <v>130</v>
      </c>
      <c r="C524" s="125" t="s">
        <v>700</v>
      </c>
      <c r="D524" s="120">
        <v>2021</v>
      </c>
      <c r="E524" s="120"/>
      <c r="F524" s="121">
        <f>19.85*0.11</f>
        <v>2.1835</v>
      </c>
      <c r="G524" s="121"/>
      <c r="H524" s="121"/>
      <c r="I524" s="121"/>
      <c r="J524" s="121"/>
      <c r="K524" s="121"/>
      <c r="L524" s="121"/>
      <c r="M524" s="121"/>
      <c r="N524" s="121"/>
      <c r="O524" s="121">
        <f t="shared" si="33"/>
        <v>2.1835</v>
      </c>
      <c r="P524" s="121"/>
      <c r="Q524" s="121"/>
      <c r="R524" s="121"/>
      <c r="U524" s="123" t="s">
        <v>809</v>
      </c>
      <c r="V524" s="123" t="s">
        <v>815</v>
      </c>
    </row>
    <row r="525" spans="1:22">
      <c r="A525" s="119" t="s">
        <v>102</v>
      </c>
      <c r="B525" s="119" t="s">
        <v>130</v>
      </c>
      <c r="C525" s="120" t="s">
        <v>596</v>
      </c>
      <c r="D525" s="120">
        <v>2021</v>
      </c>
      <c r="E525" s="120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>
        <f t="shared" si="33"/>
        <v>0</v>
      </c>
      <c r="P525" s="121"/>
      <c r="Q525" s="121"/>
      <c r="R525" s="121"/>
      <c r="T525" s="122">
        <v>3</v>
      </c>
      <c r="U525" s="123" t="s">
        <v>809</v>
      </c>
      <c r="V525" s="123" t="s">
        <v>815</v>
      </c>
    </row>
    <row r="526" spans="1:22">
      <c r="A526" s="119" t="s">
        <v>102</v>
      </c>
      <c r="B526" s="119" t="s">
        <v>130</v>
      </c>
      <c r="C526" s="120" t="s">
        <v>597</v>
      </c>
      <c r="D526" s="120">
        <v>2021</v>
      </c>
      <c r="E526" s="120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>
        <f t="shared" si="33"/>
        <v>0</v>
      </c>
      <c r="P526" s="121"/>
      <c r="Q526" s="121"/>
      <c r="R526" s="121"/>
      <c r="T526" s="122">
        <v>4</v>
      </c>
      <c r="U526" s="123" t="s">
        <v>809</v>
      </c>
      <c r="V526" s="123" t="s">
        <v>815</v>
      </c>
    </row>
    <row r="527" spans="1:22">
      <c r="A527" s="119" t="s">
        <v>102</v>
      </c>
      <c r="B527" s="119" t="s">
        <v>130</v>
      </c>
      <c r="C527" s="120" t="s">
        <v>600</v>
      </c>
      <c r="D527" s="120">
        <v>2021</v>
      </c>
      <c r="E527" s="120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>
        <f t="shared" si="33"/>
        <v>0</v>
      </c>
      <c r="P527" s="121"/>
      <c r="Q527" s="121"/>
      <c r="R527" s="121"/>
      <c r="T527" s="122">
        <v>5</v>
      </c>
      <c r="U527" s="123" t="s">
        <v>809</v>
      </c>
      <c r="V527" s="123" t="s">
        <v>815</v>
      </c>
    </row>
    <row r="528" spans="1:22">
      <c r="A528" s="119" t="s">
        <v>509</v>
      </c>
      <c r="B528" s="119" t="s">
        <v>131</v>
      </c>
      <c r="C528" s="120" t="s">
        <v>594</v>
      </c>
      <c r="D528" s="120">
        <v>2021</v>
      </c>
      <c r="E528" s="120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>
        <f t="shared" si="33"/>
        <v>0</v>
      </c>
      <c r="P528" s="121">
        <v>0</v>
      </c>
      <c r="Q528" s="121"/>
      <c r="R528" s="121"/>
      <c r="T528" s="122">
        <v>1</v>
      </c>
      <c r="U528" s="123" t="s">
        <v>806</v>
      </c>
      <c r="V528" s="123" t="s">
        <v>816</v>
      </c>
    </row>
    <row r="529" spans="1:22">
      <c r="A529" s="119" t="s">
        <v>509</v>
      </c>
      <c r="B529" s="119" t="s">
        <v>131</v>
      </c>
      <c r="C529" s="120" t="s">
        <v>595</v>
      </c>
      <c r="D529" s="120">
        <v>2021</v>
      </c>
      <c r="E529" s="120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>
        <f t="shared" si="33"/>
        <v>0</v>
      </c>
      <c r="P529" s="121"/>
      <c r="Q529" s="121"/>
      <c r="R529" s="121"/>
      <c r="T529" s="122">
        <v>2</v>
      </c>
      <c r="U529" s="123" t="s">
        <v>806</v>
      </c>
      <c r="V529" s="123" t="s">
        <v>816</v>
      </c>
    </row>
    <row r="530" spans="1:22">
      <c r="A530" s="119" t="s">
        <v>509</v>
      </c>
      <c r="B530" s="119" t="s">
        <v>131</v>
      </c>
      <c r="C530" s="120" t="s">
        <v>596</v>
      </c>
      <c r="D530" s="120">
        <v>2021</v>
      </c>
      <c r="E530" s="120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>
        <f t="shared" si="33"/>
        <v>0</v>
      </c>
      <c r="P530" s="121"/>
      <c r="Q530" s="121"/>
      <c r="R530" s="121"/>
      <c r="T530" s="122">
        <v>3</v>
      </c>
      <c r="U530" s="123" t="s">
        <v>806</v>
      </c>
      <c r="V530" s="123" t="s">
        <v>816</v>
      </c>
    </row>
    <row r="531" spans="1:22">
      <c r="A531" s="119" t="s">
        <v>509</v>
      </c>
      <c r="B531" s="119" t="s">
        <v>131</v>
      </c>
      <c r="C531" s="120" t="s">
        <v>597</v>
      </c>
      <c r="D531" s="120">
        <v>2021</v>
      </c>
      <c r="E531" s="120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>
        <f t="shared" si="33"/>
        <v>0</v>
      </c>
      <c r="P531" s="121"/>
      <c r="Q531" s="121"/>
      <c r="R531" s="121"/>
      <c r="T531" s="122">
        <v>4</v>
      </c>
      <c r="U531" s="123" t="s">
        <v>806</v>
      </c>
      <c r="V531" s="123" t="s">
        <v>816</v>
      </c>
    </row>
    <row r="532" spans="1:22">
      <c r="A532" s="119" t="s">
        <v>509</v>
      </c>
      <c r="B532" s="119" t="s">
        <v>131</v>
      </c>
      <c r="C532" s="120" t="s">
        <v>600</v>
      </c>
      <c r="D532" s="120">
        <v>2021</v>
      </c>
      <c r="E532" s="120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>
        <f t="shared" si="33"/>
        <v>0</v>
      </c>
      <c r="P532" s="121"/>
      <c r="Q532" s="121"/>
      <c r="R532" s="121"/>
      <c r="T532" s="122">
        <v>5</v>
      </c>
      <c r="U532" s="123" t="s">
        <v>806</v>
      </c>
      <c r="V532" s="123" t="s">
        <v>816</v>
      </c>
    </row>
    <row r="533" spans="1:22">
      <c r="A533" s="119" t="s">
        <v>847</v>
      </c>
      <c r="B533" s="119" t="s">
        <v>34</v>
      </c>
      <c r="C533" s="120" t="s">
        <v>594</v>
      </c>
      <c r="D533" s="120">
        <v>2021</v>
      </c>
      <c r="E533" s="120"/>
      <c r="F533" s="121"/>
      <c r="G533" s="121"/>
      <c r="H533" s="121">
        <f>I533+J533</f>
        <v>0.40260000000000001</v>
      </c>
      <c r="I533" s="121"/>
      <c r="J533" s="121">
        <f>7.32*0.055</f>
        <v>0.40260000000000001</v>
      </c>
      <c r="K533" s="121"/>
      <c r="L533" s="121"/>
      <c r="M533" s="121"/>
      <c r="N533" s="121"/>
      <c r="O533" s="121">
        <f t="shared" ref="O533:O538" si="34">F533+H533</f>
        <v>0.40260000000000001</v>
      </c>
      <c r="P533" s="121">
        <v>0</v>
      </c>
      <c r="Q533" s="121"/>
      <c r="R533" s="121"/>
      <c r="T533" s="122">
        <v>1</v>
      </c>
      <c r="U533" s="123" t="s">
        <v>808</v>
      </c>
      <c r="V533" s="123" t="s">
        <v>808</v>
      </c>
    </row>
    <row r="534" spans="1:22">
      <c r="A534" s="119" t="s">
        <v>847</v>
      </c>
      <c r="B534" s="119" t="s">
        <v>34</v>
      </c>
      <c r="C534" s="120" t="s">
        <v>595</v>
      </c>
      <c r="D534" s="120">
        <v>2021</v>
      </c>
      <c r="E534" s="120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>
        <f t="shared" si="34"/>
        <v>0</v>
      </c>
      <c r="P534" s="121"/>
      <c r="Q534" s="121"/>
      <c r="R534" s="121"/>
      <c r="T534" s="122">
        <v>2</v>
      </c>
      <c r="U534" s="123" t="s">
        <v>808</v>
      </c>
      <c r="V534" s="123" t="s">
        <v>808</v>
      </c>
    </row>
    <row r="535" spans="1:22">
      <c r="A535" s="119" t="s">
        <v>847</v>
      </c>
      <c r="B535" s="119" t="s">
        <v>34</v>
      </c>
      <c r="C535" s="120" t="s">
        <v>700</v>
      </c>
      <c r="D535" s="120">
        <v>2021</v>
      </c>
      <c r="E535" s="120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>
        <f t="shared" si="34"/>
        <v>0</v>
      </c>
      <c r="P535" s="121"/>
      <c r="Q535" s="121"/>
      <c r="R535" s="121"/>
      <c r="U535" s="123" t="s">
        <v>808</v>
      </c>
      <c r="V535" s="123" t="s">
        <v>808</v>
      </c>
    </row>
    <row r="536" spans="1:22">
      <c r="A536" s="119" t="s">
        <v>847</v>
      </c>
      <c r="B536" s="119" t="s">
        <v>34</v>
      </c>
      <c r="C536" s="120" t="s">
        <v>596</v>
      </c>
      <c r="D536" s="120">
        <v>2021</v>
      </c>
      <c r="E536" s="120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>
        <f t="shared" si="34"/>
        <v>0</v>
      </c>
      <c r="P536" s="121"/>
      <c r="Q536" s="121"/>
      <c r="R536" s="121"/>
      <c r="T536" s="122">
        <v>3</v>
      </c>
      <c r="U536" s="123" t="s">
        <v>808</v>
      </c>
      <c r="V536" s="123" t="s">
        <v>808</v>
      </c>
    </row>
    <row r="537" spans="1:22">
      <c r="A537" s="119" t="s">
        <v>847</v>
      </c>
      <c r="B537" s="119" t="s">
        <v>34</v>
      </c>
      <c r="C537" s="120" t="s">
        <v>597</v>
      </c>
      <c r="D537" s="120">
        <v>2021</v>
      </c>
      <c r="E537" s="120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>
        <f t="shared" si="34"/>
        <v>0</v>
      </c>
      <c r="P537" s="121"/>
      <c r="Q537" s="121"/>
      <c r="R537" s="121"/>
      <c r="T537" s="122">
        <v>4</v>
      </c>
      <c r="U537" s="123" t="s">
        <v>808</v>
      </c>
      <c r="V537" s="123" t="s">
        <v>808</v>
      </c>
    </row>
    <row r="538" spans="1:22">
      <c r="A538" s="119" t="s">
        <v>847</v>
      </c>
      <c r="B538" s="119" t="s">
        <v>34</v>
      </c>
      <c r="C538" s="120" t="s">
        <v>600</v>
      </c>
      <c r="D538" s="120">
        <v>2021</v>
      </c>
      <c r="E538" s="120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>
        <f t="shared" si="34"/>
        <v>0</v>
      </c>
      <c r="P538" s="121"/>
      <c r="Q538" s="121"/>
      <c r="R538" s="121"/>
      <c r="T538" s="122">
        <v>5</v>
      </c>
      <c r="U538" s="123" t="s">
        <v>808</v>
      </c>
      <c r="V538" s="123" t="s">
        <v>808</v>
      </c>
    </row>
    <row r="539" spans="1:22">
      <c r="A539" s="119" t="s">
        <v>545</v>
      </c>
      <c r="B539" s="119" t="s">
        <v>132</v>
      </c>
      <c r="C539" s="120" t="s">
        <v>594</v>
      </c>
      <c r="D539" s="120">
        <v>2021</v>
      </c>
      <c r="E539" s="120"/>
      <c r="F539" s="121"/>
      <c r="G539" s="121"/>
      <c r="H539" s="121">
        <f>I539+J539</f>
        <v>14.84615</v>
      </c>
      <c r="I539" s="121"/>
      <c r="J539" s="121">
        <f>269.93*0.055</f>
        <v>14.84615</v>
      </c>
      <c r="K539" s="121"/>
      <c r="L539" s="121"/>
      <c r="M539" s="121"/>
      <c r="N539" s="121"/>
      <c r="O539" s="121">
        <f t="shared" si="33"/>
        <v>14.84615</v>
      </c>
      <c r="P539" s="121">
        <f>269.93*0.055</f>
        <v>14.84615</v>
      </c>
      <c r="Q539" s="121"/>
      <c r="R539" s="121"/>
      <c r="T539" s="122">
        <v>1</v>
      </c>
      <c r="U539" s="123" t="s">
        <v>806</v>
      </c>
      <c r="V539" s="123" t="s">
        <v>814</v>
      </c>
    </row>
    <row r="540" spans="1:22">
      <c r="A540" s="119" t="s">
        <v>545</v>
      </c>
      <c r="B540" s="119" t="s">
        <v>132</v>
      </c>
      <c r="C540" s="120" t="s">
        <v>595</v>
      </c>
      <c r="D540" s="120">
        <v>2021</v>
      </c>
      <c r="E540" s="120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>
        <f>F540+H540+K540</f>
        <v>0</v>
      </c>
      <c r="P540" s="121"/>
      <c r="Q540" s="121"/>
      <c r="R540" s="121"/>
      <c r="T540" s="122">
        <v>2</v>
      </c>
      <c r="U540" s="123" t="s">
        <v>806</v>
      </c>
      <c r="V540" s="123" t="s">
        <v>814</v>
      </c>
    </row>
    <row r="541" spans="1:22">
      <c r="A541" s="119" t="s">
        <v>545</v>
      </c>
      <c r="B541" s="119" t="s">
        <v>132</v>
      </c>
      <c r="C541" s="125" t="s">
        <v>700</v>
      </c>
      <c r="D541" s="120">
        <v>2021</v>
      </c>
      <c r="E541" s="120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>
        <f>F541+H541+K541</f>
        <v>0</v>
      </c>
      <c r="P541" s="121"/>
      <c r="Q541" s="121"/>
      <c r="R541" s="121"/>
      <c r="U541" s="123" t="s">
        <v>806</v>
      </c>
      <c r="V541" s="123" t="s">
        <v>814</v>
      </c>
    </row>
    <row r="542" spans="1:22" ht="9.6" customHeight="1">
      <c r="A542" s="119" t="s">
        <v>545</v>
      </c>
      <c r="B542" s="119" t="s">
        <v>132</v>
      </c>
      <c r="C542" s="120" t="s">
        <v>596</v>
      </c>
      <c r="D542" s="120">
        <v>2021</v>
      </c>
      <c r="E542" s="120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>
        <f t="shared" ref="O542:O578" si="35">F542+H542</f>
        <v>0</v>
      </c>
      <c r="P542" s="121"/>
      <c r="Q542" s="121"/>
      <c r="R542" s="121"/>
      <c r="T542" s="122">
        <v>3</v>
      </c>
      <c r="U542" s="123" t="s">
        <v>806</v>
      </c>
      <c r="V542" s="123" t="s">
        <v>814</v>
      </c>
    </row>
    <row r="543" spans="1:22">
      <c r="A543" s="119" t="s">
        <v>545</v>
      </c>
      <c r="B543" s="119" t="s">
        <v>132</v>
      </c>
      <c r="C543" s="120" t="s">
        <v>597</v>
      </c>
      <c r="D543" s="120">
        <v>2021</v>
      </c>
      <c r="E543" s="120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>
        <f t="shared" si="35"/>
        <v>0</v>
      </c>
      <c r="P543" s="121"/>
      <c r="Q543" s="121"/>
      <c r="R543" s="121"/>
      <c r="T543" s="122">
        <v>4</v>
      </c>
      <c r="U543" s="123" t="s">
        <v>806</v>
      </c>
      <c r="V543" s="123" t="s">
        <v>814</v>
      </c>
    </row>
    <row r="544" spans="1:22">
      <c r="A544" s="119" t="s">
        <v>545</v>
      </c>
      <c r="B544" s="119" t="s">
        <v>132</v>
      </c>
      <c r="C544" s="120" t="s">
        <v>600</v>
      </c>
      <c r="D544" s="120">
        <v>2021</v>
      </c>
      <c r="E544" s="120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>
        <f t="shared" si="35"/>
        <v>0</v>
      </c>
      <c r="P544" s="121"/>
      <c r="Q544" s="121"/>
      <c r="R544" s="121"/>
      <c r="T544" s="122">
        <v>5</v>
      </c>
      <c r="U544" s="123" t="s">
        <v>806</v>
      </c>
      <c r="V544" s="123" t="s">
        <v>814</v>
      </c>
    </row>
    <row r="545" spans="1:22">
      <c r="A545" s="119" t="s">
        <v>546</v>
      </c>
      <c r="B545" s="119" t="s">
        <v>133</v>
      </c>
      <c r="C545" s="120" t="s">
        <v>594</v>
      </c>
      <c r="D545" s="120">
        <v>2021</v>
      </c>
      <c r="E545" s="120"/>
      <c r="F545" s="121">
        <f>30.81*0.055</f>
        <v>1.69455</v>
      </c>
      <c r="G545" s="121"/>
      <c r="H545" s="121">
        <f>I545+J545</f>
        <v>110.83489999999999</v>
      </c>
      <c r="I545" s="121">
        <f>49*0.055</f>
        <v>2.6949999999999998</v>
      </c>
      <c r="J545" s="121">
        <f>1966.18*0.055</f>
        <v>108.1399</v>
      </c>
      <c r="K545" s="121"/>
      <c r="L545" s="121"/>
      <c r="M545" s="121"/>
      <c r="N545" s="121"/>
      <c r="O545" s="121">
        <f t="shared" si="35"/>
        <v>112.52945</v>
      </c>
      <c r="P545" s="121">
        <f>2045.99*0.055</f>
        <v>112.52945</v>
      </c>
      <c r="Q545" s="121"/>
      <c r="R545" s="121"/>
      <c r="T545" s="122">
        <v>1</v>
      </c>
      <c r="U545" s="123" t="s">
        <v>806</v>
      </c>
      <c r="V545" s="123" t="s">
        <v>807</v>
      </c>
    </row>
    <row r="546" spans="1:22">
      <c r="A546" s="119" t="s">
        <v>546</v>
      </c>
      <c r="B546" s="119" t="s">
        <v>133</v>
      </c>
      <c r="C546" s="120" t="s">
        <v>595</v>
      </c>
      <c r="D546" s="120">
        <v>2021</v>
      </c>
      <c r="E546" s="120"/>
      <c r="F546" s="121">
        <f>73*0.11</f>
        <v>8.0299999999999994</v>
      </c>
      <c r="G546" s="121"/>
      <c r="H546" s="121"/>
      <c r="I546" s="121"/>
      <c r="J546" s="121"/>
      <c r="K546" s="121"/>
      <c r="L546" s="121"/>
      <c r="M546" s="121"/>
      <c r="N546" s="121"/>
      <c r="O546" s="121">
        <f t="shared" si="35"/>
        <v>8.0299999999999994</v>
      </c>
      <c r="P546" s="121">
        <f>73*0.11</f>
        <v>8.0299999999999994</v>
      </c>
      <c r="Q546" s="121"/>
      <c r="R546" s="121"/>
      <c r="T546" s="122">
        <v>2</v>
      </c>
      <c r="U546" s="123" t="s">
        <v>806</v>
      </c>
      <c r="V546" s="123" t="s">
        <v>807</v>
      </c>
    </row>
    <row r="547" spans="1:22">
      <c r="A547" s="119" t="s">
        <v>546</v>
      </c>
      <c r="B547" s="119" t="s">
        <v>133</v>
      </c>
      <c r="C547" s="120" t="s">
        <v>700</v>
      </c>
      <c r="D547" s="120">
        <v>2021</v>
      </c>
      <c r="E547" s="120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>
        <f t="shared" si="35"/>
        <v>0</v>
      </c>
      <c r="P547" s="121"/>
      <c r="Q547" s="121"/>
      <c r="R547" s="121"/>
    </row>
    <row r="548" spans="1:22">
      <c r="A548" s="119" t="s">
        <v>546</v>
      </c>
      <c r="B548" s="119" t="s">
        <v>133</v>
      </c>
      <c r="C548" s="120" t="s">
        <v>596</v>
      </c>
      <c r="D548" s="120">
        <v>2021</v>
      </c>
      <c r="E548" s="120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>
        <f t="shared" si="35"/>
        <v>0</v>
      </c>
      <c r="P548" s="121"/>
      <c r="Q548" s="121"/>
      <c r="R548" s="121"/>
      <c r="T548" s="122">
        <v>3</v>
      </c>
      <c r="U548" s="123" t="s">
        <v>806</v>
      </c>
      <c r="V548" s="123" t="s">
        <v>807</v>
      </c>
    </row>
    <row r="549" spans="1:22">
      <c r="A549" s="119" t="s">
        <v>546</v>
      </c>
      <c r="B549" s="119" t="s">
        <v>133</v>
      </c>
      <c r="C549" s="120" t="s">
        <v>597</v>
      </c>
      <c r="D549" s="120">
        <v>2021</v>
      </c>
      <c r="E549" s="120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>
        <f t="shared" si="35"/>
        <v>0</v>
      </c>
      <c r="P549" s="121"/>
      <c r="Q549" s="121"/>
      <c r="R549" s="121"/>
      <c r="T549" s="122">
        <v>4</v>
      </c>
      <c r="U549" s="123" t="s">
        <v>806</v>
      </c>
      <c r="V549" s="123" t="s">
        <v>807</v>
      </c>
    </row>
    <row r="550" spans="1:22">
      <c r="A550" s="119" t="s">
        <v>546</v>
      </c>
      <c r="B550" s="119" t="s">
        <v>133</v>
      </c>
      <c r="C550" s="120" t="s">
        <v>600</v>
      </c>
      <c r="D550" s="120">
        <v>2021</v>
      </c>
      <c r="E550" s="120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>
        <f t="shared" si="35"/>
        <v>0</v>
      </c>
      <c r="P550" s="121"/>
      <c r="Q550" s="121"/>
      <c r="R550" s="121"/>
      <c r="T550" s="122">
        <v>5</v>
      </c>
      <c r="U550" s="123" t="s">
        <v>806</v>
      </c>
      <c r="V550" s="123" t="s">
        <v>807</v>
      </c>
    </row>
    <row r="551" spans="1:22">
      <c r="A551" s="119" t="s">
        <v>767</v>
      </c>
      <c r="B551" s="119" t="s">
        <v>134</v>
      </c>
      <c r="C551" s="120" t="s">
        <v>594</v>
      </c>
      <c r="D551" s="120">
        <v>2021</v>
      </c>
      <c r="E551" s="120"/>
      <c r="F551" s="121"/>
      <c r="G551" s="121"/>
      <c r="H551" s="128">
        <f>I551+J551</f>
        <v>3.8500000000000006E-3</v>
      </c>
      <c r="I551" s="128"/>
      <c r="J551" s="128">
        <f>0.07*0.055</f>
        <v>3.8500000000000006E-3</v>
      </c>
      <c r="K551" s="121"/>
      <c r="L551" s="121"/>
      <c r="M551" s="121"/>
      <c r="N551" s="121"/>
      <c r="O551" s="128">
        <f t="shared" si="35"/>
        <v>3.8500000000000006E-3</v>
      </c>
      <c r="P551" s="121"/>
      <c r="Q551" s="121"/>
      <c r="R551" s="121"/>
      <c r="T551" s="122">
        <v>1</v>
      </c>
      <c r="U551" s="123" t="s">
        <v>806</v>
      </c>
      <c r="V551" s="123" t="s">
        <v>816</v>
      </c>
    </row>
    <row r="552" spans="1:22">
      <c r="A552" s="119" t="s">
        <v>767</v>
      </c>
      <c r="B552" s="119" t="s">
        <v>134</v>
      </c>
      <c r="C552" s="120" t="s">
        <v>595</v>
      </c>
      <c r="D552" s="120">
        <v>2021</v>
      </c>
      <c r="E552" s="120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>
        <f t="shared" si="35"/>
        <v>0</v>
      </c>
      <c r="P552" s="121"/>
      <c r="Q552" s="121"/>
      <c r="R552" s="121"/>
      <c r="T552" s="122">
        <v>2</v>
      </c>
      <c r="U552" s="123" t="s">
        <v>806</v>
      </c>
      <c r="V552" s="123" t="s">
        <v>816</v>
      </c>
    </row>
    <row r="553" spans="1:22">
      <c r="A553" s="119" t="s">
        <v>767</v>
      </c>
      <c r="B553" s="119" t="s">
        <v>134</v>
      </c>
      <c r="C553" s="120" t="s">
        <v>596</v>
      </c>
      <c r="D553" s="120">
        <v>2021</v>
      </c>
      <c r="E553" s="120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>
        <f t="shared" si="35"/>
        <v>0</v>
      </c>
      <c r="P553" s="121"/>
      <c r="Q553" s="121"/>
      <c r="R553" s="121"/>
      <c r="T553" s="122">
        <v>3</v>
      </c>
      <c r="U553" s="123" t="s">
        <v>806</v>
      </c>
      <c r="V553" s="123" t="s">
        <v>816</v>
      </c>
    </row>
    <row r="554" spans="1:22">
      <c r="A554" s="119" t="s">
        <v>767</v>
      </c>
      <c r="B554" s="119" t="s">
        <v>134</v>
      </c>
      <c r="C554" s="120" t="s">
        <v>597</v>
      </c>
      <c r="D554" s="120">
        <v>2021</v>
      </c>
      <c r="E554" s="120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>
        <f t="shared" si="35"/>
        <v>0</v>
      </c>
      <c r="P554" s="121"/>
      <c r="Q554" s="121"/>
      <c r="R554" s="121"/>
      <c r="T554" s="122">
        <v>4</v>
      </c>
      <c r="U554" s="123" t="s">
        <v>806</v>
      </c>
      <c r="V554" s="123" t="s">
        <v>816</v>
      </c>
    </row>
    <row r="555" spans="1:22">
      <c r="A555" s="119" t="s">
        <v>767</v>
      </c>
      <c r="B555" s="119" t="s">
        <v>134</v>
      </c>
      <c r="C555" s="120" t="s">
        <v>600</v>
      </c>
      <c r="D555" s="120">
        <v>2021</v>
      </c>
      <c r="E555" s="120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>
        <f t="shared" si="35"/>
        <v>0</v>
      </c>
      <c r="P555" s="121"/>
      <c r="Q555" s="121"/>
      <c r="R555" s="121"/>
      <c r="T555" s="122">
        <v>5</v>
      </c>
      <c r="U555" s="123" t="s">
        <v>806</v>
      </c>
      <c r="V555" s="123" t="s">
        <v>816</v>
      </c>
    </row>
    <row r="556" spans="1:22">
      <c r="A556" s="119" t="s">
        <v>548</v>
      </c>
      <c r="B556" s="119" t="s">
        <v>135</v>
      </c>
      <c r="C556" s="120" t="s">
        <v>594</v>
      </c>
      <c r="D556" s="120">
        <v>2021</v>
      </c>
      <c r="E556" s="120"/>
      <c r="F556" s="121"/>
      <c r="G556" s="121"/>
      <c r="H556" s="121">
        <f>I556+J556</f>
        <v>10.78891</v>
      </c>
      <c r="I556" s="121"/>
      <c r="J556" s="121">
        <f>196.162*0.055</f>
        <v>10.78891</v>
      </c>
      <c r="K556" s="121"/>
      <c r="L556" s="121"/>
      <c r="M556" s="121"/>
      <c r="N556" s="121"/>
      <c r="O556" s="121">
        <f t="shared" si="35"/>
        <v>10.78891</v>
      </c>
      <c r="P556" s="121"/>
      <c r="Q556" s="121"/>
      <c r="R556" s="121"/>
      <c r="T556" s="122">
        <v>1</v>
      </c>
      <c r="U556" s="123" t="s">
        <v>811</v>
      </c>
      <c r="V556" s="123" t="s">
        <v>817</v>
      </c>
    </row>
    <row r="557" spans="1:22">
      <c r="A557" s="119" t="s">
        <v>548</v>
      </c>
      <c r="B557" s="119" t="s">
        <v>135</v>
      </c>
      <c r="C557" s="120" t="s">
        <v>595</v>
      </c>
      <c r="D557" s="120">
        <v>2021</v>
      </c>
      <c r="E557" s="120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>
        <f t="shared" si="35"/>
        <v>0</v>
      </c>
      <c r="P557" s="121"/>
      <c r="Q557" s="121"/>
      <c r="R557" s="121"/>
      <c r="T557" s="122">
        <v>2</v>
      </c>
      <c r="U557" s="123" t="s">
        <v>811</v>
      </c>
      <c r="V557" s="123" t="s">
        <v>817</v>
      </c>
    </row>
    <row r="558" spans="1:22">
      <c r="A558" s="119" t="s">
        <v>548</v>
      </c>
      <c r="B558" s="119" t="s">
        <v>135</v>
      </c>
      <c r="C558" s="125" t="s">
        <v>700</v>
      </c>
      <c r="D558" s="120">
        <v>2021</v>
      </c>
      <c r="E558" s="120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>
        <f t="shared" si="35"/>
        <v>0</v>
      </c>
      <c r="P558" s="121"/>
      <c r="Q558" s="121"/>
      <c r="R558" s="121"/>
      <c r="U558" s="123" t="s">
        <v>811</v>
      </c>
      <c r="V558" s="123" t="s">
        <v>817</v>
      </c>
    </row>
    <row r="559" spans="1:22">
      <c r="A559" s="119" t="s">
        <v>548</v>
      </c>
      <c r="B559" s="119" t="s">
        <v>135</v>
      </c>
      <c r="C559" s="120" t="s">
        <v>596</v>
      </c>
      <c r="D559" s="120">
        <v>2021</v>
      </c>
      <c r="E559" s="120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>
        <f t="shared" si="35"/>
        <v>0</v>
      </c>
      <c r="P559" s="121"/>
      <c r="Q559" s="121"/>
      <c r="R559" s="121"/>
      <c r="T559" s="122">
        <v>3</v>
      </c>
      <c r="U559" s="123" t="s">
        <v>811</v>
      </c>
      <c r="V559" s="123" t="s">
        <v>817</v>
      </c>
    </row>
    <row r="560" spans="1:22">
      <c r="A560" s="119" t="s">
        <v>548</v>
      </c>
      <c r="B560" s="119" t="s">
        <v>135</v>
      </c>
      <c r="C560" s="120" t="s">
        <v>597</v>
      </c>
      <c r="D560" s="120">
        <v>2021</v>
      </c>
      <c r="E560" s="120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>
        <f t="shared" si="35"/>
        <v>0</v>
      </c>
      <c r="P560" s="121"/>
      <c r="Q560" s="121"/>
      <c r="R560" s="121"/>
      <c r="T560" s="122">
        <v>4</v>
      </c>
      <c r="U560" s="123" t="s">
        <v>811</v>
      </c>
      <c r="V560" s="123" t="s">
        <v>817</v>
      </c>
    </row>
    <row r="561" spans="1:22">
      <c r="A561" s="119" t="s">
        <v>548</v>
      </c>
      <c r="B561" s="119" t="s">
        <v>135</v>
      </c>
      <c r="C561" s="120" t="s">
        <v>600</v>
      </c>
      <c r="D561" s="120">
        <v>2021</v>
      </c>
      <c r="E561" s="120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>
        <f t="shared" si="35"/>
        <v>0</v>
      </c>
      <c r="P561" s="121"/>
      <c r="Q561" s="121"/>
      <c r="R561" s="121"/>
      <c r="T561" s="122">
        <v>5</v>
      </c>
      <c r="U561" s="123" t="s">
        <v>811</v>
      </c>
      <c r="V561" s="123" t="s">
        <v>817</v>
      </c>
    </row>
    <row r="562" spans="1:22">
      <c r="A562" s="119" t="s">
        <v>552</v>
      </c>
      <c r="B562" s="119" t="s">
        <v>136</v>
      </c>
      <c r="C562" s="120" t="s">
        <v>594</v>
      </c>
      <c r="D562" s="120">
        <v>2021</v>
      </c>
      <c r="E562" s="120"/>
      <c r="F562" s="121"/>
      <c r="G562" s="121"/>
      <c r="H562" s="121">
        <f>I562+J562</f>
        <v>0.86680000000000001</v>
      </c>
      <c r="I562" s="121"/>
      <c r="J562" s="121">
        <f>15.76*0.055</f>
        <v>0.86680000000000001</v>
      </c>
      <c r="K562" s="121"/>
      <c r="L562" s="121"/>
      <c r="M562" s="121"/>
      <c r="N562" s="121"/>
      <c r="O562" s="121">
        <f t="shared" si="35"/>
        <v>0.86680000000000001</v>
      </c>
      <c r="P562" s="121">
        <f>15.76*0.055</f>
        <v>0.86680000000000001</v>
      </c>
      <c r="Q562" s="121"/>
      <c r="R562" s="121"/>
      <c r="T562" s="122">
        <v>1</v>
      </c>
      <c r="U562" s="123" t="s">
        <v>806</v>
      </c>
      <c r="V562" s="123" t="s">
        <v>816</v>
      </c>
    </row>
    <row r="563" spans="1:22">
      <c r="A563" s="119" t="s">
        <v>552</v>
      </c>
      <c r="B563" s="119" t="s">
        <v>136</v>
      </c>
      <c r="C563" s="120" t="s">
        <v>595</v>
      </c>
      <c r="D563" s="120">
        <v>2021</v>
      </c>
      <c r="E563" s="120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>
        <f t="shared" si="35"/>
        <v>0</v>
      </c>
      <c r="P563" s="121"/>
      <c r="Q563" s="121"/>
      <c r="R563" s="121"/>
      <c r="T563" s="122">
        <v>2</v>
      </c>
      <c r="U563" s="123" t="s">
        <v>806</v>
      </c>
      <c r="V563" s="123" t="s">
        <v>816</v>
      </c>
    </row>
    <row r="564" spans="1:22">
      <c r="A564" s="119" t="s">
        <v>552</v>
      </c>
      <c r="B564" s="119" t="s">
        <v>136</v>
      </c>
      <c r="C564" s="120" t="s">
        <v>596</v>
      </c>
      <c r="D564" s="120">
        <v>2021</v>
      </c>
      <c r="E564" s="120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>
        <f t="shared" si="35"/>
        <v>0</v>
      </c>
      <c r="P564" s="121"/>
      <c r="Q564" s="121"/>
      <c r="R564" s="121"/>
      <c r="T564" s="122">
        <v>3</v>
      </c>
      <c r="U564" s="123" t="s">
        <v>806</v>
      </c>
      <c r="V564" s="123" t="s">
        <v>816</v>
      </c>
    </row>
    <row r="565" spans="1:22">
      <c r="A565" s="119" t="s">
        <v>552</v>
      </c>
      <c r="B565" s="119" t="s">
        <v>136</v>
      </c>
      <c r="C565" s="120" t="s">
        <v>597</v>
      </c>
      <c r="D565" s="120">
        <v>2021</v>
      </c>
      <c r="E565" s="120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>
        <f t="shared" si="35"/>
        <v>0</v>
      </c>
      <c r="P565" s="121"/>
      <c r="Q565" s="121"/>
      <c r="R565" s="121"/>
      <c r="T565" s="122">
        <v>4</v>
      </c>
      <c r="U565" s="123" t="s">
        <v>806</v>
      </c>
      <c r="V565" s="123" t="s">
        <v>816</v>
      </c>
    </row>
    <row r="566" spans="1:22">
      <c r="A566" s="119" t="s">
        <v>552</v>
      </c>
      <c r="B566" s="119" t="s">
        <v>136</v>
      </c>
      <c r="C566" s="120" t="s">
        <v>600</v>
      </c>
      <c r="D566" s="120">
        <v>2021</v>
      </c>
      <c r="E566" s="120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>
        <f t="shared" si="35"/>
        <v>0</v>
      </c>
      <c r="P566" s="121"/>
      <c r="Q566" s="121"/>
      <c r="R566" s="121"/>
      <c r="T566" s="122">
        <v>5</v>
      </c>
      <c r="U566" s="123" t="s">
        <v>806</v>
      </c>
      <c r="V566" s="123" t="s">
        <v>816</v>
      </c>
    </row>
    <row r="567" spans="1:22">
      <c r="A567" s="119" t="s">
        <v>549</v>
      </c>
      <c r="B567" s="119" t="s">
        <v>137</v>
      </c>
      <c r="C567" s="120" t="s">
        <v>594</v>
      </c>
      <c r="D567" s="120">
        <v>2022</v>
      </c>
      <c r="E567" s="120"/>
      <c r="F567" s="121"/>
      <c r="G567" s="121"/>
      <c r="H567" s="121">
        <f>I567+J567</f>
        <v>9.7713000000000001</v>
      </c>
      <c r="I567" s="121"/>
      <c r="J567" s="121">
        <f>177.66*0.055</f>
        <v>9.7713000000000001</v>
      </c>
      <c r="K567" s="121"/>
      <c r="L567" s="121"/>
      <c r="M567" s="121"/>
      <c r="N567" s="121"/>
      <c r="O567" s="121">
        <f t="shared" ref="O567:O572" si="36">F567+H567+G567</f>
        <v>9.7713000000000001</v>
      </c>
      <c r="P567" s="121">
        <f>177.66*0.055</f>
        <v>9.7713000000000001</v>
      </c>
      <c r="Q567" s="121"/>
      <c r="R567" s="121"/>
      <c r="T567" s="122">
        <v>1</v>
      </c>
      <c r="U567" s="123" t="s">
        <v>811</v>
      </c>
      <c r="V567" s="123" t="s">
        <v>813</v>
      </c>
    </row>
    <row r="568" spans="1:22">
      <c r="A568" s="119" t="s">
        <v>549</v>
      </c>
      <c r="B568" s="119" t="s">
        <v>137</v>
      </c>
      <c r="C568" s="120" t="s">
        <v>595</v>
      </c>
      <c r="D568" s="120">
        <v>2022</v>
      </c>
      <c r="E568" s="120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>
        <f t="shared" si="36"/>
        <v>0</v>
      </c>
      <c r="P568" s="121"/>
      <c r="Q568" s="121"/>
      <c r="R568" s="121"/>
      <c r="T568" s="122">
        <v>2</v>
      </c>
      <c r="U568" s="123" t="s">
        <v>811</v>
      </c>
      <c r="V568" s="123" t="s">
        <v>813</v>
      </c>
    </row>
    <row r="569" spans="1:22">
      <c r="A569" s="119" t="s">
        <v>549</v>
      </c>
      <c r="B569" s="119" t="s">
        <v>137</v>
      </c>
      <c r="C569" s="125" t="s">
        <v>700</v>
      </c>
      <c r="D569" s="120">
        <v>2022</v>
      </c>
      <c r="E569" s="120"/>
      <c r="F569" s="124">
        <f>13.44*0.11</f>
        <v>1.4783999999999999</v>
      </c>
      <c r="G569" s="121"/>
      <c r="H569" s="121"/>
      <c r="I569" s="121"/>
      <c r="J569" s="121"/>
      <c r="K569" s="121"/>
      <c r="L569" s="121"/>
      <c r="M569" s="121"/>
      <c r="N569" s="121"/>
      <c r="O569" s="121">
        <f t="shared" si="36"/>
        <v>1.4783999999999999</v>
      </c>
      <c r="P569" s="121">
        <f>13.44*0.11</f>
        <v>1.4783999999999999</v>
      </c>
      <c r="Q569" s="121"/>
      <c r="R569" s="121"/>
      <c r="U569" s="123" t="s">
        <v>811</v>
      </c>
      <c r="V569" s="123" t="s">
        <v>813</v>
      </c>
    </row>
    <row r="570" spans="1:22">
      <c r="A570" s="119" t="s">
        <v>549</v>
      </c>
      <c r="B570" s="119" t="s">
        <v>137</v>
      </c>
      <c r="C570" s="120" t="s">
        <v>596</v>
      </c>
      <c r="D570" s="120">
        <v>2022</v>
      </c>
      <c r="E570" s="120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>
        <f t="shared" si="36"/>
        <v>0</v>
      </c>
      <c r="P570" s="121"/>
      <c r="Q570" s="121"/>
      <c r="R570" s="121"/>
      <c r="T570" s="122">
        <v>3</v>
      </c>
      <c r="U570" s="123" t="s">
        <v>811</v>
      </c>
      <c r="V570" s="123" t="s">
        <v>813</v>
      </c>
    </row>
    <row r="571" spans="1:22">
      <c r="A571" s="119" t="s">
        <v>549</v>
      </c>
      <c r="B571" s="119" t="s">
        <v>137</v>
      </c>
      <c r="C571" s="120" t="s">
        <v>597</v>
      </c>
      <c r="D571" s="120">
        <v>2022</v>
      </c>
      <c r="E571" s="120"/>
      <c r="F571" s="121"/>
      <c r="G571" s="121">
        <f>0.91*0.02</f>
        <v>1.8200000000000001E-2</v>
      </c>
      <c r="H571" s="121"/>
      <c r="I571" s="121"/>
      <c r="J571" s="121"/>
      <c r="K571" s="121"/>
      <c r="L571" s="121"/>
      <c r="M571" s="121"/>
      <c r="N571" s="121"/>
      <c r="O571" s="121">
        <f t="shared" si="36"/>
        <v>1.8200000000000001E-2</v>
      </c>
      <c r="P571" s="121">
        <f>0.91*0.02</f>
        <v>1.8200000000000001E-2</v>
      </c>
      <c r="Q571" s="121"/>
      <c r="R571" s="121"/>
      <c r="T571" s="122">
        <v>4</v>
      </c>
      <c r="U571" s="123" t="s">
        <v>811</v>
      </c>
      <c r="V571" s="123" t="s">
        <v>813</v>
      </c>
    </row>
    <row r="572" spans="1:22">
      <c r="A572" s="119" t="s">
        <v>549</v>
      </c>
      <c r="B572" s="119" t="s">
        <v>137</v>
      </c>
      <c r="C572" s="120" t="s">
        <v>600</v>
      </c>
      <c r="D572" s="120">
        <v>2022</v>
      </c>
      <c r="E572" s="120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>
        <f t="shared" si="36"/>
        <v>0</v>
      </c>
      <c r="P572" s="121"/>
      <c r="Q572" s="121"/>
      <c r="R572" s="121"/>
      <c r="T572" s="122">
        <v>5</v>
      </c>
      <c r="U572" s="123" t="s">
        <v>811</v>
      </c>
      <c r="V572" s="123" t="s">
        <v>813</v>
      </c>
    </row>
    <row r="573" spans="1:22">
      <c r="A573" s="119" t="s">
        <v>550</v>
      </c>
      <c r="B573" s="119" t="s">
        <v>138</v>
      </c>
      <c r="C573" s="120" t="s">
        <v>594</v>
      </c>
      <c r="D573" s="120">
        <v>2021</v>
      </c>
      <c r="E573" s="120"/>
      <c r="F573" s="121"/>
      <c r="G573" s="121"/>
      <c r="H573" s="121">
        <f>I573+J573</f>
        <v>9.3164499999999997</v>
      </c>
      <c r="I573" s="121"/>
      <c r="J573" s="121">
        <f>169.39*0.055</f>
        <v>9.3164499999999997</v>
      </c>
      <c r="K573" s="121"/>
      <c r="L573" s="121"/>
      <c r="M573" s="121"/>
      <c r="N573" s="121"/>
      <c r="O573" s="121">
        <f t="shared" si="35"/>
        <v>9.3164499999999997</v>
      </c>
      <c r="P573" s="121">
        <f>169.39*0.055</f>
        <v>9.3164499999999997</v>
      </c>
      <c r="Q573" s="121"/>
      <c r="R573" s="121"/>
      <c r="T573" s="122">
        <v>1</v>
      </c>
      <c r="U573" s="123" t="s">
        <v>811</v>
      </c>
      <c r="V573" s="123" t="s">
        <v>813</v>
      </c>
    </row>
    <row r="574" spans="1:22">
      <c r="A574" s="119" t="s">
        <v>550</v>
      </c>
      <c r="B574" s="119" t="s">
        <v>138</v>
      </c>
      <c r="C574" s="120" t="s">
        <v>595</v>
      </c>
      <c r="D574" s="120">
        <v>2021</v>
      </c>
      <c r="E574" s="120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>
        <f t="shared" si="35"/>
        <v>0</v>
      </c>
      <c r="P574" s="121"/>
      <c r="Q574" s="121"/>
      <c r="R574" s="121"/>
      <c r="T574" s="122">
        <v>2</v>
      </c>
      <c r="U574" s="123" t="s">
        <v>811</v>
      </c>
      <c r="V574" s="123" t="s">
        <v>813</v>
      </c>
    </row>
    <row r="575" spans="1:22">
      <c r="A575" s="119" t="s">
        <v>550</v>
      </c>
      <c r="B575" s="119" t="s">
        <v>138</v>
      </c>
      <c r="C575" s="125" t="s">
        <v>700</v>
      </c>
      <c r="D575" s="120">
        <v>2021</v>
      </c>
      <c r="E575" s="120"/>
      <c r="F575" s="121">
        <f>26.54*0.11</f>
        <v>2.9194</v>
      </c>
      <c r="G575" s="121"/>
      <c r="H575" s="121"/>
      <c r="I575" s="121"/>
      <c r="J575" s="121"/>
      <c r="K575" s="121"/>
      <c r="L575" s="121"/>
      <c r="M575" s="121"/>
      <c r="N575" s="121"/>
      <c r="O575" s="121">
        <f t="shared" si="35"/>
        <v>2.9194</v>
      </c>
      <c r="P575" s="121">
        <f>26.54*0.11</f>
        <v>2.9194</v>
      </c>
      <c r="Q575" s="121"/>
      <c r="R575" s="121"/>
      <c r="U575" s="123" t="s">
        <v>811</v>
      </c>
      <c r="V575" s="123" t="s">
        <v>813</v>
      </c>
    </row>
    <row r="576" spans="1:22">
      <c r="A576" s="119" t="s">
        <v>550</v>
      </c>
      <c r="B576" s="119" t="s">
        <v>138</v>
      </c>
      <c r="C576" s="120" t="s">
        <v>596</v>
      </c>
      <c r="D576" s="120">
        <v>2021</v>
      </c>
      <c r="E576" s="120"/>
      <c r="F576" s="121"/>
      <c r="G576" s="121"/>
      <c r="H576" s="121">
        <f>I576+J576</f>
        <v>6.0450000000000004E-2</v>
      </c>
      <c r="I576" s="121"/>
      <c r="J576" s="121">
        <f>0.93*0.065</f>
        <v>6.0450000000000004E-2</v>
      </c>
      <c r="K576" s="121"/>
      <c r="L576" s="121"/>
      <c r="M576" s="121"/>
      <c r="N576" s="121"/>
      <c r="O576" s="121">
        <f t="shared" si="35"/>
        <v>6.0450000000000004E-2</v>
      </c>
      <c r="P576" s="124">
        <f>0.93*0.065</f>
        <v>6.0450000000000004E-2</v>
      </c>
      <c r="Q576" s="121"/>
      <c r="R576" s="121"/>
      <c r="T576" s="122">
        <v>3</v>
      </c>
      <c r="U576" s="123" t="s">
        <v>811</v>
      </c>
      <c r="V576" s="123" t="s">
        <v>813</v>
      </c>
    </row>
    <row r="577" spans="1:22">
      <c r="A577" s="119" t="s">
        <v>550</v>
      </c>
      <c r="B577" s="119" t="s">
        <v>138</v>
      </c>
      <c r="C577" s="120" t="s">
        <v>597</v>
      </c>
      <c r="D577" s="120">
        <v>2021</v>
      </c>
      <c r="E577" s="120"/>
      <c r="F577" s="121"/>
      <c r="G577" s="121"/>
      <c r="H577" s="121">
        <f>I577+J577</f>
        <v>1.5800000000000002E-2</v>
      </c>
      <c r="I577" s="121"/>
      <c r="J577" s="121">
        <f>0.79*0.02</f>
        <v>1.5800000000000002E-2</v>
      </c>
      <c r="K577" s="121"/>
      <c r="L577" s="121"/>
      <c r="M577" s="121"/>
      <c r="N577" s="121"/>
      <c r="O577" s="121">
        <f t="shared" si="35"/>
        <v>1.5800000000000002E-2</v>
      </c>
      <c r="P577" s="121">
        <f>0.79*0.02</f>
        <v>1.5800000000000002E-2</v>
      </c>
      <c r="Q577" s="121"/>
      <c r="R577" s="121"/>
      <c r="T577" s="122">
        <v>4</v>
      </c>
      <c r="U577" s="123" t="s">
        <v>811</v>
      </c>
      <c r="V577" s="123" t="s">
        <v>813</v>
      </c>
    </row>
    <row r="578" spans="1:22">
      <c r="A578" s="119" t="s">
        <v>550</v>
      </c>
      <c r="B578" s="119" t="s">
        <v>138</v>
      </c>
      <c r="C578" s="120" t="s">
        <v>600</v>
      </c>
      <c r="D578" s="120">
        <v>2021</v>
      </c>
      <c r="E578" s="120"/>
      <c r="F578" s="121"/>
      <c r="G578" s="121"/>
      <c r="H578" s="128"/>
      <c r="I578" s="128"/>
      <c r="J578" s="128"/>
      <c r="K578" s="121"/>
      <c r="L578" s="121"/>
      <c r="M578" s="121"/>
      <c r="N578" s="121"/>
      <c r="O578" s="121">
        <f t="shared" si="35"/>
        <v>0</v>
      </c>
      <c r="P578" s="121"/>
      <c r="Q578" s="121"/>
      <c r="R578" s="121"/>
      <c r="T578" s="122">
        <v>5</v>
      </c>
      <c r="U578" s="123" t="s">
        <v>811</v>
      </c>
      <c r="V578" s="123" t="s">
        <v>813</v>
      </c>
    </row>
    <row r="579" spans="1:22">
      <c r="A579" s="119" t="s">
        <v>550</v>
      </c>
      <c r="B579" s="119" t="s">
        <v>138</v>
      </c>
      <c r="C579" s="120" t="s">
        <v>405</v>
      </c>
      <c r="D579" s="120">
        <v>2021</v>
      </c>
      <c r="E579" s="135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>
        <f>F579+H579+E579</f>
        <v>0</v>
      </c>
      <c r="P579" s="128"/>
      <c r="Q579" s="121"/>
      <c r="R579" s="121"/>
      <c r="U579" s="123" t="s">
        <v>811</v>
      </c>
      <c r="V579" s="123" t="s">
        <v>813</v>
      </c>
    </row>
    <row r="580" spans="1:22" ht="10.5" customHeight="1">
      <c r="A580" s="119" t="s">
        <v>551</v>
      </c>
      <c r="B580" s="119" t="s">
        <v>139</v>
      </c>
      <c r="C580" s="125" t="s">
        <v>594</v>
      </c>
      <c r="D580" s="120">
        <v>2021</v>
      </c>
      <c r="E580" s="125"/>
      <c r="F580" s="124"/>
      <c r="G580" s="124"/>
      <c r="H580" s="124">
        <f>I580+J580</f>
        <v>39.205649999999999</v>
      </c>
      <c r="I580" s="124">
        <f>0.46*0.055</f>
        <v>2.53E-2</v>
      </c>
      <c r="J580" s="124">
        <f>(712.37*0.055)</f>
        <v>39.180349999999997</v>
      </c>
      <c r="K580" s="124"/>
      <c r="L580" s="124"/>
      <c r="M580" s="124"/>
      <c r="N580" s="124"/>
      <c r="O580" s="124">
        <f>E580+F580+H580+K580+G580</f>
        <v>39.205649999999999</v>
      </c>
      <c r="P580" s="124">
        <f>1039.633*0.055</f>
        <v>57.179815000000005</v>
      </c>
      <c r="Q580" s="124"/>
      <c r="R580" s="124"/>
      <c r="T580" s="122">
        <v>1</v>
      </c>
      <c r="U580" s="123" t="s">
        <v>806</v>
      </c>
      <c r="V580" s="123" t="s">
        <v>816</v>
      </c>
    </row>
    <row r="581" spans="1:22">
      <c r="A581" s="119" t="s">
        <v>551</v>
      </c>
      <c r="B581" s="119" t="s">
        <v>139</v>
      </c>
      <c r="C581" s="125" t="s">
        <v>595</v>
      </c>
      <c r="D581" s="120">
        <v>2021</v>
      </c>
      <c r="E581" s="125"/>
      <c r="F581" s="124"/>
      <c r="G581" s="124"/>
      <c r="H581" s="124">
        <f>I581+J581</f>
        <v>10.177199999999999</v>
      </c>
      <c r="I581" s="124"/>
      <c r="J581" s="124">
        <f>92.52*0.11</f>
        <v>10.177199999999999</v>
      </c>
      <c r="K581" s="124"/>
      <c r="L581" s="124"/>
      <c r="M581" s="124"/>
      <c r="N581" s="124"/>
      <c r="O581" s="124">
        <f t="shared" ref="O581:O587" si="37">E581+F581+H581+K581+G581</f>
        <v>10.177199999999999</v>
      </c>
      <c r="P581" s="124">
        <f>18.9*0.11</f>
        <v>2.0789999999999997</v>
      </c>
      <c r="Q581" s="124"/>
      <c r="R581" s="124"/>
      <c r="T581" s="122">
        <v>2</v>
      </c>
      <c r="U581" s="123" t="s">
        <v>806</v>
      </c>
      <c r="V581" s="123" t="s">
        <v>816</v>
      </c>
    </row>
    <row r="582" spans="1:22">
      <c r="A582" s="119" t="s">
        <v>551</v>
      </c>
      <c r="B582" s="119" t="s">
        <v>139</v>
      </c>
      <c r="C582" s="125" t="s">
        <v>700</v>
      </c>
      <c r="D582" s="120">
        <v>2021</v>
      </c>
      <c r="E582" s="125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>
        <f t="shared" si="37"/>
        <v>0</v>
      </c>
      <c r="P582" s="124"/>
      <c r="Q582" s="124"/>
      <c r="R582" s="124"/>
      <c r="U582" s="123" t="s">
        <v>806</v>
      </c>
      <c r="V582" s="123" t="s">
        <v>816</v>
      </c>
    </row>
    <row r="583" spans="1:22">
      <c r="A583" s="119" t="s">
        <v>551</v>
      </c>
      <c r="B583" s="119" t="s">
        <v>139</v>
      </c>
      <c r="C583" s="125" t="s">
        <v>596</v>
      </c>
      <c r="D583" s="120">
        <v>2021</v>
      </c>
      <c r="E583" s="125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>
        <f t="shared" si="37"/>
        <v>0</v>
      </c>
      <c r="P583" s="124"/>
      <c r="Q583" s="124"/>
      <c r="R583" s="124"/>
      <c r="T583" s="122">
        <v>3</v>
      </c>
      <c r="U583" s="123" t="s">
        <v>806</v>
      </c>
      <c r="V583" s="123" t="s">
        <v>816</v>
      </c>
    </row>
    <row r="584" spans="1:22">
      <c r="A584" s="119" t="s">
        <v>551</v>
      </c>
      <c r="B584" s="119" t="s">
        <v>139</v>
      </c>
      <c r="C584" s="125" t="s">
        <v>597</v>
      </c>
      <c r="D584" s="120">
        <v>2021</v>
      </c>
      <c r="E584" s="125"/>
      <c r="F584" s="124"/>
      <c r="G584" s="124">
        <f>88.3*0.02</f>
        <v>1.766</v>
      </c>
      <c r="H584" s="124">
        <f>I584+J584</f>
        <v>0.27076</v>
      </c>
      <c r="I584" s="124"/>
      <c r="J584" s="124">
        <f>13.538*0.02</f>
        <v>0.27076</v>
      </c>
      <c r="K584" s="124"/>
      <c r="L584" s="124"/>
      <c r="M584" s="124"/>
      <c r="N584" s="124"/>
      <c r="O584" s="124">
        <f t="shared" si="37"/>
        <v>2.0367600000000001</v>
      </c>
      <c r="P584" s="124">
        <f>57.12*0.02</f>
        <v>1.1424000000000001</v>
      </c>
      <c r="Q584" s="124"/>
      <c r="R584" s="124"/>
      <c r="T584" s="122">
        <v>4</v>
      </c>
      <c r="U584" s="123" t="s">
        <v>806</v>
      </c>
      <c r="V584" s="123" t="s">
        <v>816</v>
      </c>
    </row>
    <row r="585" spans="1:22">
      <c r="A585" s="119" t="s">
        <v>551</v>
      </c>
      <c r="B585" s="119" t="s">
        <v>139</v>
      </c>
      <c r="C585" s="125" t="s">
        <v>600</v>
      </c>
      <c r="D585" s="120">
        <v>2021</v>
      </c>
      <c r="E585" s="125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>
        <f t="shared" si="37"/>
        <v>0</v>
      </c>
      <c r="P585" s="124"/>
      <c r="Q585" s="124"/>
      <c r="R585" s="124"/>
      <c r="T585" s="122">
        <v>5</v>
      </c>
      <c r="U585" s="123" t="s">
        <v>806</v>
      </c>
      <c r="V585" s="123" t="s">
        <v>816</v>
      </c>
    </row>
    <row r="586" spans="1:22">
      <c r="A586" s="119" t="s">
        <v>551</v>
      </c>
      <c r="B586" s="119" t="s">
        <v>139</v>
      </c>
      <c r="C586" s="125" t="s">
        <v>405</v>
      </c>
      <c r="D586" s="120">
        <v>2021</v>
      </c>
      <c r="E586" s="125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>
        <f t="shared" si="37"/>
        <v>0</v>
      </c>
      <c r="P586" s="124"/>
      <c r="Q586" s="124"/>
      <c r="R586" s="124"/>
      <c r="U586" s="123" t="s">
        <v>806</v>
      </c>
      <c r="V586" s="123" t="s">
        <v>816</v>
      </c>
    </row>
    <row r="587" spans="1:22">
      <c r="A587" s="119" t="s">
        <v>551</v>
      </c>
      <c r="B587" s="119" t="s">
        <v>139</v>
      </c>
      <c r="C587" s="125" t="s">
        <v>406</v>
      </c>
      <c r="D587" s="120">
        <v>2021</v>
      </c>
      <c r="E587" s="125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>
        <f t="shared" si="37"/>
        <v>0</v>
      </c>
      <c r="P587" s="124"/>
      <c r="Q587" s="124"/>
      <c r="R587" s="124"/>
      <c r="U587" s="123" t="s">
        <v>806</v>
      </c>
      <c r="V587" s="123" t="s">
        <v>816</v>
      </c>
    </row>
    <row r="588" spans="1:22">
      <c r="A588" s="119" t="s">
        <v>554</v>
      </c>
      <c r="B588" s="119" t="s">
        <v>140</v>
      </c>
      <c r="C588" s="125" t="s">
        <v>594</v>
      </c>
      <c r="D588" s="120">
        <v>2021</v>
      </c>
      <c r="E588" s="124"/>
      <c r="F588" s="124"/>
      <c r="G588" s="124"/>
      <c r="H588" s="124">
        <f>I588+J588</f>
        <v>56.493162000000005</v>
      </c>
      <c r="I588" s="124"/>
      <c r="J588" s="124">
        <f>1027.1484*0.055</f>
        <v>56.493162000000005</v>
      </c>
      <c r="K588" s="124"/>
      <c r="L588" s="124"/>
      <c r="M588" s="124"/>
      <c r="N588" s="124"/>
      <c r="O588" s="124">
        <f t="shared" ref="O588:O593" si="38">F588+H588</f>
        <v>56.493162000000005</v>
      </c>
      <c r="P588" s="124">
        <f>1027.1484*0.055</f>
        <v>56.493162000000005</v>
      </c>
      <c r="Q588" s="124"/>
      <c r="R588" s="124"/>
      <c r="T588" s="122">
        <v>1</v>
      </c>
      <c r="U588" s="123" t="s">
        <v>806</v>
      </c>
      <c r="V588" s="123" t="s">
        <v>814</v>
      </c>
    </row>
    <row r="589" spans="1:22">
      <c r="A589" s="119" t="s">
        <v>554</v>
      </c>
      <c r="B589" s="119" t="s">
        <v>140</v>
      </c>
      <c r="C589" s="125" t="s">
        <v>595</v>
      </c>
      <c r="D589" s="120">
        <v>2021</v>
      </c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>
        <f>F589+H589+K589</f>
        <v>0</v>
      </c>
      <c r="P589" s="124"/>
      <c r="Q589" s="124"/>
      <c r="R589" s="124"/>
      <c r="T589" s="122">
        <v>2</v>
      </c>
      <c r="U589" s="123" t="s">
        <v>806</v>
      </c>
      <c r="V589" s="123" t="s">
        <v>814</v>
      </c>
    </row>
    <row r="590" spans="1:22">
      <c r="A590" s="119" t="s">
        <v>554</v>
      </c>
      <c r="B590" s="119" t="s">
        <v>140</v>
      </c>
      <c r="C590" s="125" t="s">
        <v>700</v>
      </c>
      <c r="D590" s="120">
        <v>2021</v>
      </c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>
        <f t="shared" si="38"/>
        <v>0</v>
      </c>
      <c r="P590" s="124"/>
      <c r="Q590" s="124"/>
      <c r="R590" s="124"/>
      <c r="U590" s="123" t="s">
        <v>806</v>
      </c>
      <c r="V590" s="123" t="s">
        <v>814</v>
      </c>
    </row>
    <row r="591" spans="1:22">
      <c r="A591" s="119" t="s">
        <v>554</v>
      </c>
      <c r="B591" s="119" t="s">
        <v>140</v>
      </c>
      <c r="C591" s="125" t="s">
        <v>596</v>
      </c>
      <c r="D591" s="120">
        <v>2021</v>
      </c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>
        <f t="shared" si="38"/>
        <v>0</v>
      </c>
      <c r="P591" s="124"/>
      <c r="Q591" s="124"/>
      <c r="R591" s="124"/>
      <c r="T591" s="122">
        <v>3</v>
      </c>
      <c r="U591" s="123" t="s">
        <v>806</v>
      </c>
      <c r="V591" s="123" t="s">
        <v>814</v>
      </c>
    </row>
    <row r="592" spans="1:22">
      <c r="A592" s="119" t="s">
        <v>554</v>
      </c>
      <c r="B592" s="119" t="s">
        <v>140</v>
      </c>
      <c r="C592" s="125" t="s">
        <v>597</v>
      </c>
      <c r="D592" s="120">
        <v>2021</v>
      </c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>
        <f>F592+H592</f>
        <v>0</v>
      </c>
      <c r="P592" s="124"/>
      <c r="Q592" s="124"/>
      <c r="R592" s="124"/>
      <c r="T592" s="122">
        <v>4</v>
      </c>
      <c r="U592" s="123" t="s">
        <v>806</v>
      </c>
      <c r="V592" s="123" t="s">
        <v>814</v>
      </c>
    </row>
    <row r="593" spans="1:22">
      <c r="A593" s="119" t="s">
        <v>554</v>
      </c>
      <c r="B593" s="119" t="s">
        <v>140</v>
      </c>
      <c r="C593" s="125" t="s">
        <v>600</v>
      </c>
      <c r="D593" s="120">
        <v>2021</v>
      </c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>
        <f t="shared" si="38"/>
        <v>0</v>
      </c>
      <c r="P593" s="124"/>
      <c r="Q593" s="124"/>
      <c r="R593" s="124"/>
      <c r="T593" s="122">
        <v>5</v>
      </c>
      <c r="U593" s="123" t="s">
        <v>806</v>
      </c>
      <c r="V593" s="123" t="s">
        <v>814</v>
      </c>
    </row>
    <row r="594" spans="1:22">
      <c r="A594" s="119" t="s">
        <v>417</v>
      </c>
      <c r="B594" s="119" t="s">
        <v>141</v>
      </c>
      <c r="C594" s="120" t="s">
        <v>594</v>
      </c>
      <c r="D594" s="120">
        <v>2021</v>
      </c>
      <c r="E594" s="120"/>
      <c r="F594" s="121"/>
      <c r="G594" s="121"/>
      <c r="H594" s="121"/>
      <c r="I594" s="121"/>
      <c r="J594" s="131"/>
      <c r="K594" s="121"/>
      <c r="L594" s="121"/>
      <c r="M594" s="121"/>
      <c r="N594" s="121"/>
      <c r="O594" s="121">
        <f t="shared" ref="O594:O621" si="39">F594+H594</f>
        <v>0</v>
      </c>
      <c r="P594" s="131">
        <f>9.8464*0.055</f>
        <v>0.54155199999999992</v>
      </c>
      <c r="Q594" s="121"/>
      <c r="R594" s="121"/>
      <c r="T594" s="122">
        <v>1</v>
      </c>
      <c r="U594" s="123" t="s">
        <v>808</v>
      </c>
      <c r="V594" s="123" t="s">
        <v>808</v>
      </c>
    </row>
    <row r="595" spans="1:22">
      <c r="A595" s="119" t="s">
        <v>417</v>
      </c>
      <c r="B595" s="119" t="s">
        <v>141</v>
      </c>
      <c r="C595" s="120" t="s">
        <v>595</v>
      </c>
      <c r="D595" s="120">
        <v>2021</v>
      </c>
      <c r="E595" s="120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>
        <f t="shared" si="39"/>
        <v>0</v>
      </c>
      <c r="P595" s="121"/>
      <c r="Q595" s="121"/>
      <c r="R595" s="121"/>
      <c r="T595" s="122">
        <v>2</v>
      </c>
      <c r="U595" s="123" t="s">
        <v>808</v>
      </c>
      <c r="V595" s="123" t="s">
        <v>808</v>
      </c>
    </row>
    <row r="596" spans="1:22">
      <c r="A596" s="119" t="s">
        <v>417</v>
      </c>
      <c r="B596" s="119" t="s">
        <v>141</v>
      </c>
      <c r="C596" s="120" t="s">
        <v>596</v>
      </c>
      <c r="D596" s="120">
        <v>2021</v>
      </c>
      <c r="E596" s="120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>
        <f t="shared" si="39"/>
        <v>0</v>
      </c>
      <c r="P596" s="121"/>
      <c r="Q596" s="121"/>
      <c r="R596" s="121"/>
      <c r="T596" s="122">
        <v>3</v>
      </c>
      <c r="U596" s="123" t="s">
        <v>808</v>
      </c>
      <c r="V596" s="123" t="s">
        <v>808</v>
      </c>
    </row>
    <row r="597" spans="1:22">
      <c r="A597" s="119" t="s">
        <v>417</v>
      </c>
      <c r="B597" s="119" t="s">
        <v>141</v>
      </c>
      <c r="C597" s="120" t="s">
        <v>597</v>
      </c>
      <c r="D597" s="120">
        <v>2021</v>
      </c>
      <c r="E597" s="120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>
        <f t="shared" si="39"/>
        <v>0</v>
      </c>
      <c r="P597" s="121"/>
      <c r="Q597" s="121"/>
      <c r="R597" s="121"/>
      <c r="T597" s="122">
        <v>4</v>
      </c>
      <c r="U597" s="123" t="s">
        <v>808</v>
      </c>
      <c r="V597" s="123" t="s">
        <v>808</v>
      </c>
    </row>
    <row r="598" spans="1:22">
      <c r="A598" s="119" t="s">
        <v>417</v>
      </c>
      <c r="B598" s="119" t="s">
        <v>141</v>
      </c>
      <c r="C598" s="120" t="s">
        <v>600</v>
      </c>
      <c r="D598" s="120">
        <v>2021</v>
      </c>
      <c r="E598" s="120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>
        <f t="shared" si="39"/>
        <v>0</v>
      </c>
      <c r="P598" s="121"/>
      <c r="Q598" s="121"/>
      <c r="R598" s="121"/>
      <c r="T598" s="122">
        <v>5</v>
      </c>
      <c r="U598" s="123" t="s">
        <v>808</v>
      </c>
      <c r="V598" s="123" t="s">
        <v>808</v>
      </c>
    </row>
    <row r="599" spans="1:22">
      <c r="A599" s="119" t="s">
        <v>773</v>
      </c>
      <c r="B599" s="119" t="s">
        <v>142</v>
      </c>
      <c r="C599" s="120" t="s">
        <v>594</v>
      </c>
      <c r="D599" s="120">
        <v>2021</v>
      </c>
      <c r="E599" s="120"/>
      <c r="F599" s="121"/>
      <c r="G599" s="121"/>
      <c r="H599" s="121">
        <f>I599+J599</f>
        <v>1.5262500000000001</v>
      </c>
      <c r="I599" s="121"/>
      <c r="J599" s="121">
        <f>27.75*0.055</f>
        <v>1.5262500000000001</v>
      </c>
      <c r="K599" s="121"/>
      <c r="L599" s="121"/>
      <c r="M599" s="121"/>
      <c r="N599" s="121"/>
      <c r="O599" s="121">
        <f t="shared" si="39"/>
        <v>1.5262500000000001</v>
      </c>
      <c r="P599" s="121">
        <f>27.75*0.055</f>
        <v>1.5262500000000001</v>
      </c>
      <c r="Q599" s="121"/>
      <c r="R599" s="121"/>
      <c r="T599" s="122">
        <v>1</v>
      </c>
      <c r="U599" s="123" t="s">
        <v>809</v>
      </c>
      <c r="V599" s="123" t="s">
        <v>810</v>
      </c>
    </row>
    <row r="600" spans="1:22">
      <c r="A600" s="119" t="s">
        <v>773</v>
      </c>
      <c r="B600" s="119" t="s">
        <v>142</v>
      </c>
      <c r="C600" s="120" t="s">
        <v>595</v>
      </c>
      <c r="D600" s="120">
        <v>2021</v>
      </c>
      <c r="E600" s="120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>
        <f t="shared" si="39"/>
        <v>0</v>
      </c>
      <c r="P600" s="121"/>
      <c r="Q600" s="121"/>
      <c r="R600" s="121"/>
      <c r="T600" s="122">
        <v>2</v>
      </c>
      <c r="U600" s="123" t="s">
        <v>809</v>
      </c>
      <c r="V600" s="123" t="s">
        <v>810</v>
      </c>
    </row>
    <row r="601" spans="1:22">
      <c r="A601" s="119" t="s">
        <v>773</v>
      </c>
      <c r="B601" s="119" t="s">
        <v>142</v>
      </c>
      <c r="C601" s="125" t="s">
        <v>700</v>
      </c>
      <c r="D601" s="120">
        <v>2021</v>
      </c>
      <c r="E601" s="120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>
        <f t="shared" si="39"/>
        <v>0</v>
      </c>
      <c r="P601" s="121"/>
      <c r="Q601" s="121"/>
      <c r="R601" s="121"/>
      <c r="U601" s="123" t="s">
        <v>809</v>
      </c>
      <c r="V601" s="123" t="s">
        <v>810</v>
      </c>
    </row>
    <row r="602" spans="1:22">
      <c r="A602" s="119" t="s">
        <v>773</v>
      </c>
      <c r="B602" s="119" t="s">
        <v>142</v>
      </c>
      <c r="C602" s="120" t="s">
        <v>596</v>
      </c>
      <c r="D602" s="120">
        <v>2021</v>
      </c>
      <c r="E602" s="120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>
        <f t="shared" si="39"/>
        <v>0</v>
      </c>
      <c r="P602" s="121"/>
      <c r="Q602" s="121"/>
      <c r="R602" s="121"/>
      <c r="T602" s="122">
        <v>3</v>
      </c>
      <c r="U602" s="123" t="s">
        <v>809</v>
      </c>
      <c r="V602" s="123" t="s">
        <v>810</v>
      </c>
    </row>
    <row r="603" spans="1:22">
      <c r="A603" s="119" t="s">
        <v>773</v>
      </c>
      <c r="B603" s="119" t="s">
        <v>142</v>
      </c>
      <c r="C603" s="120" t="s">
        <v>597</v>
      </c>
      <c r="D603" s="120">
        <v>2021</v>
      </c>
      <c r="E603" s="120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>
        <f t="shared" si="39"/>
        <v>0</v>
      </c>
      <c r="P603" s="121"/>
      <c r="Q603" s="121"/>
      <c r="R603" s="121"/>
      <c r="T603" s="122">
        <v>4</v>
      </c>
      <c r="U603" s="123" t="s">
        <v>809</v>
      </c>
      <c r="V603" s="123" t="s">
        <v>810</v>
      </c>
    </row>
    <row r="604" spans="1:22" ht="9.6" customHeight="1">
      <c r="A604" s="119" t="s">
        <v>773</v>
      </c>
      <c r="B604" s="119" t="s">
        <v>142</v>
      </c>
      <c r="C604" s="120" t="s">
        <v>600</v>
      </c>
      <c r="D604" s="120">
        <v>2021</v>
      </c>
      <c r="E604" s="120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>
        <f t="shared" si="39"/>
        <v>0</v>
      </c>
      <c r="P604" s="121"/>
      <c r="Q604" s="121"/>
      <c r="R604" s="121"/>
      <c r="T604" s="122">
        <v>5</v>
      </c>
      <c r="U604" s="123" t="s">
        <v>809</v>
      </c>
      <c r="V604" s="123" t="s">
        <v>810</v>
      </c>
    </row>
    <row r="605" spans="1:22">
      <c r="A605" s="119" t="s">
        <v>559</v>
      </c>
      <c r="B605" s="119" t="s">
        <v>143</v>
      </c>
      <c r="C605" s="120" t="s">
        <v>594</v>
      </c>
      <c r="D605" s="120">
        <v>2021</v>
      </c>
      <c r="E605" s="120"/>
      <c r="F605" s="121"/>
      <c r="G605" s="121"/>
      <c r="H605" s="121">
        <f>I605+J605</f>
        <v>3.7400000000000003E-2</v>
      </c>
      <c r="I605" s="121"/>
      <c r="J605" s="121">
        <f>0.68*0.055</f>
        <v>3.7400000000000003E-2</v>
      </c>
      <c r="K605" s="121"/>
      <c r="L605" s="121"/>
      <c r="M605" s="121"/>
      <c r="N605" s="121"/>
      <c r="O605" s="121">
        <f t="shared" si="39"/>
        <v>3.7400000000000003E-2</v>
      </c>
      <c r="P605" s="121">
        <f>0.68*0.055</f>
        <v>3.7400000000000003E-2</v>
      </c>
      <c r="Q605" s="121"/>
      <c r="R605" s="121"/>
      <c r="T605" s="122">
        <v>1</v>
      </c>
      <c r="U605" s="123" t="s">
        <v>811</v>
      </c>
      <c r="V605" s="123" t="s">
        <v>812</v>
      </c>
    </row>
    <row r="606" spans="1:22">
      <c r="A606" s="119" t="s">
        <v>559</v>
      </c>
      <c r="B606" s="119" t="s">
        <v>143</v>
      </c>
      <c r="C606" s="120" t="s">
        <v>595</v>
      </c>
      <c r="D606" s="120">
        <v>2021</v>
      </c>
      <c r="E606" s="120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>
        <f t="shared" si="39"/>
        <v>0</v>
      </c>
      <c r="P606" s="121"/>
      <c r="Q606" s="121"/>
      <c r="R606" s="121"/>
      <c r="T606" s="122">
        <v>2</v>
      </c>
      <c r="U606" s="123" t="s">
        <v>811</v>
      </c>
      <c r="V606" s="123" t="s">
        <v>812</v>
      </c>
    </row>
    <row r="607" spans="1:22">
      <c r="A607" s="119" t="s">
        <v>559</v>
      </c>
      <c r="B607" s="119" t="s">
        <v>143</v>
      </c>
      <c r="C607" s="120" t="s">
        <v>596</v>
      </c>
      <c r="D607" s="120">
        <v>2021</v>
      </c>
      <c r="E607" s="120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>
        <f t="shared" si="39"/>
        <v>0</v>
      </c>
      <c r="P607" s="121"/>
      <c r="Q607" s="121"/>
      <c r="R607" s="121"/>
      <c r="T607" s="122">
        <v>3</v>
      </c>
      <c r="U607" s="123" t="s">
        <v>811</v>
      </c>
      <c r="V607" s="123" t="s">
        <v>812</v>
      </c>
    </row>
    <row r="608" spans="1:22">
      <c r="A608" s="119" t="s">
        <v>559</v>
      </c>
      <c r="B608" s="119" t="s">
        <v>143</v>
      </c>
      <c r="C608" s="120" t="s">
        <v>597</v>
      </c>
      <c r="D608" s="120">
        <v>2021</v>
      </c>
      <c r="E608" s="120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>
        <f t="shared" si="39"/>
        <v>0</v>
      </c>
      <c r="P608" s="121"/>
      <c r="Q608" s="121"/>
      <c r="R608" s="121"/>
      <c r="T608" s="122">
        <v>4</v>
      </c>
      <c r="U608" s="123" t="s">
        <v>811</v>
      </c>
      <c r="V608" s="123" t="s">
        <v>812</v>
      </c>
    </row>
    <row r="609" spans="1:22">
      <c r="A609" s="119" t="s">
        <v>559</v>
      </c>
      <c r="B609" s="119" t="s">
        <v>143</v>
      </c>
      <c r="C609" s="120" t="s">
        <v>600</v>
      </c>
      <c r="D609" s="120">
        <v>2021</v>
      </c>
      <c r="E609" s="120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>
        <f t="shared" si="39"/>
        <v>0</v>
      </c>
      <c r="P609" s="121"/>
      <c r="Q609" s="121"/>
      <c r="R609" s="121"/>
      <c r="T609" s="122">
        <v>5</v>
      </c>
      <c r="U609" s="123" t="s">
        <v>811</v>
      </c>
      <c r="V609" s="123" t="s">
        <v>812</v>
      </c>
    </row>
    <row r="610" spans="1:22">
      <c r="A610" s="119" t="s">
        <v>560</v>
      </c>
      <c r="B610" s="119" t="s">
        <v>144</v>
      </c>
      <c r="C610" s="120" t="s">
        <v>594</v>
      </c>
      <c r="D610" s="120">
        <v>2021</v>
      </c>
      <c r="E610" s="120"/>
      <c r="F610" s="121"/>
      <c r="G610" s="121"/>
      <c r="H610" s="121">
        <f>I610+J610</f>
        <v>0.23540000000000003</v>
      </c>
      <c r="I610" s="121"/>
      <c r="J610" s="121">
        <f>4.28*0.055</f>
        <v>0.23540000000000003</v>
      </c>
      <c r="K610" s="121"/>
      <c r="L610" s="121"/>
      <c r="M610" s="121"/>
      <c r="N610" s="121"/>
      <c r="O610" s="121">
        <f t="shared" si="39"/>
        <v>0.23540000000000003</v>
      </c>
      <c r="P610" s="121">
        <f>4.28*0.055</f>
        <v>0.23540000000000003</v>
      </c>
      <c r="Q610" s="121"/>
      <c r="R610" s="121"/>
      <c r="T610" s="122">
        <v>1</v>
      </c>
      <c r="U610" s="123" t="s">
        <v>811</v>
      </c>
      <c r="V610" s="123" t="s">
        <v>812</v>
      </c>
    </row>
    <row r="611" spans="1:22">
      <c r="A611" s="119" t="s">
        <v>560</v>
      </c>
      <c r="B611" s="119" t="s">
        <v>144</v>
      </c>
      <c r="C611" s="120" t="s">
        <v>595</v>
      </c>
      <c r="D611" s="120">
        <v>2021</v>
      </c>
      <c r="E611" s="120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>
        <f t="shared" si="39"/>
        <v>0</v>
      </c>
      <c r="P611" s="121"/>
      <c r="Q611" s="121"/>
      <c r="R611" s="121"/>
      <c r="T611" s="122">
        <v>2</v>
      </c>
      <c r="U611" s="123" t="s">
        <v>811</v>
      </c>
      <c r="V611" s="123" t="s">
        <v>812</v>
      </c>
    </row>
    <row r="612" spans="1:22">
      <c r="A612" s="119" t="s">
        <v>560</v>
      </c>
      <c r="B612" s="119" t="s">
        <v>144</v>
      </c>
      <c r="C612" s="120" t="s">
        <v>596</v>
      </c>
      <c r="D612" s="120">
        <v>2021</v>
      </c>
      <c r="E612" s="120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>
        <f t="shared" si="39"/>
        <v>0</v>
      </c>
      <c r="P612" s="121"/>
      <c r="Q612" s="121"/>
      <c r="R612" s="121"/>
      <c r="T612" s="122">
        <v>3</v>
      </c>
      <c r="U612" s="123" t="s">
        <v>811</v>
      </c>
      <c r="V612" s="123" t="s">
        <v>812</v>
      </c>
    </row>
    <row r="613" spans="1:22">
      <c r="A613" s="119" t="s">
        <v>560</v>
      </c>
      <c r="B613" s="119" t="s">
        <v>144</v>
      </c>
      <c r="C613" s="120" t="s">
        <v>597</v>
      </c>
      <c r="D613" s="120">
        <v>2021</v>
      </c>
      <c r="E613" s="120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>
        <f t="shared" si="39"/>
        <v>0</v>
      </c>
      <c r="P613" s="121"/>
      <c r="Q613" s="121"/>
      <c r="R613" s="121"/>
      <c r="T613" s="122">
        <v>4</v>
      </c>
      <c r="U613" s="123" t="s">
        <v>811</v>
      </c>
      <c r="V613" s="123" t="s">
        <v>812</v>
      </c>
    </row>
    <row r="614" spans="1:22">
      <c r="A614" s="119" t="s">
        <v>560</v>
      </c>
      <c r="B614" s="119" t="s">
        <v>144</v>
      </c>
      <c r="C614" s="120" t="s">
        <v>600</v>
      </c>
      <c r="D614" s="120">
        <v>2021</v>
      </c>
      <c r="E614" s="120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>
        <f t="shared" si="39"/>
        <v>0</v>
      </c>
      <c r="P614" s="121"/>
      <c r="Q614" s="121"/>
      <c r="R614" s="121"/>
      <c r="T614" s="122">
        <v>5</v>
      </c>
      <c r="U614" s="123" t="s">
        <v>811</v>
      </c>
      <c r="V614" s="123" t="s">
        <v>812</v>
      </c>
    </row>
    <row r="615" spans="1:22">
      <c r="A615" s="119" t="s">
        <v>561</v>
      </c>
      <c r="B615" s="119" t="s">
        <v>145</v>
      </c>
      <c r="C615" s="120" t="s">
        <v>594</v>
      </c>
      <c r="D615" s="120">
        <v>2021</v>
      </c>
      <c r="E615" s="120"/>
      <c r="F615" s="121"/>
      <c r="G615" s="121"/>
      <c r="H615" s="128">
        <f>I615+J615</f>
        <v>1.65E-3</v>
      </c>
      <c r="I615" s="128"/>
      <c r="J615" s="128">
        <f>0.03*0.055</f>
        <v>1.65E-3</v>
      </c>
      <c r="K615" s="121"/>
      <c r="L615" s="121"/>
      <c r="M615" s="121"/>
      <c r="N615" s="121"/>
      <c r="O615" s="128">
        <f t="shared" si="39"/>
        <v>1.65E-3</v>
      </c>
      <c r="P615" s="121"/>
      <c r="Q615" s="121"/>
      <c r="R615" s="121"/>
      <c r="T615" s="122">
        <v>1</v>
      </c>
      <c r="U615" s="123" t="s">
        <v>811</v>
      </c>
      <c r="V615" s="123" t="s">
        <v>812</v>
      </c>
    </row>
    <row r="616" spans="1:22">
      <c r="A616" s="119" t="s">
        <v>561</v>
      </c>
      <c r="B616" s="119" t="s">
        <v>145</v>
      </c>
      <c r="C616" s="120" t="s">
        <v>595</v>
      </c>
      <c r="D616" s="120">
        <v>2021</v>
      </c>
      <c r="E616" s="120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>
        <f t="shared" si="39"/>
        <v>0</v>
      </c>
      <c r="P616" s="121"/>
      <c r="Q616" s="121"/>
      <c r="R616" s="121"/>
      <c r="T616" s="122">
        <v>2</v>
      </c>
      <c r="U616" s="123" t="s">
        <v>811</v>
      </c>
      <c r="V616" s="123" t="s">
        <v>812</v>
      </c>
    </row>
    <row r="617" spans="1:22">
      <c r="A617" s="119" t="s">
        <v>561</v>
      </c>
      <c r="B617" s="119" t="s">
        <v>145</v>
      </c>
      <c r="C617" s="120" t="s">
        <v>596</v>
      </c>
      <c r="D617" s="120">
        <v>2021</v>
      </c>
      <c r="E617" s="120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>
        <f t="shared" si="39"/>
        <v>0</v>
      </c>
      <c r="P617" s="121"/>
      <c r="Q617" s="121"/>
      <c r="R617" s="121"/>
      <c r="T617" s="122">
        <v>3</v>
      </c>
      <c r="U617" s="123" t="s">
        <v>811</v>
      </c>
      <c r="V617" s="123" t="s">
        <v>812</v>
      </c>
    </row>
    <row r="618" spans="1:22">
      <c r="A618" s="119" t="s">
        <v>561</v>
      </c>
      <c r="B618" s="119" t="s">
        <v>145</v>
      </c>
      <c r="C618" s="120" t="s">
        <v>597</v>
      </c>
      <c r="D618" s="120">
        <v>2021</v>
      </c>
      <c r="E618" s="120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>
        <f t="shared" si="39"/>
        <v>0</v>
      </c>
      <c r="P618" s="121"/>
      <c r="Q618" s="121"/>
      <c r="R618" s="121"/>
      <c r="T618" s="122">
        <v>4</v>
      </c>
      <c r="U618" s="123" t="s">
        <v>811</v>
      </c>
      <c r="V618" s="123" t="s">
        <v>812</v>
      </c>
    </row>
    <row r="619" spans="1:22">
      <c r="A619" s="119" t="s">
        <v>561</v>
      </c>
      <c r="B619" s="119" t="s">
        <v>145</v>
      </c>
      <c r="C619" s="120" t="s">
        <v>600</v>
      </c>
      <c r="D619" s="120">
        <v>2021</v>
      </c>
      <c r="E619" s="120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>
        <f t="shared" si="39"/>
        <v>0</v>
      </c>
      <c r="P619" s="121"/>
      <c r="Q619" s="121"/>
      <c r="R619" s="121"/>
      <c r="T619" s="122">
        <v>5</v>
      </c>
      <c r="U619" s="123" t="s">
        <v>811</v>
      </c>
      <c r="V619" s="123" t="s">
        <v>812</v>
      </c>
    </row>
    <row r="620" spans="1:22">
      <c r="A620" s="119" t="s">
        <v>389</v>
      </c>
      <c r="B620" s="119" t="s">
        <v>146</v>
      </c>
      <c r="C620" s="120" t="s">
        <v>594</v>
      </c>
      <c r="D620" s="120">
        <v>2021</v>
      </c>
      <c r="E620" s="120"/>
      <c r="F620" s="121"/>
      <c r="G620" s="121"/>
      <c r="H620" s="121">
        <f>I620+J620</f>
        <v>6.7320000000000001E-3</v>
      </c>
      <c r="I620" s="121"/>
      <c r="J620" s="121">
        <f>0.1224*0.055</f>
        <v>6.7320000000000001E-3</v>
      </c>
      <c r="K620" s="121"/>
      <c r="L620" s="121"/>
      <c r="M620" s="121"/>
      <c r="N620" s="121"/>
      <c r="O620" s="121">
        <f t="shared" si="39"/>
        <v>6.7320000000000001E-3</v>
      </c>
      <c r="P620" s="121">
        <f>0.1224*0.055</f>
        <v>6.7320000000000001E-3</v>
      </c>
      <c r="Q620" s="121"/>
      <c r="R620" s="121"/>
      <c r="T620" s="122">
        <v>1</v>
      </c>
      <c r="U620" s="123" t="s">
        <v>806</v>
      </c>
      <c r="V620" s="123" t="s">
        <v>816</v>
      </c>
    </row>
    <row r="621" spans="1:22">
      <c r="A621" s="119" t="s">
        <v>389</v>
      </c>
      <c r="B621" s="119" t="s">
        <v>146</v>
      </c>
      <c r="C621" s="120" t="s">
        <v>595</v>
      </c>
      <c r="D621" s="120">
        <v>2021</v>
      </c>
      <c r="E621" s="120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>
        <f t="shared" si="39"/>
        <v>0</v>
      </c>
      <c r="P621" s="121"/>
      <c r="Q621" s="121"/>
      <c r="R621" s="121"/>
      <c r="T621" s="122">
        <v>2</v>
      </c>
      <c r="U621" s="123" t="s">
        <v>806</v>
      </c>
      <c r="V621" s="123" t="s">
        <v>816</v>
      </c>
    </row>
    <row r="622" spans="1:22">
      <c r="A622" s="119" t="s">
        <v>389</v>
      </c>
      <c r="B622" s="119" t="s">
        <v>146</v>
      </c>
      <c r="C622" s="120" t="s">
        <v>596</v>
      </c>
      <c r="D622" s="120">
        <v>2021</v>
      </c>
      <c r="E622" s="120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>
        <f t="shared" ref="O622:O673" si="40">F622+H622</f>
        <v>0</v>
      </c>
      <c r="P622" s="121"/>
      <c r="Q622" s="121"/>
      <c r="R622" s="121"/>
      <c r="T622" s="122">
        <v>3</v>
      </c>
      <c r="U622" s="123" t="s">
        <v>806</v>
      </c>
      <c r="V622" s="123" t="s">
        <v>816</v>
      </c>
    </row>
    <row r="623" spans="1:22">
      <c r="A623" s="119" t="s">
        <v>389</v>
      </c>
      <c r="B623" s="119" t="s">
        <v>146</v>
      </c>
      <c r="C623" s="120" t="s">
        <v>597</v>
      </c>
      <c r="D623" s="120">
        <v>2021</v>
      </c>
      <c r="E623" s="120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>
        <f t="shared" si="40"/>
        <v>0</v>
      </c>
      <c r="P623" s="121"/>
      <c r="Q623" s="121"/>
      <c r="R623" s="121"/>
      <c r="T623" s="122">
        <v>4</v>
      </c>
      <c r="U623" s="123" t="s">
        <v>806</v>
      </c>
      <c r="V623" s="123" t="s">
        <v>816</v>
      </c>
    </row>
    <row r="624" spans="1:22">
      <c r="A624" s="119" t="s">
        <v>389</v>
      </c>
      <c r="B624" s="119" t="s">
        <v>146</v>
      </c>
      <c r="C624" s="120" t="s">
        <v>600</v>
      </c>
      <c r="D624" s="120">
        <v>2021</v>
      </c>
      <c r="E624" s="120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>
        <f t="shared" si="40"/>
        <v>0</v>
      </c>
      <c r="P624" s="121"/>
      <c r="Q624" s="121"/>
      <c r="R624" s="121"/>
      <c r="T624" s="122">
        <v>5</v>
      </c>
      <c r="U624" s="123" t="s">
        <v>806</v>
      </c>
      <c r="V624" s="123" t="s">
        <v>816</v>
      </c>
    </row>
    <row r="625" spans="1:22">
      <c r="A625" s="119" t="s">
        <v>774</v>
      </c>
      <c r="B625" s="119" t="s">
        <v>147</v>
      </c>
      <c r="C625" s="120" t="s">
        <v>594</v>
      </c>
      <c r="D625" s="120">
        <v>2021</v>
      </c>
      <c r="E625" s="120"/>
      <c r="F625" s="121"/>
      <c r="G625" s="121"/>
      <c r="H625" s="121">
        <f>I625+J625</f>
        <v>5.5E-2</v>
      </c>
      <c r="I625" s="121"/>
      <c r="J625" s="121">
        <f>1*0.055</f>
        <v>5.5E-2</v>
      </c>
      <c r="K625" s="121"/>
      <c r="L625" s="121"/>
      <c r="M625" s="121"/>
      <c r="N625" s="121"/>
      <c r="O625" s="121">
        <f t="shared" si="40"/>
        <v>5.5E-2</v>
      </c>
      <c r="P625" s="121">
        <f>1*0.055</f>
        <v>5.5E-2</v>
      </c>
      <c r="Q625" s="121"/>
      <c r="R625" s="121"/>
      <c r="T625" s="122">
        <v>1</v>
      </c>
      <c r="U625" s="123" t="s">
        <v>809</v>
      </c>
      <c r="V625" s="123" t="s">
        <v>815</v>
      </c>
    </row>
    <row r="626" spans="1:22">
      <c r="A626" s="119" t="s">
        <v>774</v>
      </c>
      <c r="B626" s="119" t="s">
        <v>147</v>
      </c>
      <c r="C626" s="120" t="s">
        <v>595</v>
      </c>
      <c r="D626" s="120">
        <v>2021</v>
      </c>
      <c r="E626" s="120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>
        <f t="shared" si="40"/>
        <v>0</v>
      </c>
      <c r="P626" s="121"/>
      <c r="Q626" s="121"/>
      <c r="R626" s="121"/>
      <c r="T626" s="122">
        <v>2</v>
      </c>
      <c r="U626" s="123" t="s">
        <v>809</v>
      </c>
      <c r="V626" s="123" t="s">
        <v>815</v>
      </c>
    </row>
    <row r="627" spans="1:22">
      <c r="A627" s="119" t="s">
        <v>774</v>
      </c>
      <c r="B627" s="119" t="s">
        <v>147</v>
      </c>
      <c r="C627" s="120" t="s">
        <v>596</v>
      </c>
      <c r="D627" s="120">
        <v>2021</v>
      </c>
      <c r="E627" s="120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>
        <f t="shared" si="40"/>
        <v>0</v>
      </c>
      <c r="P627" s="121"/>
      <c r="Q627" s="121"/>
      <c r="R627" s="121"/>
      <c r="T627" s="122">
        <v>3</v>
      </c>
      <c r="U627" s="123" t="s">
        <v>809</v>
      </c>
      <c r="V627" s="123" t="s">
        <v>815</v>
      </c>
    </row>
    <row r="628" spans="1:22">
      <c r="A628" s="119" t="s">
        <v>774</v>
      </c>
      <c r="B628" s="119" t="s">
        <v>147</v>
      </c>
      <c r="C628" s="120" t="s">
        <v>597</v>
      </c>
      <c r="D628" s="120">
        <v>2021</v>
      </c>
      <c r="E628" s="120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>
        <f t="shared" si="40"/>
        <v>0</v>
      </c>
      <c r="P628" s="121"/>
      <c r="Q628" s="121"/>
      <c r="R628" s="121"/>
      <c r="T628" s="122">
        <v>4</v>
      </c>
      <c r="U628" s="123" t="s">
        <v>809</v>
      </c>
      <c r="V628" s="123" t="s">
        <v>815</v>
      </c>
    </row>
    <row r="629" spans="1:22">
      <c r="A629" s="119" t="s">
        <v>774</v>
      </c>
      <c r="B629" s="119" t="s">
        <v>147</v>
      </c>
      <c r="C629" s="120" t="s">
        <v>600</v>
      </c>
      <c r="D629" s="120">
        <v>2021</v>
      </c>
      <c r="E629" s="120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>
        <f t="shared" si="40"/>
        <v>0</v>
      </c>
      <c r="P629" s="121"/>
      <c r="Q629" s="121"/>
      <c r="R629" s="121"/>
      <c r="T629" s="122">
        <v>5</v>
      </c>
      <c r="U629" s="123" t="s">
        <v>809</v>
      </c>
      <c r="V629" s="123" t="s">
        <v>815</v>
      </c>
    </row>
    <row r="630" spans="1:22">
      <c r="A630" s="119" t="s">
        <v>681</v>
      </c>
      <c r="B630" s="119" t="s">
        <v>148</v>
      </c>
      <c r="C630" s="120" t="s">
        <v>594</v>
      </c>
      <c r="D630" s="120">
        <v>2021</v>
      </c>
      <c r="E630" s="120"/>
      <c r="F630" s="121"/>
      <c r="G630" s="121"/>
      <c r="H630" s="121">
        <f>I630+J630</f>
        <v>879.89054999999985</v>
      </c>
      <c r="I630" s="121">
        <f>5513.46*0.055</f>
        <v>303.24029999999999</v>
      </c>
      <c r="J630" s="121">
        <f>10484.55*0.055</f>
        <v>576.65024999999991</v>
      </c>
      <c r="K630" s="121"/>
      <c r="L630" s="121"/>
      <c r="M630" s="121"/>
      <c r="N630" s="121"/>
      <c r="O630" s="121">
        <f t="shared" ref="O630:O635" si="41">F630+H630</f>
        <v>879.89054999999985</v>
      </c>
      <c r="P630" s="121">
        <f>15998.01*0.055</f>
        <v>879.89054999999996</v>
      </c>
      <c r="Q630" s="121"/>
      <c r="R630" s="121"/>
      <c r="U630" s="123" t="s">
        <v>806</v>
      </c>
      <c r="V630" s="123" t="s">
        <v>814</v>
      </c>
    </row>
    <row r="631" spans="1:22">
      <c r="A631" s="119" t="s">
        <v>681</v>
      </c>
      <c r="B631" s="119" t="s">
        <v>148</v>
      </c>
      <c r="C631" s="120" t="s">
        <v>595</v>
      </c>
      <c r="D631" s="120">
        <v>2021</v>
      </c>
      <c r="E631" s="120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>
        <f t="shared" si="41"/>
        <v>0</v>
      </c>
      <c r="P631" s="121"/>
      <c r="Q631" s="121"/>
      <c r="R631" s="121"/>
      <c r="U631" s="123" t="s">
        <v>806</v>
      </c>
      <c r="V631" s="123" t="s">
        <v>814</v>
      </c>
    </row>
    <row r="632" spans="1:22">
      <c r="A632" s="119" t="s">
        <v>681</v>
      </c>
      <c r="B632" s="119" t="s">
        <v>148</v>
      </c>
      <c r="C632" s="120" t="s">
        <v>596</v>
      </c>
      <c r="D632" s="120">
        <v>2021</v>
      </c>
      <c r="E632" s="120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>
        <f t="shared" si="41"/>
        <v>0</v>
      </c>
      <c r="P632" s="121"/>
      <c r="Q632" s="121"/>
      <c r="R632" s="121"/>
      <c r="U632" s="123" t="s">
        <v>806</v>
      </c>
      <c r="V632" s="123" t="s">
        <v>814</v>
      </c>
    </row>
    <row r="633" spans="1:22">
      <c r="A633" s="119" t="s">
        <v>681</v>
      </c>
      <c r="B633" s="119" t="s">
        <v>148</v>
      </c>
      <c r="C633" s="120" t="s">
        <v>597</v>
      </c>
      <c r="D633" s="120">
        <v>2021</v>
      </c>
      <c r="E633" s="120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>
        <f t="shared" si="41"/>
        <v>0</v>
      </c>
      <c r="P633" s="121"/>
      <c r="Q633" s="121"/>
      <c r="R633" s="121"/>
      <c r="U633" s="123" t="s">
        <v>806</v>
      </c>
      <c r="V633" s="123" t="s">
        <v>814</v>
      </c>
    </row>
    <row r="634" spans="1:22">
      <c r="A634" s="119" t="s">
        <v>681</v>
      </c>
      <c r="B634" s="119" t="s">
        <v>148</v>
      </c>
      <c r="C634" s="120" t="s">
        <v>600</v>
      </c>
      <c r="D634" s="120">
        <v>2021</v>
      </c>
      <c r="E634" s="120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>
        <f t="shared" si="41"/>
        <v>0</v>
      </c>
      <c r="P634" s="121"/>
      <c r="Q634" s="121"/>
      <c r="R634" s="121"/>
      <c r="U634" s="123" t="s">
        <v>806</v>
      </c>
      <c r="V634" s="123" t="s">
        <v>814</v>
      </c>
    </row>
    <row r="635" spans="1:22">
      <c r="A635" s="119" t="s">
        <v>681</v>
      </c>
      <c r="B635" s="119" t="s">
        <v>148</v>
      </c>
      <c r="C635" s="120" t="s">
        <v>271</v>
      </c>
      <c r="D635" s="120">
        <v>2021</v>
      </c>
      <c r="E635" s="120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>
        <f t="shared" si="41"/>
        <v>0</v>
      </c>
      <c r="P635" s="121"/>
      <c r="Q635" s="121"/>
      <c r="R635" s="121"/>
      <c r="U635" s="123" t="s">
        <v>806</v>
      </c>
      <c r="V635" s="123" t="s">
        <v>814</v>
      </c>
    </row>
    <row r="636" spans="1:22">
      <c r="A636" s="119" t="s">
        <v>555</v>
      </c>
      <c r="B636" s="119" t="s">
        <v>149</v>
      </c>
      <c r="C636" s="120" t="s">
        <v>594</v>
      </c>
      <c r="D636" s="120">
        <v>2021</v>
      </c>
      <c r="E636" s="120"/>
      <c r="F636" s="121"/>
      <c r="G636" s="121"/>
      <c r="H636" s="121">
        <f>I636+J636</f>
        <v>11.88</v>
      </c>
      <c r="I636" s="121"/>
      <c r="J636" s="121">
        <f>216*0.055</f>
        <v>11.88</v>
      </c>
      <c r="K636" s="121"/>
      <c r="L636" s="121"/>
      <c r="M636" s="121"/>
      <c r="N636" s="121"/>
      <c r="O636" s="121">
        <f t="shared" si="40"/>
        <v>11.88</v>
      </c>
      <c r="P636" s="121"/>
      <c r="Q636" s="121"/>
      <c r="R636" s="121"/>
      <c r="T636" s="122">
        <v>1</v>
      </c>
      <c r="U636" s="123" t="s">
        <v>809</v>
      </c>
      <c r="V636" s="123" t="s">
        <v>810</v>
      </c>
    </row>
    <row r="637" spans="1:22">
      <c r="A637" s="119" t="s">
        <v>555</v>
      </c>
      <c r="B637" s="119" t="s">
        <v>149</v>
      </c>
      <c r="C637" s="120" t="s">
        <v>595</v>
      </c>
      <c r="D637" s="120">
        <v>2021</v>
      </c>
      <c r="E637" s="120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>
        <f t="shared" si="40"/>
        <v>0</v>
      </c>
      <c r="P637" s="121"/>
      <c r="Q637" s="121"/>
      <c r="R637" s="121"/>
      <c r="T637" s="122">
        <v>2</v>
      </c>
      <c r="U637" s="123" t="s">
        <v>809</v>
      </c>
      <c r="V637" s="123" t="s">
        <v>810</v>
      </c>
    </row>
    <row r="638" spans="1:22">
      <c r="A638" s="119" t="s">
        <v>555</v>
      </c>
      <c r="B638" s="119" t="s">
        <v>149</v>
      </c>
      <c r="C638" s="120" t="s">
        <v>596</v>
      </c>
      <c r="D638" s="120">
        <v>2021</v>
      </c>
      <c r="E638" s="120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>
        <f t="shared" si="40"/>
        <v>0</v>
      </c>
      <c r="P638" s="121"/>
      <c r="Q638" s="121"/>
      <c r="R638" s="121"/>
      <c r="T638" s="122">
        <v>3</v>
      </c>
      <c r="U638" s="123" t="s">
        <v>809</v>
      </c>
      <c r="V638" s="123" t="s">
        <v>810</v>
      </c>
    </row>
    <row r="639" spans="1:22">
      <c r="A639" s="119" t="s">
        <v>555</v>
      </c>
      <c r="B639" s="119" t="s">
        <v>149</v>
      </c>
      <c r="C639" s="120" t="s">
        <v>597</v>
      </c>
      <c r="D639" s="120">
        <v>2021</v>
      </c>
      <c r="E639" s="120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>
        <f t="shared" si="40"/>
        <v>0</v>
      </c>
      <c r="P639" s="121"/>
      <c r="Q639" s="121"/>
      <c r="R639" s="121"/>
      <c r="T639" s="122">
        <v>4</v>
      </c>
      <c r="U639" s="123" t="s">
        <v>809</v>
      </c>
      <c r="V639" s="123" t="s">
        <v>810</v>
      </c>
    </row>
    <row r="640" spans="1:22">
      <c r="A640" s="119" t="s">
        <v>555</v>
      </c>
      <c r="B640" s="119" t="s">
        <v>149</v>
      </c>
      <c r="C640" s="120" t="s">
        <v>600</v>
      </c>
      <c r="D640" s="120">
        <v>2021</v>
      </c>
      <c r="E640" s="120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>
        <f t="shared" si="40"/>
        <v>0</v>
      </c>
      <c r="P640" s="121"/>
      <c r="Q640" s="121"/>
      <c r="R640" s="121"/>
      <c r="T640" s="122">
        <v>5</v>
      </c>
      <c r="U640" s="123" t="s">
        <v>809</v>
      </c>
      <c r="V640" s="123" t="s">
        <v>810</v>
      </c>
    </row>
    <row r="641" spans="1:22">
      <c r="A641" s="119" t="s">
        <v>360</v>
      </c>
      <c r="B641" s="119" t="s">
        <v>150</v>
      </c>
      <c r="C641" s="120" t="s">
        <v>594</v>
      </c>
      <c r="D641" s="120">
        <v>2021</v>
      </c>
      <c r="E641" s="120"/>
      <c r="F641" s="121"/>
      <c r="G641" s="121"/>
      <c r="H641" s="121">
        <f>I641+J641</f>
        <v>4.480575</v>
      </c>
      <c r="I641" s="121"/>
      <c r="J641" s="121">
        <f>81.465*0.055</f>
        <v>4.480575</v>
      </c>
      <c r="K641" s="121"/>
      <c r="L641" s="121"/>
      <c r="M641" s="121"/>
      <c r="N641" s="121"/>
      <c r="O641" s="121">
        <f t="shared" si="40"/>
        <v>4.480575</v>
      </c>
      <c r="P641" s="121">
        <f>81.465*0.055</f>
        <v>4.480575</v>
      </c>
      <c r="Q641" s="121"/>
      <c r="R641" s="121"/>
      <c r="T641" s="122">
        <v>1</v>
      </c>
      <c r="U641" s="123" t="s">
        <v>808</v>
      </c>
      <c r="V641" s="123" t="s">
        <v>808</v>
      </c>
    </row>
    <row r="642" spans="1:22">
      <c r="A642" s="119" t="s">
        <v>360</v>
      </c>
      <c r="B642" s="119" t="s">
        <v>150</v>
      </c>
      <c r="C642" s="120" t="s">
        <v>595</v>
      </c>
      <c r="D642" s="120">
        <v>2021</v>
      </c>
      <c r="E642" s="120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>
        <f t="shared" si="40"/>
        <v>0</v>
      </c>
      <c r="P642" s="121"/>
      <c r="Q642" s="121"/>
      <c r="R642" s="121"/>
      <c r="T642" s="122">
        <v>2</v>
      </c>
      <c r="U642" s="123" t="s">
        <v>808</v>
      </c>
      <c r="V642" s="123" t="s">
        <v>808</v>
      </c>
    </row>
    <row r="643" spans="1:22">
      <c r="A643" s="119" t="s">
        <v>360</v>
      </c>
      <c r="B643" s="119" t="s">
        <v>150</v>
      </c>
      <c r="C643" s="120" t="s">
        <v>596</v>
      </c>
      <c r="D643" s="120">
        <v>2021</v>
      </c>
      <c r="E643" s="120"/>
      <c r="F643" s="121"/>
      <c r="G643" s="121"/>
      <c r="H643" s="121">
        <f>I643+J643</f>
        <v>9.035E-2</v>
      </c>
      <c r="I643" s="121"/>
      <c r="J643" s="121">
        <f>1.39*0.065</f>
        <v>9.035E-2</v>
      </c>
      <c r="K643" s="121"/>
      <c r="L643" s="121"/>
      <c r="M643" s="121"/>
      <c r="N643" s="121"/>
      <c r="O643" s="121">
        <f t="shared" si="40"/>
        <v>9.035E-2</v>
      </c>
      <c r="P643" s="121">
        <f>1.39*0.065</f>
        <v>9.035E-2</v>
      </c>
      <c r="Q643" s="121"/>
      <c r="R643" s="121"/>
      <c r="T643" s="122">
        <v>3</v>
      </c>
      <c r="U643" s="123" t="s">
        <v>808</v>
      </c>
      <c r="V643" s="123" t="s">
        <v>808</v>
      </c>
    </row>
    <row r="644" spans="1:22">
      <c r="A644" s="119" t="s">
        <v>360</v>
      </c>
      <c r="B644" s="119" t="s">
        <v>150</v>
      </c>
      <c r="C644" s="120" t="s">
        <v>597</v>
      </c>
      <c r="D644" s="120">
        <v>2021</v>
      </c>
      <c r="E644" s="120"/>
      <c r="F644" s="128"/>
      <c r="G644" s="121"/>
      <c r="H644" s="121"/>
      <c r="I644" s="128"/>
      <c r="J644" s="121"/>
      <c r="K644" s="121"/>
      <c r="L644" s="121"/>
      <c r="M644" s="121"/>
      <c r="N644" s="121"/>
      <c r="O644" s="121">
        <f>G644</f>
        <v>0</v>
      </c>
      <c r="P644" s="121"/>
      <c r="Q644" s="121"/>
      <c r="R644" s="121"/>
      <c r="T644" s="122">
        <v>4</v>
      </c>
      <c r="U644" s="123" t="s">
        <v>808</v>
      </c>
      <c r="V644" s="123" t="s">
        <v>808</v>
      </c>
    </row>
    <row r="645" spans="1:22">
      <c r="A645" s="119" t="s">
        <v>360</v>
      </c>
      <c r="B645" s="119" t="s">
        <v>150</v>
      </c>
      <c r="C645" s="120" t="s">
        <v>600</v>
      </c>
      <c r="D645" s="120">
        <v>2021</v>
      </c>
      <c r="E645" s="120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>
        <f t="shared" si="40"/>
        <v>0</v>
      </c>
      <c r="P645" s="121"/>
      <c r="Q645" s="121"/>
      <c r="R645" s="121"/>
      <c r="T645" s="122">
        <v>5</v>
      </c>
      <c r="U645" s="123" t="s">
        <v>808</v>
      </c>
      <c r="V645" s="123" t="s">
        <v>808</v>
      </c>
    </row>
    <row r="646" spans="1:22" ht="10.8" customHeight="1">
      <c r="A646" s="119" t="s">
        <v>556</v>
      </c>
      <c r="B646" s="119" t="s">
        <v>151</v>
      </c>
      <c r="C646" s="120" t="s">
        <v>594</v>
      </c>
      <c r="D646" s="120">
        <v>2021</v>
      </c>
      <c r="E646" s="120"/>
      <c r="F646" s="121"/>
      <c r="G646" s="121"/>
      <c r="H646" s="121">
        <f>I646+J646</f>
        <v>0</v>
      </c>
      <c r="I646" s="121"/>
      <c r="J646" s="121">
        <v>0</v>
      </c>
      <c r="K646" s="121"/>
      <c r="L646" s="121"/>
      <c r="M646" s="121"/>
      <c r="N646" s="121"/>
      <c r="O646" s="121">
        <f t="shared" si="40"/>
        <v>0</v>
      </c>
      <c r="P646" s="121">
        <v>0</v>
      </c>
      <c r="Q646" s="121"/>
      <c r="R646" s="121"/>
      <c r="T646" s="122">
        <v>1</v>
      </c>
      <c r="U646" s="123" t="s">
        <v>809</v>
      </c>
      <c r="V646" s="123" t="s">
        <v>815</v>
      </c>
    </row>
    <row r="647" spans="1:22">
      <c r="A647" s="119" t="s">
        <v>556</v>
      </c>
      <c r="B647" s="119" t="s">
        <v>151</v>
      </c>
      <c r="C647" s="120" t="s">
        <v>595</v>
      </c>
      <c r="D647" s="120">
        <v>2021</v>
      </c>
      <c r="E647" s="120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>
        <f t="shared" si="40"/>
        <v>0</v>
      </c>
      <c r="P647" s="121"/>
      <c r="Q647" s="121"/>
      <c r="R647" s="121"/>
      <c r="T647" s="122">
        <v>2</v>
      </c>
      <c r="U647" s="123" t="s">
        <v>809</v>
      </c>
      <c r="V647" s="123" t="s">
        <v>815</v>
      </c>
    </row>
    <row r="648" spans="1:22">
      <c r="A648" s="119" t="s">
        <v>556</v>
      </c>
      <c r="B648" s="119" t="s">
        <v>151</v>
      </c>
      <c r="C648" s="120" t="s">
        <v>596</v>
      </c>
      <c r="D648" s="120">
        <v>2021</v>
      </c>
      <c r="E648" s="120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>
        <f t="shared" si="40"/>
        <v>0</v>
      </c>
      <c r="P648" s="121"/>
      <c r="Q648" s="121"/>
      <c r="R648" s="121"/>
      <c r="T648" s="122">
        <v>3</v>
      </c>
      <c r="U648" s="123" t="s">
        <v>809</v>
      </c>
      <c r="V648" s="123" t="s">
        <v>815</v>
      </c>
    </row>
    <row r="649" spans="1:22">
      <c r="A649" s="119" t="s">
        <v>556</v>
      </c>
      <c r="B649" s="119" t="s">
        <v>151</v>
      </c>
      <c r="C649" s="120" t="s">
        <v>597</v>
      </c>
      <c r="D649" s="120">
        <v>2021</v>
      </c>
      <c r="E649" s="120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>
        <f t="shared" si="40"/>
        <v>0</v>
      </c>
      <c r="P649" s="121"/>
      <c r="Q649" s="121"/>
      <c r="R649" s="121"/>
      <c r="T649" s="122">
        <v>4</v>
      </c>
      <c r="U649" s="123" t="s">
        <v>809</v>
      </c>
      <c r="V649" s="123" t="s">
        <v>815</v>
      </c>
    </row>
    <row r="650" spans="1:22">
      <c r="A650" s="119" t="s">
        <v>556</v>
      </c>
      <c r="B650" s="119" t="s">
        <v>151</v>
      </c>
      <c r="C650" s="120" t="s">
        <v>600</v>
      </c>
      <c r="D650" s="120">
        <v>2021</v>
      </c>
      <c r="E650" s="120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>
        <f t="shared" si="40"/>
        <v>0</v>
      </c>
      <c r="P650" s="121"/>
      <c r="Q650" s="121"/>
      <c r="R650" s="121"/>
      <c r="T650" s="122">
        <v>5</v>
      </c>
      <c r="U650" s="123" t="s">
        <v>809</v>
      </c>
      <c r="V650" s="123" t="s">
        <v>815</v>
      </c>
    </row>
    <row r="651" spans="1:22">
      <c r="A651" s="119" t="s">
        <v>775</v>
      </c>
      <c r="B651" s="119" t="s">
        <v>24</v>
      </c>
      <c r="C651" s="120" t="s">
        <v>594</v>
      </c>
      <c r="D651" s="120">
        <v>2021</v>
      </c>
      <c r="E651" s="120"/>
      <c r="F651" s="121"/>
      <c r="G651" s="121"/>
      <c r="H651" s="121">
        <f>I651+J651</f>
        <v>0.56045</v>
      </c>
      <c r="I651" s="121"/>
      <c r="J651" s="121">
        <f>10.19*0.055</f>
        <v>0.56045</v>
      </c>
      <c r="K651" s="121"/>
      <c r="L651" s="121"/>
      <c r="M651" s="121"/>
      <c r="N651" s="121"/>
      <c r="O651" s="121">
        <f t="shared" si="40"/>
        <v>0.56045</v>
      </c>
      <c r="P651" s="121"/>
      <c r="Q651" s="121"/>
      <c r="R651" s="121"/>
      <c r="T651" s="122">
        <v>1</v>
      </c>
      <c r="U651" s="123" t="s">
        <v>809</v>
      </c>
      <c r="V651" s="123" t="s">
        <v>810</v>
      </c>
    </row>
    <row r="652" spans="1:22">
      <c r="A652" s="119" t="s">
        <v>775</v>
      </c>
      <c r="B652" s="119" t="s">
        <v>24</v>
      </c>
      <c r="C652" s="120" t="s">
        <v>595</v>
      </c>
      <c r="D652" s="120">
        <v>2021</v>
      </c>
      <c r="E652" s="120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>
        <f t="shared" si="40"/>
        <v>0</v>
      </c>
      <c r="P652" s="121"/>
      <c r="Q652" s="121"/>
      <c r="R652" s="121"/>
      <c r="T652" s="122">
        <v>2</v>
      </c>
      <c r="U652" s="123" t="s">
        <v>809</v>
      </c>
      <c r="V652" s="123" t="s">
        <v>810</v>
      </c>
    </row>
    <row r="653" spans="1:22">
      <c r="A653" s="119" t="s">
        <v>775</v>
      </c>
      <c r="B653" s="119" t="s">
        <v>24</v>
      </c>
      <c r="C653" s="120" t="s">
        <v>596</v>
      </c>
      <c r="D653" s="120">
        <v>2021</v>
      </c>
      <c r="E653" s="120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>
        <f t="shared" si="40"/>
        <v>0</v>
      </c>
      <c r="P653" s="121"/>
      <c r="Q653" s="121"/>
      <c r="R653" s="121"/>
      <c r="T653" s="122">
        <v>3</v>
      </c>
      <c r="U653" s="123" t="s">
        <v>809</v>
      </c>
      <c r="V653" s="123" t="s">
        <v>810</v>
      </c>
    </row>
    <row r="654" spans="1:22">
      <c r="A654" s="119" t="s">
        <v>775</v>
      </c>
      <c r="B654" s="119" t="s">
        <v>24</v>
      </c>
      <c r="C654" s="120" t="s">
        <v>597</v>
      </c>
      <c r="D654" s="120">
        <v>2021</v>
      </c>
      <c r="E654" s="120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>
        <f t="shared" si="40"/>
        <v>0</v>
      </c>
      <c r="P654" s="121"/>
      <c r="Q654" s="121"/>
      <c r="R654" s="121"/>
      <c r="T654" s="122">
        <v>4</v>
      </c>
      <c r="U654" s="123" t="s">
        <v>809</v>
      </c>
      <c r="V654" s="123" t="s">
        <v>810</v>
      </c>
    </row>
    <row r="655" spans="1:22">
      <c r="A655" s="119" t="s">
        <v>775</v>
      </c>
      <c r="B655" s="119" t="s">
        <v>24</v>
      </c>
      <c r="C655" s="120" t="s">
        <v>600</v>
      </c>
      <c r="D655" s="120">
        <v>2021</v>
      </c>
      <c r="E655" s="120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>
        <f t="shared" si="40"/>
        <v>0</v>
      </c>
      <c r="P655" s="121"/>
      <c r="Q655" s="121"/>
      <c r="R655" s="121"/>
      <c r="T655" s="122">
        <v>5</v>
      </c>
      <c r="U655" s="123" t="s">
        <v>809</v>
      </c>
      <c r="V655" s="123" t="s">
        <v>810</v>
      </c>
    </row>
    <row r="656" spans="1:22">
      <c r="A656" s="119" t="s">
        <v>557</v>
      </c>
      <c r="B656" s="119" t="s">
        <v>25</v>
      </c>
      <c r="C656" s="120" t="s">
        <v>594</v>
      </c>
      <c r="D656" s="120">
        <v>2021</v>
      </c>
      <c r="E656" s="120"/>
      <c r="F656" s="121"/>
      <c r="G656" s="121"/>
      <c r="H656" s="121">
        <f>I656+J656</f>
        <v>7.7549999999999994E-2</v>
      </c>
      <c r="I656" s="121"/>
      <c r="J656" s="121">
        <f>1.41*0.055</f>
        <v>7.7549999999999994E-2</v>
      </c>
      <c r="K656" s="121"/>
      <c r="L656" s="121"/>
      <c r="M656" s="121"/>
      <c r="N656" s="121"/>
      <c r="O656" s="121">
        <f t="shared" si="40"/>
        <v>7.7549999999999994E-2</v>
      </c>
      <c r="P656" s="121">
        <f>1.408*0.055</f>
        <v>7.7439999999999995E-2</v>
      </c>
      <c r="Q656" s="121"/>
      <c r="R656" s="121"/>
      <c r="T656" s="122">
        <v>1</v>
      </c>
      <c r="U656" s="123" t="s">
        <v>806</v>
      </c>
      <c r="V656" s="123" t="s">
        <v>816</v>
      </c>
    </row>
    <row r="657" spans="1:22">
      <c r="A657" s="119" t="s">
        <v>557</v>
      </c>
      <c r="B657" s="119" t="s">
        <v>25</v>
      </c>
      <c r="C657" s="120" t="s">
        <v>595</v>
      </c>
      <c r="D657" s="120">
        <v>2021</v>
      </c>
      <c r="E657" s="120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>
        <f t="shared" si="40"/>
        <v>0</v>
      </c>
      <c r="P657" s="121"/>
      <c r="Q657" s="121"/>
      <c r="R657" s="121"/>
      <c r="T657" s="122">
        <v>2</v>
      </c>
      <c r="U657" s="123" t="s">
        <v>806</v>
      </c>
      <c r="V657" s="123" t="s">
        <v>816</v>
      </c>
    </row>
    <row r="658" spans="1:22">
      <c r="A658" s="119" t="s">
        <v>557</v>
      </c>
      <c r="B658" s="119" t="s">
        <v>25</v>
      </c>
      <c r="C658" s="120" t="s">
        <v>596</v>
      </c>
      <c r="D658" s="120">
        <v>2021</v>
      </c>
      <c r="E658" s="120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>
        <f t="shared" si="40"/>
        <v>0</v>
      </c>
      <c r="P658" s="121"/>
      <c r="Q658" s="121"/>
      <c r="R658" s="121"/>
      <c r="T658" s="122">
        <v>3</v>
      </c>
      <c r="U658" s="123" t="s">
        <v>806</v>
      </c>
      <c r="V658" s="123" t="s">
        <v>816</v>
      </c>
    </row>
    <row r="659" spans="1:22">
      <c r="A659" s="119" t="s">
        <v>557</v>
      </c>
      <c r="B659" s="119" t="s">
        <v>25</v>
      </c>
      <c r="C659" s="120" t="s">
        <v>597</v>
      </c>
      <c r="D659" s="120">
        <v>2021</v>
      </c>
      <c r="E659" s="120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>
        <f t="shared" si="40"/>
        <v>0</v>
      </c>
      <c r="P659" s="121"/>
      <c r="Q659" s="121"/>
      <c r="R659" s="121"/>
      <c r="T659" s="122">
        <v>4</v>
      </c>
      <c r="U659" s="123" t="s">
        <v>806</v>
      </c>
      <c r="V659" s="123" t="s">
        <v>816</v>
      </c>
    </row>
    <row r="660" spans="1:22">
      <c r="A660" s="119" t="s">
        <v>557</v>
      </c>
      <c r="B660" s="119" t="s">
        <v>25</v>
      </c>
      <c r="C660" s="120" t="s">
        <v>600</v>
      </c>
      <c r="D660" s="120">
        <v>2021</v>
      </c>
      <c r="E660" s="120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>
        <f t="shared" ref="O660:O701" si="42">F660+H660</f>
        <v>0</v>
      </c>
      <c r="P660" s="121"/>
      <c r="Q660" s="121"/>
      <c r="R660" s="121"/>
      <c r="T660" s="122">
        <v>5</v>
      </c>
      <c r="U660" s="123" t="s">
        <v>806</v>
      </c>
      <c r="V660" s="123" t="s">
        <v>816</v>
      </c>
    </row>
    <row r="661" spans="1:22">
      <c r="A661" s="119" t="s">
        <v>776</v>
      </c>
      <c r="B661" s="119" t="s">
        <v>26</v>
      </c>
      <c r="C661" s="120" t="s">
        <v>594</v>
      </c>
      <c r="D661" s="120">
        <v>2021</v>
      </c>
      <c r="E661" s="120"/>
      <c r="F661" s="121"/>
      <c r="G661" s="121"/>
      <c r="H661" s="121">
        <f>I661+J661</f>
        <v>10.45</v>
      </c>
      <c r="I661" s="121"/>
      <c r="J661" s="121">
        <f>190*0.055</f>
        <v>10.45</v>
      </c>
      <c r="K661" s="121"/>
      <c r="L661" s="121"/>
      <c r="M661" s="121"/>
      <c r="N661" s="121"/>
      <c r="O661" s="121">
        <f t="shared" si="40"/>
        <v>10.45</v>
      </c>
      <c r="P661" s="121">
        <f>190*0.055</f>
        <v>10.45</v>
      </c>
      <c r="Q661" s="121"/>
      <c r="R661" s="121"/>
      <c r="U661" s="123" t="s">
        <v>809</v>
      </c>
      <c r="V661" s="123" t="s">
        <v>815</v>
      </c>
    </row>
    <row r="662" spans="1:22">
      <c r="A662" s="119" t="s">
        <v>776</v>
      </c>
      <c r="B662" s="119" t="s">
        <v>26</v>
      </c>
      <c r="C662" s="120" t="s">
        <v>595</v>
      </c>
      <c r="D662" s="120">
        <v>2021</v>
      </c>
      <c r="E662" s="120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>
        <f t="shared" si="40"/>
        <v>0</v>
      </c>
      <c r="P662" s="121"/>
      <c r="Q662" s="121"/>
      <c r="R662" s="121"/>
      <c r="U662" s="123" t="s">
        <v>809</v>
      </c>
      <c r="V662" s="123" t="s">
        <v>815</v>
      </c>
    </row>
    <row r="663" spans="1:22">
      <c r="A663" s="119" t="s">
        <v>776</v>
      </c>
      <c r="B663" s="119" t="s">
        <v>26</v>
      </c>
      <c r="C663" s="125" t="s">
        <v>700</v>
      </c>
      <c r="D663" s="120">
        <v>2021</v>
      </c>
      <c r="E663" s="120"/>
      <c r="F663" s="121">
        <f>0.77*0.11</f>
        <v>8.4699999999999998E-2</v>
      </c>
      <c r="G663" s="121"/>
      <c r="H663" s="121"/>
      <c r="I663" s="121"/>
      <c r="J663" s="121"/>
      <c r="K663" s="121"/>
      <c r="L663" s="121"/>
      <c r="M663" s="121"/>
      <c r="N663" s="121"/>
      <c r="O663" s="121">
        <f t="shared" si="40"/>
        <v>8.4699999999999998E-2</v>
      </c>
      <c r="P663" s="121">
        <f>0.77*0.11</f>
        <v>8.4699999999999998E-2</v>
      </c>
      <c r="Q663" s="121"/>
      <c r="R663" s="121"/>
      <c r="U663" s="123" t="s">
        <v>809</v>
      </c>
      <c r="V663" s="123" t="s">
        <v>815</v>
      </c>
    </row>
    <row r="664" spans="1:22">
      <c r="A664" s="119" t="s">
        <v>776</v>
      </c>
      <c r="B664" s="119" t="s">
        <v>26</v>
      </c>
      <c r="C664" s="120" t="s">
        <v>596</v>
      </c>
      <c r="D664" s="120">
        <v>2021</v>
      </c>
      <c r="E664" s="120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>
        <f t="shared" si="40"/>
        <v>0</v>
      </c>
      <c r="P664" s="121"/>
      <c r="Q664" s="121"/>
      <c r="R664" s="121"/>
      <c r="U664" s="123" t="s">
        <v>809</v>
      </c>
      <c r="V664" s="123" t="s">
        <v>815</v>
      </c>
    </row>
    <row r="665" spans="1:22">
      <c r="A665" s="119" t="s">
        <v>776</v>
      </c>
      <c r="B665" s="119" t="s">
        <v>26</v>
      </c>
      <c r="C665" s="120" t="s">
        <v>597</v>
      </c>
      <c r="D665" s="120">
        <v>2021</v>
      </c>
      <c r="E665" s="120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>
        <f t="shared" si="40"/>
        <v>0</v>
      </c>
      <c r="P665" s="121"/>
      <c r="Q665" s="121"/>
      <c r="R665" s="121"/>
      <c r="U665" s="123" t="s">
        <v>809</v>
      </c>
      <c r="V665" s="123" t="s">
        <v>815</v>
      </c>
    </row>
    <row r="666" spans="1:22">
      <c r="A666" s="119" t="s">
        <v>776</v>
      </c>
      <c r="B666" s="119" t="s">
        <v>26</v>
      </c>
      <c r="C666" s="120" t="s">
        <v>600</v>
      </c>
      <c r="D666" s="120">
        <v>2021</v>
      </c>
      <c r="E666" s="120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>
        <f t="shared" si="40"/>
        <v>0</v>
      </c>
      <c r="P666" s="121"/>
      <c r="Q666" s="121"/>
      <c r="R666" s="121"/>
      <c r="U666" s="123" t="s">
        <v>809</v>
      </c>
      <c r="V666" s="123" t="s">
        <v>815</v>
      </c>
    </row>
    <row r="667" spans="1:22">
      <c r="A667" s="119" t="s">
        <v>737</v>
      </c>
      <c r="B667" s="119" t="s">
        <v>27</v>
      </c>
      <c r="C667" s="120" t="s">
        <v>594</v>
      </c>
      <c r="D667" s="120">
        <v>2021</v>
      </c>
      <c r="E667" s="120"/>
      <c r="F667" s="121"/>
      <c r="G667" s="121"/>
      <c r="H667" s="121">
        <f>I667+J667</f>
        <v>87.044705000000008</v>
      </c>
      <c r="I667" s="121"/>
      <c r="J667" s="121">
        <f>1582.631*0.055</f>
        <v>87.044705000000008</v>
      </c>
      <c r="K667" s="121"/>
      <c r="L667" s="121"/>
      <c r="M667" s="121"/>
      <c r="N667" s="121"/>
      <c r="O667" s="121">
        <f t="shared" si="40"/>
        <v>87.044705000000008</v>
      </c>
      <c r="P667" s="121">
        <f>1759.63*0.055</f>
        <v>96.779650000000004</v>
      </c>
      <c r="Q667" s="121">
        <f>154.22*0.055</f>
        <v>8.4821000000000009</v>
      </c>
      <c r="R667" s="121"/>
      <c r="U667" s="123" t="s">
        <v>809</v>
      </c>
      <c r="V667" s="123" t="s">
        <v>815</v>
      </c>
    </row>
    <row r="668" spans="1:22">
      <c r="A668" s="119" t="s">
        <v>737</v>
      </c>
      <c r="B668" s="119" t="s">
        <v>27</v>
      </c>
      <c r="C668" s="120" t="s">
        <v>595</v>
      </c>
      <c r="D668" s="120">
        <v>2021</v>
      </c>
      <c r="E668" s="120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>
        <f t="shared" si="40"/>
        <v>0</v>
      </c>
      <c r="P668" s="121"/>
      <c r="Q668" s="121"/>
      <c r="R668" s="121"/>
      <c r="U668" s="123" t="s">
        <v>809</v>
      </c>
      <c r="V668" s="123" t="s">
        <v>815</v>
      </c>
    </row>
    <row r="669" spans="1:22">
      <c r="A669" s="119" t="s">
        <v>737</v>
      </c>
      <c r="B669" s="119" t="s">
        <v>27</v>
      </c>
      <c r="C669" s="125" t="s">
        <v>700</v>
      </c>
      <c r="D669" s="120">
        <v>2021</v>
      </c>
      <c r="E669" s="120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>
        <f t="shared" si="40"/>
        <v>0</v>
      </c>
      <c r="P669" s="121"/>
      <c r="Q669" s="121"/>
      <c r="R669" s="121"/>
      <c r="U669" s="123" t="s">
        <v>809</v>
      </c>
      <c r="V669" s="123" t="s">
        <v>815</v>
      </c>
    </row>
    <row r="670" spans="1:22">
      <c r="A670" s="119" t="s">
        <v>737</v>
      </c>
      <c r="B670" s="119" t="s">
        <v>27</v>
      </c>
      <c r="C670" s="120" t="s">
        <v>596</v>
      </c>
      <c r="D670" s="120">
        <v>2021</v>
      </c>
      <c r="E670" s="120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>
        <f t="shared" si="40"/>
        <v>0</v>
      </c>
      <c r="P670" s="121"/>
      <c r="Q670" s="121"/>
      <c r="R670" s="121"/>
      <c r="U670" s="123" t="s">
        <v>809</v>
      </c>
      <c r="V670" s="123" t="s">
        <v>815</v>
      </c>
    </row>
    <row r="671" spans="1:22">
      <c r="A671" s="119" t="s">
        <v>737</v>
      </c>
      <c r="B671" s="119" t="s">
        <v>27</v>
      </c>
      <c r="C671" s="120" t="s">
        <v>597</v>
      </c>
      <c r="D671" s="120">
        <v>2021</v>
      </c>
      <c r="E671" s="120"/>
      <c r="F671" s="121"/>
      <c r="G671" s="121"/>
      <c r="H671" s="121">
        <f>I671+J671</f>
        <v>0.4</v>
      </c>
      <c r="I671" s="121"/>
      <c r="J671" s="121">
        <f>20*0.02</f>
        <v>0.4</v>
      </c>
      <c r="K671" s="121"/>
      <c r="L671" s="121"/>
      <c r="M671" s="121"/>
      <c r="N671" s="121"/>
      <c r="O671" s="121">
        <f t="shared" si="40"/>
        <v>0.4</v>
      </c>
      <c r="P671" s="121">
        <f>20*0.02</f>
        <v>0.4</v>
      </c>
      <c r="Q671" s="121"/>
      <c r="R671" s="121"/>
      <c r="U671" s="123" t="s">
        <v>809</v>
      </c>
      <c r="V671" s="123" t="s">
        <v>815</v>
      </c>
    </row>
    <row r="672" spans="1:22">
      <c r="A672" s="119" t="s">
        <v>737</v>
      </c>
      <c r="B672" s="119" t="s">
        <v>27</v>
      </c>
      <c r="C672" s="120" t="s">
        <v>600</v>
      </c>
      <c r="D672" s="120">
        <v>2021</v>
      </c>
      <c r="E672" s="120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>
        <f t="shared" si="40"/>
        <v>0</v>
      </c>
      <c r="P672" s="121"/>
      <c r="Q672" s="121"/>
      <c r="R672" s="121"/>
      <c r="U672" s="123" t="s">
        <v>809</v>
      </c>
      <c r="V672" s="123" t="s">
        <v>815</v>
      </c>
    </row>
    <row r="673" spans="1:22 16384:16384">
      <c r="A673" s="119" t="s">
        <v>737</v>
      </c>
      <c r="B673" s="119" t="s">
        <v>27</v>
      </c>
      <c r="C673" s="125" t="s">
        <v>643</v>
      </c>
      <c r="D673" s="120">
        <v>2021</v>
      </c>
      <c r="E673" s="120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>
        <f t="shared" si="40"/>
        <v>0</v>
      </c>
      <c r="P673" s="121"/>
      <c r="Q673" s="121"/>
      <c r="R673" s="121"/>
    </row>
    <row r="674" spans="1:22 16384:16384">
      <c r="A674" s="119" t="s">
        <v>796</v>
      </c>
      <c r="B674" s="119" t="s">
        <v>797</v>
      </c>
      <c r="C674" s="125" t="s">
        <v>594</v>
      </c>
      <c r="D674" s="120">
        <v>2021</v>
      </c>
      <c r="E674" s="120"/>
      <c r="F674" s="121"/>
      <c r="G674" s="121"/>
      <c r="H674" s="121">
        <f>I674+J674</f>
        <v>1.0400499999999999</v>
      </c>
      <c r="I674" s="121"/>
      <c r="J674" s="121">
        <f>18.91*0.055</f>
        <v>1.0400499999999999</v>
      </c>
      <c r="K674" s="121"/>
      <c r="L674" s="121"/>
      <c r="M674" s="121"/>
      <c r="N674" s="121"/>
      <c r="O674" s="121">
        <f t="shared" si="42"/>
        <v>1.0400499999999999</v>
      </c>
      <c r="P674" s="121">
        <f>18.91*0.055</f>
        <v>1.0400499999999999</v>
      </c>
      <c r="Q674" s="121"/>
      <c r="R674" s="121"/>
      <c r="XFD674" s="122">
        <f>SUM(D674:XFC674)</f>
        <v>2025.1602000000003</v>
      </c>
    </row>
    <row r="675" spans="1:22 16384:16384">
      <c r="A675" s="119" t="s">
        <v>796</v>
      </c>
      <c r="B675" s="119" t="s">
        <v>797</v>
      </c>
      <c r="C675" s="125" t="s">
        <v>595</v>
      </c>
      <c r="D675" s="120">
        <v>2021</v>
      </c>
      <c r="E675" s="120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>
        <f t="shared" si="42"/>
        <v>0</v>
      </c>
      <c r="P675" s="121"/>
      <c r="Q675" s="121"/>
      <c r="R675" s="121"/>
      <c r="XFD675" s="122">
        <f>SUM(D675:XFC675)</f>
        <v>2021</v>
      </c>
    </row>
    <row r="676" spans="1:22 16384:16384">
      <c r="A676" s="119" t="s">
        <v>796</v>
      </c>
      <c r="B676" s="119" t="s">
        <v>797</v>
      </c>
      <c r="C676" s="125" t="s">
        <v>596</v>
      </c>
      <c r="D676" s="120">
        <v>2021</v>
      </c>
      <c r="E676" s="120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>
        <f t="shared" si="42"/>
        <v>0</v>
      </c>
      <c r="P676" s="121"/>
      <c r="Q676" s="121"/>
      <c r="R676" s="121"/>
      <c r="XFD676" s="122">
        <f>SUM(D676:XFC676)</f>
        <v>2021</v>
      </c>
    </row>
    <row r="677" spans="1:22 16384:16384">
      <c r="A677" s="119" t="s">
        <v>796</v>
      </c>
      <c r="B677" s="119" t="s">
        <v>797</v>
      </c>
      <c r="C677" s="125" t="s">
        <v>597</v>
      </c>
      <c r="D677" s="120">
        <v>2021</v>
      </c>
      <c r="E677" s="120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>
        <f t="shared" si="42"/>
        <v>0</v>
      </c>
      <c r="P677" s="121"/>
      <c r="Q677" s="121"/>
      <c r="R677" s="121"/>
      <c r="XFD677" s="122">
        <f>SUM(D677:XFC677)</f>
        <v>2021</v>
      </c>
    </row>
    <row r="678" spans="1:22 16384:16384">
      <c r="A678" s="119" t="s">
        <v>796</v>
      </c>
      <c r="B678" s="119" t="s">
        <v>797</v>
      </c>
      <c r="C678" s="125" t="s">
        <v>600</v>
      </c>
      <c r="D678" s="120">
        <v>2021</v>
      </c>
      <c r="E678" s="120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>
        <f t="shared" si="42"/>
        <v>0</v>
      </c>
      <c r="P678" s="121"/>
      <c r="Q678" s="121"/>
      <c r="R678" s="121"/>
      <c r="XFD678" s="122">
        <f>SUM(D678:XFC678)</f>
        <v>2021</v>
      </c>
    </row>
    <row r="679" spans="1:22 16384:16384" ht="9.6" customHeight="1">
      <c r="A679" s="119" t="s">
        <v>558</v>
      </c>
      <c r="B679" s="119" t="s">
        <v>28</v>
      </c>
      <c r="C679" s="125" t="s">
        <v>594</v>
      </c>
      <c r="D679" s="120">
        <v>2021</v>
      </c>
      <c r="E679" s="125"/>
      <c r="F679" s="124"/>
      <c r="G679" s="124"/>
      <c r="H679" s="124">
        <f>I679+J679</f>
        <v>8.5788999999999991</v>
      </c>
      <c r="I679" s="124"/>
      <c r="J679" s="124">
        <f>155.98*0.055</f>
        <v>8.5788999999999991</v>
      </c>
      <c r="K679" s="124"/>
      <c r="L679" s="124"/>
      <c r="M679" s="124"/>
      <c r="N679" s="124"/>
      <c r="O679" s="124">
        <f t="shared" ref="O679:O685" si="43">F679+H679+K679</f>
        <v>8.5788999999999991</v>
      </c>
      <c r="P679" s="124">
        <f>155.98*0.055</f>
        <v>8.5788999999999991</v>
      </c>
      <c r="Q679" s="124"/>
      <c r="R679" s="124"/>
      <c r="T679" s="122">
        <v>1</v>
      </c>
      <c r="U679" s="123" t="s">
        <v>806</v>
      </c>
      <c r="V679" s="123" t="s">
        <v>807</v>
      </c>
    </row>
    <row r="680" spans="1:22 16384:16384">
      <c r="A680" s="119" t="s">
        <v>558</v>
      </c>
      <c r="B680" s="119" t="s">
        <v>28</v>
      </c>
      <c r="C680" s="125" t="s">
        <v>595</v>
      </c>
      <c r="D680" s="120">
        <v>2021</v>
      </c>
      <c r="E680" s="125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>
        <f t="shared" si="43"/>
        <v>0</v>
      </c>
      <c r="P680" s="124"/>
      <c r="Q680" s="124"/>
      <c r="R680" s="124"/>
      <c r="T680" s="122">
        <v>2</v>
      </c>
      <c r="U680" s="123" t="s">
        <v>806</v>
      </c>
      <c r="V680" s="123" t="s">
        <v>807</v>
      </c>
    </row>
    <row r="681" spans="1:22 16384:16384">
      <c r="A681" s="119" t="s">
        <v>558</v>
      </c>
      <c r="B681" s="119" t="s">
        <v>28</v>
      </c>
      <c r="C681" s="125" t="s">
        <v>700</v>
      </c>
      <c r="D681" s="120">
        <v>2021</v>
      </c>
      <c r="E681" s="125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>
        <f t="shared" si="43"/>
        <v>0</v>
      </c>
      <c r="P681" s="124"/>
      <c r="Q681" s="124"/>
      <c r="R681" s="124"/>
      <c r="U681" s="123" t="s">
        <v>806</v>
      </c>
      <c r="V681" s="123" t="s">
        <v>807</v>
      </c>
    </row>
    <row r="682" spans="1:22 16384:16384">
      <c r="A682" s="119" t="s">
        <v>558</v>
      </c>
      <c r="B682" s="119" t="s">
        <v>28</v>
      </c>
      <c r="C682" s="125" t="s">
        <v>596</v>
      </c>
      <c r="D682" s="120">
        <v>2021</v>
      </c>
      <c r="E682" s="125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>
        <f t="shared" si="43"/>
        <v>0</v>
      </c>
      <c r="P682" s="124"/>
      <c r="Q682" s="124"/>
      <c r="R682" s="124"/>
      <c r="T682" s="122">
        <v>3</v>
      </c>
      <c r="U682" s="123" t="s">
        <v>806</v>
      </c>
      <c r="V682" s="123" t="s">
        <v>807</v>
      </c>
    </row>
    <row r="683" spans="1:22 16384:16384">
      <c r="A683" s="119" t="s">
        <v>558</v>
      </c>
      <c r="B683" s="119" t="s">
        <v>28</v>
      </c>
      <c r="C683" s="125" t="s">
        <v>597</v>
      </c>
      <c r="D683" s="120">
        <v>2021</v>
      </c>
      <c r="E683" s="125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>
        <f t="shared" si="43"/>
        <v>0</v>
      </c>
      <c r="P683" s="124"/>
      <c r="Q683" s="124"/>
      <c r="R683" s="124"/>
      <c r="T683" s="122">
        <v>4</v>
      </c>
      <c r="U683" s="123" t="s">
        <v>806</v>
      </c>
      <c r="V683" s="123" t="s">
        <v>807</v>
      </c>
    </row>
    <row r="684" spans="1:22 16384:16384">
      <c r="A684" s="119" t="s">
        <v>558</v>
      </c>
      <c r="B684" s="119" t="s">
        <v>28</v>
      </c>
      <c r="C684" s="125" t="s">
        <v>600</v>
      </c>
      <c r="D684" s="120">
        <v>2021</v>
      </c>
      <c r="E684" s="125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>
        <f t="shared" si="43"/>
        <v>0</v>
      </c>
      <c r="P684" s="124"/>
      <c r="Q684" s="124"/>
      <c r="R684" s="124"/>
      <c r="T684" s="122">
        <v>5</v>
      </c>
      <c r="U684" s="123" t="s">
        <v>806</v>
      </c>
      <c r="V684" s="123" t="s">
        <v>807</v>
      </c>
    </row>
    <row r="685" spans="1:22 16384:16384">
      <c r="A685" s="119" t="s">
        <v>558</v>
      </c>
      <c r="B685" s="119" t="s">
        <v>28</v>
      </c>
      <c r="C685" s="125" t="s">
        <v>643</v>
      </c>
      <c r="D685" s="120">
        <v>2021</v>
      </c>
      <c r="E685" s="125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>
        <f t="shared" si="43"/>
        <v>0</v>
      </c>
      <c r="P685" s="124"/>
      <c r="Q685" s="124"/>
      <c r="R685" s="124"/>
      <c r="U685" s="123" t="s">
        <v>806</v>
      </c>
      <c r="V685" s="123" t="s">
        <v>807</v>
      </c>
    </row>
    <row r="686" spans="1:22 16384:16384">
      <c r="A686" s="119" t="s">
        <v>562</v>
      </c>
      <c r="B686" s="119" t="s">
        <v>29</v>
      </c>
      <c r="C686" s="120" t="s">
        <v>594</v>
      </c>
      <c r="D686" s="120">
        <v>2021</v>
      </c>
      <c r="E686" s="120"/>
      <c r="F686" s="121"/>
      <c r="G686" s="121"/>
      <c r="H686" s="121">
        <f>I686+J686</f>
        <v>9.35</v>
      </c>
      <c r="I686" s="121">
        <f>31.28*0.055</f>
        <v>1.7204000000000002</v>
      </c>
      <c r="J686" s="121">
        <f>138.72*0.055</f>
        <v>7.6295999999999999</v>
      </c>
      <c r="K686" s="121"/>
      <c r="L686" s="121"/>
      <c r="M686" s="121"/>
      <c r="N686" s="121"/>
      <c r="O686" s="121">
        <f t="shared" si="42"/>
        <v>9.35</v>
      </c>
      <c r="P686" s="121"/>
      <c r="Q686" s="121"/>
      <c r="R686" s="121"/>
      <c r="T686" s="122">
        <v>1</v>
      </c>
      <c r="U686" s="123" t="s">
        <v>809</v>
      </c>
      <c r="V686" s="123" t="s">
        <v>815</v>
      </c>
    </row>
    <row r="687" spans="1:22 16384:16384">
      <c r="A687" s="119" t="s">
        <v>562</v>
      </c>
      <c r="B687" s="119" t="s">
        <v>29</v>
      </c>
      <c r="C687" s="120" t="s">
        <v>595</v>
      </c>
      <c r="D687" s="120">
        <v>2021</v>
      </c>
      <c r="E687" s="120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>
        <f t="shared" si="42"/>
        <v>0</v>
      </c>
      <c r="P687" s="121"/>
      <c r="Q687" s="121"/>
      <c r="R687" s="121"/>
      <c r="T687" s="122">
        <v>2</v>
      </c>
      <c r="U687" s="123" t="s">
        <v>809</v>
      </c>
      <c r="V687" s="123" t="s">
        <v>815</v>
      </c>
    </row>
    <row r="688" spans="1:22 16384:16384">
      <c r="A688" s="119" t="s">
        <v>562</v>
      </c>
      <c r="B688" s="119" t="s">
        <v>29</v>
      </c>
      <c r="C688" s="120" t="s">
        <v>596</v>
      </c>
      <c r="D688" s="120">
        <v>2021</v>
      </c>
      <c r="E688" s="120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>
        <f t="shared" si="42"/>
        <v>0</v>
      </c>
      <c r="P688" s="121"/>
      <c r="Q688" s="121"/>
      <c r="R688" s="121"/>
      <c r="T688" s="122">
        <v>3</v>
      </c>
      <c r="U688" s="123" t="s">
        <v>809</v>
      </c>
      <c r="V688" s="123" t="s">
        <v>815</v>
      </c>
    </row>
    <row r="689" spans="1:22">
      <c r="A689" s="119" t="s">
        <v>562</v>
      </c>
      <c r="B689" s="119" t="s">
        <v>29</v>
      </c>
      <c r="C689" s="120" t="s">
        <v>597</v>
      </c>
      <c r="D689" s="120">
        <v>2021</v>
      </c>
      <c r="E689" s="120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>
        <f t="shared" si="42"/>
        <v>0</v>
      </c>
      <c r="P689" s="121"/>
      <c r="Q689" s="121"/>
      <c r="R689" s="121"/>
      <c r="T689" s="122">
        <v>4</v>
      </c>
      <c r="U689" s="123" t="s">
        <v>809</v>
      </c>
      <c r="V689" s="123" t="s">
        <v>815</v>
      </c>
    </row>
    <row r="690" spans="1:22">
      <c r="A690" s="119" t="s">
        <v>562</v>
      </c>
      <c r="B690" s="119" t="s">
        <v>29</v>
      </c>
      <c r="C690" s="120" t="s">
        <v>600</v>
      </c>
      <c r="D690" s="120">
        <v>2021</v>
      </c>
      <c r="E690" s="120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>
        <f t="shared" si="42"/>
        <v>0</v>
      </c>
      <c r="P690" s="121"/>
      <c r="Q690" s="121"/>
      <c r="R690" s="121"/>
      <c r="T690" s="122">
        <v>5</v>
      </c>
      <c r="U690" s="123" t="s">
        <v>809</v>
      </c>
      <c r="V690" s="123" t="s">
        <v>815</v>
      </c>
    </row>
    <row r="691" spans="1:22">
      <c r="A691" s="119" t="s">
        <v>563</v>
      </c>
      <c r="B691" s="119" t="s">
        <v>30</v>
      </c>
      <c r="C691" s="120" t="s">
        <v>594</v>
      </c>
      <c r="D691" s="120">
        <v>2021</v>
      </c>
      <c r="E691" s="120"/>
      <c r="F691" s="121"/>
      <c r="G691" s="121"/>
      <c r="H691" s="124">
        <f>I691+J691</f>
        <v>0</v>
      </c>
      <c r="I691" s="121"/>
      <c r="J691" s="121">
        <v>0</v>
      </c>
      <c r="K691" s="121"/>
      <c r="L691" s="121"/>
      <c r="M691" s="121"/>
      <c r="N691" s="121"/>
      <c r="O691" s="124">
        <f t="shared" ref="O691:O695" si="44">F691+H691+K691</f>
        <v>0</v>
      </c>
      <c r="P691" s="121">
        <v>0</v>
      </c>
      <c r="Q691" s="121"/>
      <c r="R691" s="121"/>
      <c r="T691" s="122">
        <v>1</v>
      </c>
      <c r="U691" s="123" t="s">
        <v>811</v>
      </c>
      <c r="V691" s="123" t="s">
        <v>812</v>
      </c>
    </row>
    <row r="692" spans="1:22">
      <c r="A692" s="119" t="s">
        <v>563</v>
      </c>
      <c r="B692" s="119" t="s">
        <v>30</v>
      </c>
      <c r="C692" s="120" t="s">
        <v>595</v>
      </c>
      <c r="D692" s="120">
        <v>2021</v>
      </c>
      <c r="E692" s="120"/>
      <c r="F692" s="121"/>
      <c r="G692" s="121"/>
      <c r="H692" s="121"/>
      <c r="I692" s="121"/>
      <c r="J692" s="121"/>
      <c r="K692" s="121"/>
      <c r="L692" s="121"/>
      <c r="M692" s="121"/>
      <c r="N692" s="121"/>
      <c r="O692" s="124">
        <f t="shared" si="44"/>
        <v>0</v>
      </c>
      <c r="P692" s="121"/>
      <c r="Q692" s="121"/>
      <c r="R692" s="121"/>
      <c r="T692" s="122">
        <v>2</v>
      </c>
      <c r="U692" s="123" t="s">
        <v>811</v>
      </c>
      <c r="V692" s="123" t="s">
        <v>812</v>
      </c>
    </row>
    <row r="693" spans="1:22">
      <c r="A693" s="119" t="s">
        <v>563</v>
      </c>
      <c r="B693" s="119" t="s">
        <v>30</v>
      </c>
      <c r="C693" s="120" t="s">
        <v>596</v>
      </c>
      <c r="D693" s="120">
        <v>2021</v>
      </c>
      <c r="E693" s="120"/>
      <c r="F693" s="121"/>
      <c r="G693" s="121"/>
      <c r="H693" s="121"/>
      <c r="I693" s="121"/>
      <c r="J693" s="121"/>
      <c r="K693" s="121"/>
      <c r="L693" s="121"/>
      <c r="M693" s="121"/>
      <c r="N693" s="121"/>
      <c r="O693" s="124">
        <f t="shared" si="44"/>
        <v>0</v>
      </c>
      <c r="P693" s="121"/>
      <c r="Q693" s="121"/>
      <c r="R693" s="121"/>
      <c r="T693" s="122">
        <v>3</v>
      </c>
      <c r="U693" s="123" t="s">
        <v>811</v>
      </c>
      <c r="V693" s="123" t="s">
        <v>812</v>
      </c>
    </row>
    <row r="694" spans="1:22">
      <c r="A694" s="119" t="s">
        <v>563</v>
      </c>
      <c r="B694" s="119" t="s">
        <v>30</v>
      </c>
      <c r="C694" s="120" t="s">
        <v>597</v>
      </c>
      <c r="D694" s="120">
        <v>2021</v>
      </c>
      <c r="E694" s="120"/>
      <c r="F694" s="121"/>
      <c r="G694" s="121"/>
      <c r="H694" s="121"/>
      <c r="I694" s="121"/>
      <c r="J694" s="121"/>
      <c r="K694" s="121"/>
      <c r="L694" s="121"/>
      <c r="M694" s="121"/>
      <c r="N694" s="121"/>
      <c r="O694" s="124">
        <f t="shared" si="44"/>
        <v>0</v>
      </c>
      <c r="P694" s="121"/>
      <c r="Q694" s="121"/>
      <c r="R694" s="121"/>
      <c r="T694" s="122">
        <v>4</v>
      </c>
      <c r="U694" s="123" t="s">
        <v>811</v>
      </c>
      <c r="V694" s="123" t="s">
        <v>812</v>
      </c>
    </row>
    <row r="695" spans="1:22">
      <c r="A695" s="119" t="s">
        <v>563</v>
      </c>
      <c r="B695" s="119" t="s">
        <v>30</v>
      </c>
      <c r="C695" s="120" t="s">
        <v>600</v>
      </c>
      <c r="D695" s="120">
        <v>2021</v>
      </c>
      <c r="E695" s="120"/>
      <c r="F695" s="121"/>
      <c r="G695" s="121"/>
      <c r="H695" s="121"/>
      <c r="I695" s="121"/>
      <c r="J695" s="121"/>
      <c r="K695" s="121"/>
      <c r="L695" s="121"/>
      <c r="M695" s="121"/>
      <c r="N695" s="121"/>
      <c r="O695" s="124">
        <f t="shared" si="44"/>
        <v>0</v>
      </c>
      <c r="P695" s="121"/>
      <c r="Q695" s="121"/>
      <c r="R695" s="121"/>
      <c r="T695" s="122">
        <v>5</v>
      </c>
      <c r="U695" s="123" t="s">
        <v>811</v>
      </c>
      <c r="V695" s="123" t="s">
        <v>812</v>
      </c>
    </row>
    <row r="696" spans="1:22">
      <c r="A696" s="119" t="s">
        <v>418</v>
      </c>
      <c r="B696" s="119" t="s">
        <v>32</v>
      </c>
      <c r="C696" s="120" t="s">
        <v>594</v>
      </c>
      <c r="D696" s="120">
        <v>2021</v>
      </c>
      <c r="E696" s="120"/>
      <c r="F696" s="121">
        <f>50*0.055</f>
        <v>2.75</v>
      </c>
      <c r="G696" s="121"/>
      <c r="H696" s="121">
        <f>I696+J696</f>
        <v>30.25</v>
      </c>
      <c r="I696" s="121">
        <f>150*0.055</f>
        <v>8.25</v>
      </c>
      <c r="J696" s="121">
        <f>400*0.055</f>
        <v>22</v>
      </c>
      <c r="K696" s="121"/>
      <c r="L696" s="121"/>
      <c r="M696" s="121"/>
      <c r="N696" s="121"/>
      <c r="O696" s="121">
        <f t="shared" si="42"/>
        <v>33</v>
      </c>
      <c r="P696" s="121">
        <f>600*0.055</f>
        <v>33</v>
      </c>
      <c r="Q696" s="121"/>
      <c r="R696" s="121"/>
      <c r="T696" s="122">
        <v>1</v>
      </c>
      <c r="U696" s="123" t="s">
        <v>806</v>
      </c>
      <c r="V696" s="123" t="s">
        <v>814</v>
      </c>
    </row>
    <row r="697" spans="1:22">
      <c r="A697" s="119" t="s">
        <v>418</v>
      </c>
      <c r="B697" s="119" t="s">
        <v>32</v>
      </c>
      <c r="C697" s="120" t="s">
        <v>595</v>
      </c>
      <c r="D697" s="120">
        <v>2021</v>
      </c>
      <c r="E697" s="120"/>
      <c r="F697" s="121">
        <f>250*0.11</f>
        <v>27.5</v>
      </c>
      <c r="G697" s="121"/>
      <c r="H697" s="121">
        <f>I697+J697</f>
        <v>1.65</v>
      </c>
      <c r="I697" s="121"/>
      <c r="J697" s="121">
        <f>15*0.11</f>
        <v>1.65</v>
      </c>
      <c r="K697" s="121"/>
      <c r="L697" s="121"/>
      <c r="M697" s="121"/>
      <c r="N697" s="121"/>
      <c r="O697" s="121">
        <f t="shared" si="42"/>
        <v>29.15</v>
      </c>
      <c r="P697" s="121">
        <f>265*0.11</f>
        <v>29.15</v>
      </c>
      <c r="Q697" s="121"/>
      <c r="R697" s="121"/>
      <c r="T697" s="122">
        <v>2</v>
      </c>
      <c r="U697" s="123" t="s">
        <v>806</v>
      </c>
      <c r="V697" s="123" t="s">
        <v>814</v>
      </c>
    </row>
    <row r="698" spans="1:22">
      <c r="A698" s="119" t="s">
        <v>418</v>
      </c>
      <c r="B698" s="119" t="s">
        <v>32</v>
      </c>
      <c r="C698" s="120" t="s">
        <v>700</v>
      </c>
      <c r="D698" s="120">
        <v>2021</v>
      </c>
      <c r="E698" s="120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>
        <f t="shared" si="42"/>
        <v>0</v>
      </c>
      <c r="P698" s="121"/>
      <c r="Q698" s="121"/>
      <c r="R698" s="121"/>
      <c r="U698" s="123" t="s">
        <v>806</v>
      </c>
      <c r="V698" s="123" t="s">
        <v>814</v>
      </c>
    </row>
    <row r="699" spans="1:22">
      <c r="A699" s="119" t="s">
        <v>418</v>
      </c>
      <c r="B699" s="119" t="s">
        <v>32</v>
      </c>
      <c r="C699" s="120" t="s">
        <v>596</v>
      </c>
      <c r="D699" s="120">
        <v>2021</v>
      </c>
      <c r="E699" s="120"/>
      <c r="F699" s="121">
        <f>50*0.065</f>
        <v>3.25</v>
      </c>
      <c r="G699" s="121"/>
      <c r="H699" s="121"/>
      <c r="I699" s="121"/>
      <c r="J699" s="121"/>
      <c r="K699" s="121"/>
      <c r="L699" s="121"/>
      <c r="M699" s="121"/>
      <c r="N699" s="121"/>
      <c r="O699" s="121">
        <f t="shared" si="42"/>
        <v>3.25</v>
      </c>
      <c r="P699" s="121">
        <f>50*0.065</f>
        <v>3.25</v>
      </c>
      <c r="Q699" s="121"/>
      <c r="R699" s="121"/>
      <c r="T699" s="122">
        <v>3</v>
      </c>
      <c r="U699" s="123" t="s">
        <v>806</v>
      </c>
      <c r="V699" s="123" t="s">
        <v>814</v>
      </c>
    </row>
    <row r="700" spans="1:22">
      <c r="A700" s="119" t="s">
        <v>418</v>
      </c>
      <c r="B700" s="119" t="s">
        <v>32</v>
      </c>
      <c r="C700" s="120" t="s">
        <v>597</v>
      </c>
      <c r="D700" s="120">
        <v>2021</v>
      </c>
      <c r="E700" s="120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>
        <f t="shared" si="42"/>
        <v>0</v>
      </c>
      <c r="P700" s="121"/>
      <c r="Q700" s="121"/>
      <c r="R700" s="121"/>
      <c r="T700" s="122">
        <v>4</v>
      </c>
      <c r="U700" s="123" t="s">
        <v>806</v>
      </c>
      <c r="V700" s="123" t="s">
        <v>814</v>
      </c>
    </row>
    <row r="701" spans="1:22">
      <c r="A701" s="119" t="s">
        <v>418</v>
      </c>
      <c r="B701" s="119" t="s">
        <v>32</v>
      </c>
      <c r="C701" s="120" t="s">
        <v>600</v>
      </c>
      <c r="D701" s="120">
        <v>2021</v>
      </c>
      <c r="E701" s="120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>
        <f t="shared" si="42"/>
        <v>0</v>
      </c>
      <c r="P701" s="121"/>
      <c r="Q701" s="121"/>
      <c r="R701" s="121"/>
      <c r="T701" s="122">
        <v>5</v>
      </c>
      <c r="U701" s="123" t="s">
        <v>806</v>
      </c>
      <c r="V701" s="123" t="s">
        <v>814</v>
      </c>
    </row>
    <row r="702" spans="1:22">
      <c r="A702" s="119" t="s">
        <v>742</v>
      </c>
      <c r="B702" s="119" t="s">
        <v>33</v>
      </c>
      <c r="C702" s="120" t="s">
        <v>594</v>
      </c>
      <c r="D702" s="120">
        <v>2021</v>
      </c>
      <c r="E702" s="120"/>
      <c r="F702" s="121"/>
      <c r="G702" s="121"/>
      <c r="H702" s="121">
        <f>I702+J702</f>
        <v>238.93650000000002</v>
      </c>
      <c r="I702" s="121">
        <f>34.2*0.055</f>
        <v>1.8810000000000002</v>
      </c>
      <c r="J702" s="121">
        <f>4310.1*0.055</f>
        <v>237.05550000000002</v>
      </c>
      <c r="K702" s="121"/>
      <c r="L702" s="121"/>
      <c r="M702" s="121"/>
      <c r="N702" s="121"/>
      <c r="O702" s="121">
        <f t="shared" ref="O702:O710" si="45">F702+H702+K702+G702</f>
        <v>238.93650000000002</v>
      </c>
      <c r="P702" s="121">
        <f>4359.26*0.055</f>
        <v>239.75930000000002</v>
      </c>
      <c r="Q702" s="121">
        <f>14.96*0.055</f>
        <v>0.82280000000000009</v>
      </c>
      <c r="R702" s="121"/>
      <c r="S702" s="136"/>
      <c r="T702" s="122">
        <v>1</v>
      </c>
      <c r="U702" s="123" t="s">
        <v>806</v>
      </c>
      <c r="V702" s="123" t="s">
        <v>816</v>
      </c>
    </row>
    <row r="703" spans="1:22">
      <c r="A703" s="119" t="s">
        <v>742</v>
      </c>
      <c r="B703" s="119" t="s">
        <v>33</v>
      </c>
      <c r="C703" s="120" t="s">
        <v>595</v>
      </c>
      <c r="D703" s="120">
        <v>2021</v>
      </c>
      <c r="E703" s="120"/>
      <c r="F703" s="121">
        <f>153.27*0.11</f>
        <v>16.8597</v>
      </c>
      <c r="G703" s="121"/>
      <c r="H703" s="121"/>
      <c r="I703" s="121"/>
      <c r="J703" s="121"/>
      <c r="K703" s="121">
        <f>194.02*0.11</f>
        <v>21.342200000000002</v>
      </c>
      <c r="L703" s="128"/>
      <c r="M703" s="128"/>
      <c r="N703" s="128"/>
      <c r="O703" s="121">
        <f t="shared" si="45"/>
        <v>38.201900000000002</v>
      </c>
      <c r="P703" s="121">
        <f>347.29*0.11</f>
        <v>38.201900000000002</v>
      </c>
      <c r="Q703" s="121"/>
      <c r="R703" s="121"/>
      <c r="T703" s="122">
        <v>2</v>
      </c>
      <c r="U703" s="123" t="s">
        <v>806</v>
      </c>
      <c r="V703" s="123" t="s">
        <v>816</v>
      </c>
    </row>
    <row r="704" spans="1:22">
      <c r="A704" s="119" t="s">
        <v>742</v>
      </c>
      <c r="B704" s="119" t="s">
        <v>33</v>
      </c>
      <c r="C704" s="125" t="s">
        <v>700</v>
      </c>
      <c r="D704" s="120">
        <v>2021</v>
      </c>
      <c r="E704" s="120"/>
      <c r="F704" s="121">
        <f>20.13*0.11</f>
        <v>2.2142999999999997</v>
      </c>
      <c r="G704" s="121"/>
      <c r="H704" s="121"/>
      <c r="I704" s="121"/>
      <c r="J704" s="121"/>
      <c r="K704" s="128"/>
      <c r="L704" s="128"/>
      <c r="M704" s="128"/>
      <c r="N704" s="128"/>
      <c r="O704" s="121">
        <f t="shared" si="45"/>
        <v>2.2142999999999997</v>
      </c>
      <c r="P704" s="121">
        <f>20.13*0.11</f>
        <v>2.2142999999999997</v>
      </c>
      <c r="Q704" s="121"/>
      <c r="R704" s="121"/>
      <c r="U704" s="123" t="s">
        <v>806</v>
      </c>
      <c r="V704" s="123" t="s">
        <v>816</v>
      </c>
    </row>
    <row r="705" spans="1:22">
      <c r="A705" s="119" t="s">
        <v>742</v>
      </c>
      <c r="B705" s="119" t="s">
        <v>33</v>
      </c>
      <c r="C705" s="120" t="s">
        <v>596</v>
      </c>
      <c r="D705" s="120">
        <v>2021</v>
      </c>
      <c r="E705" s="120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>
        <f t="shared" si="45"/>
        <v>0</v>
      </c>
      <c r="P705" s="121"/>
      <c r="Q705" s="121"/>
      <c r="R705" s="121"/>
      <c r="T705" s="122">
        <v>3</v>
      </c>
      <c r="U705" s="123" t="s">
        <v>806</v>
      </c>
      <c r="V705" s="123" t="s">
        <v>816</v>
      </c>
    </row>
    <row r="706" spans="1:22">
      <c r="A706" s="119" t="s">
        <v>742</v>
      </c>
      <c r="B706" s="119" t="s">
        <v>33</v>
      </c>
      <c r="C706" s="120" t="s">
        <v>597</v>
      </c>
      <c r="D706" s="120">
        <v>2021</v>
      </c>
      <c r="E706" s="120"/>
      <c r="F706" s="121"/>
      <c r="G706" s="121">
        <f>6.54*0.02</f>
        <v>0.1308</v>
      </c>
      <c r="H706" s="121">
        <f>I706+J706</f>
        <v>1.6940000000000002</v>
      </c>
      <c r="I706" s="121"/>
      <c r="J706" s="121">
        <f>84.7*0.02</f>
        <v>1.6940000000000002</v>
      </c>
      <c r="K706" s="121"/>
      <c r="L706" s="121"/>
      <c r="M706" s="121"/>
      <c r="N706" s="121"/>
      <c r="O706" s="121">
        <f t="shared" si="45"/>
        <v>1.8248000000000002</v>
      </c>
      <c r="P706" s="121">
        <f>91.24*0.02</f>
        <v>1.8248</v>
      </c>
      <c r="Q706" s="121"/>
      <c r="R706" s="121"/>
      <c r="T706" s="122">
        <v>4</v>
      </c>
      <c r="U706" s="123" t="s">
        <v>806</v>
      </c>
      <c r="V706" s="123" t="s">
        <v>816</v>
      </c>
    </row>
    <row r="707" spans="1:22">
      <c r="A707" s="119" t="s">
        <v>742</v>
      </c>
      <c r="B707" s="119" t="s">
        <v>33</v>
      </c>
      <c r="C707" s="120" t="s">
        <v>600</v>
      </c>
      <c r="D707" s="120">
        <v>2021</v>
      </c>
      <c r="E707" s="120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>
        <f t="shared" si="45"/>
        <v>0</v>
      </c>
      <c r="P707" s="121"/>
      <c r="Q707" s="121"/>
      <c r="R707" s="121"/>
      <c r="T707" s="122">
        <v>5</v>
      </c>
      <c r="U707" s="123" t="s">
        <v>806</v>
      </c>
      <c r="V707" s="123" t="s">
        <v>816</v>
      </c>
    </row>
    <row r="708" spans="1:22">
      <c r="A708" s="119" t="s">
        <v>742</v>
      </c>
      <c r="B708" s="119" t="s">
        <v>33</v>
      </c>
      <c r="C708" s="125" t="s">
        <v>643</v>
      </c>
      <c r="D708" s="120">
        <v>2021</v>
      </c>
      <c r="E708" s="120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>
        <f t="shared" si="45"/>
        <v>0</v>
      </c>
      <c r="P708" s="121"/>
      <c r="Q708" s="121"/>
      <c r="R708" s="121"/>
      <c r="U708" s="123" t="s">
        <v>806</v>
      </c>
      <c r="V708" s="123" t="s">
        <v>816</v>
      </c>
    </row>
    <row r="709" spans="1:22">
      <c r="A709" s="119" t="s">
        <v>742</v>
      </c>
      <c r="B709" s="119" t="s">
        <v>33</v>
      </c>
      <c r="C709" s="120" t="s">
        <v>405</v>
      </c>
      <c r="D709" s="120">
        <v>2021</v>
      </c>
      <c r="E709" s="120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>
        <f t="shared" si="45"/>
        <v>0</v>
      </c>
      <c r="P709" s="121"/>
      <c r="Q709" s="121"/>
      <c r="R709" s="121"/>
      <c r="U709" s="123" t="s">
        <v>806</v>
      </c>
      <c r="V709" s="123" t="s">
        <v>816</v>
      </c>
    </row>
    <row r="710" spans="1:22">
      <c r="A710" s="119" t="s">
        <v>742</v>
      </c>
      <c r="B710" s="119" t="s">
        <v>33</v>
      </c>
      <c r="C710" s="120" t="s">
        <v>406</v>
      </c>
      <c r="D710" s="120">
        <v>2021</v>
      </c>
      <c r="E710" s="120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>
        <f t="shared" si="45"/>
        <v>0</v>
      </c>
      <c r="P710" s="121"/>
      <c r="Q710" s="121"/>
      <c r="R710" s="121"/>
      <c r="U710" s="123" t="s">
        <v>806</v>
      </c>
      <c r="V710" s="123" t="s">
        <v>816</v>
      </c>
    </row>
    <row r="711" spans="1:22">
      <c r="A711" s="119" t="s">
        <v>519</v>
      </c>
      <c r="B711" s="119" t="s">
        <v>520</v>
      </c>
      <c r="C711" s="120" t="s">
        <v>594</v>
      </c>
      <c r="D711" s="120">
        <v>2021</v>
      </c>
      <c r="E711" s="120"/>
      <c r="F711" s="121"/>
      <c r="G711" s="121"/>
      <c r="H711" s="121">
        <f>I711+J711</f>
        <v>0.23484999999999998</v>
      </c>
      <c r="I711" s="121"/>
      <c r="J711" s="121">
        <f>4.27*0.055</f>
        <v>0.23484999999999998</v>
      </c>
      <c r="K711" s="121"/>
      <c r="L711" s="121"/>
      <c r="M711" s="121"/>
      <c r="N711" s="121"/>
      <c r="O711" s="121">
        <f t="shared" ref="O711:O720" si="46">F711+H711</f>
        <v>0.23484999999999998</v>
      </c>
      <c r="P711" s="121">
        <f>4.27*0.055</f>
        <v>0.23484999999999998</v>
      </c>
      <c r="Q711" s="121"/>
      <c r="R711" s="121"/>
      <c r="U711" s="123" t="s">
        <v>806</v>
      </c>
      <c r="V711" s="123" t="s">
        <v>816</v>
      </c>
    </row>
    <row r="712" spans="1:22">
      <c r="A712" s="119" t="s">
        <v>519</v>
      </c>
      <c r="B712" s="119" t="s">
        <v>520</v>
      </c>
      <c r="C712" s="120" t="s">
        <v>595</v>
      </c>
      <c r="D712" s="120">
        <v>2021</v>
      </c>
      <c r="E712" s="120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>
        <f t="shared" si="46"/>
        <v>0</v>
      </c>
      <c r="P712" s="121"/>
      <c r="Q712" s="121"/>
      <c r="R712" s="121"/>
      <c r="U712" s="123" t="s">
        <v>806</v>
      </c>
      <c r="V712" s="123" t="s">
        <v>816</v>
      </c>
    </row>
    <row r="713" spans="1:22">
      <c r="A713" s="119" t="s">
        <v>519</v>
      </c>
      <c r="B713" s="119" t="s">
        <v>520</v>
      </c>
      <c r="C713" s="120" t="s">
        <v>596</v>
      </c>
      <c r="D713" s="120">
        <v>2021</v>
      </c>
      <c r="E713" s="120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>
        <f t="shared" si="46"/>
        <v>0</v>
      </c>
      <c r="P713" s="121"/>
      <c r="Q713" s="121"/>
      <c r="R713" s="121"/>
      <c r="U713" s="123" t="s">
        <v>806</v>
      </c>
      <c r="V713" s="123" t="s">
        <v>816</v>
      </c>
    </row>
    <row r="714" spans="1:22">
      <c r="A714" s="119" t="s">
        <v>519</v>
      </c>
      <c r="B714" s="119" t="s">
        <v>520</v>
      </c>
      <c r="C714" s="120" t="s">
        <v>597</v>
      </c>
      <c r="D714" s="120">
        <v>2021</v>
      </c>
      <c r="E714" s="120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>
        <f t="shared" si="46"/>
        <v>0</v>
      </c>
      <c r="P714" s="121"/>
      <c r="Q714" s="121"/>
      <c r="R714" s="121"/>
      <c r="U714" s="123" t="s">
        <v>806</v>
      </c>
      <c r="V714" s="123" t="s">
        <v>816</v>
      </c>
    </row>
    <row r="715" spans="1:22">
      <c r="A715" s="119" t="s">
        <v>519</v>
      </c>
      <c r="B715" s="119" t="s">
        <v>520</v>
      </c>
      <c r="C715" s="120" t="s">
        <v>600</v>
      </c>
      <c r="D715" s="120">
        <v>2021</v>
      </c>
      <c r="E715" s="120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>
        <f t="shared" si="46"/>
        <v>0</v>
      </c>
      <c r="P715" s="121"/>
      <c r="Q715" s="121"/>
      <c r="R715" s="121"/>
      <c r="U715" s="123" t="s">
        <v>806</v>
      </c>
      <c r="V715" s="123" t="s">
        <v>816</v>
      </c>
    </row>
    <row r="716" spans="1:22">
      <c r="A716" s="119" t="s">
        <v>743</v>
      </c>
      <c r="B716" s="119" t="s">
        <v>35</v>
      </c>
      <c r="C716" s="120" t="s">
        <v>594</v>
      </c>
      <c r="D716" s="120">
        <v>2021</v>
      </c>
      <c r="E716" s="120"/>
      <c r="F716" s="121"/>
      <c r="G716" s="121"/>
      <c r="H716" s="121">
        <f>I716+J716</f>
        <v>8.5309950000000008</v>
      </c>
      <c r="I716" s="121"/>
      <c r="J716" s="121">
        <f>(148.63+6.479)*0.055</f>
        <v>8.5309950000000008</v>
      </c>
      <c r="K716" s="121"/>
      <c r="L716" s="121"/>
      <c r="M716" s="121"/>
      <c r="N716" s="121"/>
      <c r="O716" s="121">
        <f t="shared" si="46"/>
        <v>8.5309950000000008</v>
      </c>
      <c r="P716" s="121">
        <f>(148.63+6.479)*0.055</f>
        <v>8.5309950000000008</v>
      </c>
      <c r="Q716" s="121"/>
      <c r="R716" s="121"/>
      <c r="T716" s="122">
        <v>1</v>
      </c>
      <c r="U716" s="123" t="s">
        <v>809</v>
      </c>
      <c r="V716" s="123" t="s">
        <v>810</v>
      </c>
    </row>
    <row r="717" spans="1:22">
      <c r="A717" s="119" t="s">
        <v>743</v>
      </c>
      <c r="B717" s="119" t="s">
        <v>35</v>
      </c>
      <c r="C717" s="120" t="s">
        <v>595</v>
      </c>
      <c r="D717" s="120">
        <v>2021</v>
      </c>
      <c r="E717" s="120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>
        <f t="shared" si="46"/>
        <v>0</v>
      </c>
      <c r="P717" s="121"/>
      <c r="Q717" s="121"/>
      <c r="R717" s="121"/>
      <c r="T717" s="122">
        <v>2</v>
      </c>
      <c r="U717" s="123" t="s">
        <v>809</v>
      </c>
      <c r="V717" s="123" t="s">
        <v>810</v>
      </c>
    </row>
    <row r="718" spans="1:22" ht="9.6" customHeight="1">
      <c r="A718" s="119" t="s">
        <v>743</v>
      </c>
      <c r="B718" s="119" t="s">
        <v>35</v>
      </c>
      <c r="C718" s="120" t="s">
        <v>596</v>
      </c>
      <c r="D718" s="120">
        <v>2021</v>
      </c>
      <c r="E718" s="120"/>
      <c r="F718" s="121"/>
      <c r="G718" s="121"/>
      <c r="H718" s="121">
        <f>I718+J718</f>
        <v>0.31393699999999997</v>
      </c>
      <c r="I718" s="121"/>
      <c r="J718" s="121">
        <f>4.8298*0.065</f>
        <v>0.31393699999999997</v>
      </c>
      <c r="K718" s="121"/>
      <c r="L718" s="121"/>
      <c r="M718" s="121"/>
      <c r="N718" s="121"/>
      <c r="O718" s="121">
        <f t="shared" si="46"/>
        <v>0.31393699999999997</v>
      </c>
      <c r="P718" s="121">
        <f>4.8298*0.065</f>
        <v>0.31393699999999997</v>
      </c>
      <c r="Q718" s="121"/>
      <c r="R718" s="121"/>
      <c r="T718" s="122">
        <v>3</v>
      </c>
      <c r="U718" s="123" t="s">
        <v>809</v>
      </c>
      <c r="V718" s="123" t="s">
        <v>810</v>
      </c>
    </row>
    <row r="719" spans="1:22">
      <c r="A719" s="119" t="s">
        <v>743</v>
      </c>
      <c r="B719" s="119" t="s">
        <v>35</v>
      </c>
      <c r="C719" s="120" t="s">
        <v>597</v>
      </c>
      <c r="D719" s="120">
        <v>2021</v>
      </c>
      <c r="E719" s="120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>
        <f t="shared" si="46"/>
        <v>0</v>
      </c>
      <c r="P719" s="121"/>
      <c r="Q719" s="121"/>
      <c r="R719" s="121"/>
      <c r="T719" s="122">
        <v>4</v>
      </c>
      <c r="U719" s="123" t="s">
        <v>809</v>
      </c>
      <c r="V719" s="123" t="s">
        <v>810</v>
      </c>
    </row>
    <row r="720" spans="1:22">
      <c r="A720" s="119" t="s">
        <v>743</v>
      </c>
      <c r="B720" s="119" t="s">
        <v>35</v>
      </c>
      <c r="C720" s="120" t="s">
        <v>600</v>
      </c>
      <c r="D720" s="120">
        <v>2021</v>
      </c>
      <c r="E720" s="120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>
        <f t="shared" si="46"/>
        <v>0</v>
      </c>
      <c r="P720" s="121"/>
      <c r="Q720" s="121"/>
      <c r="R720" s="121"/>
      <c r="T720" s="122">
        <v>5</v>
      </c>
      <c r="U720" s="123" t="s">
        <v>809</v>
      </c>
      <c r="V720" s="123" t="s">
        <v>810</v>
      </c>
    </row>
    <row r="721" spans="1:22">
      <c r="A721" s="119" t="s">
        <v>682</v>
      </c>
      <c r="B721" s="119" t="s">
        <v>36</v>
      </c>
      <c r="C721" s="120" t="s">
        <v>594</v>
      </c>
      <c r="D721" s="120">
        <v>2021</v>
      </c>
      <c r="E721" s="120"/>
      <c r="F721" s="121"/>
      <c r="G721" s="121"/>
      <c r="H721" s="121">
        <f>I721+J721</f>
        <v>8.2280000000000009E-3</v>
      </c>
      <c r="I721" s="121"/>
      <c r="J721" s="124">
        <f>0.1496*0.055</f>
        <v>8.2280000000000009E-3</v>
      </c>
      <c r="K721" s="121"/>
      <c r="L721" s="121"/>
      <c r="M721" s="121"/>
      <c r="N721" s="121"/>
      <c r="O721" s="121">
        <f>H721</f>
        <v>8.2280000000000009E-3</v>
      </c>
      <c r="P721" s="121">
        <f>0.15*0.055</f>
        <v>8.2500000000000004E-3</v>
      </c>
      <c r="Q721" s="121"/>
      <c r="R721" s="121"/>
      <c r="T721" s="122">
        <v>1</v>
      </c>
      <c r="U721" s="123" t="s">
        <v>806</v>
      </c>
      <c r="V721" s="123" t="s">
        <v>816</v>
      </c>
    </row>
    <row r="722" spans="1:22">
      <c r="A722" s="119" t="s">
        <v>682</v>
      </c>
      <c r="B722" s="119" t="s">
        <v>36</v>
      </c>
      <c r="C722" s="120" t="s">
        <v>595</v>
      </c>
      <c r="D722" s="120">
        <v>2021</v>
      </c>
      <c r="E722" s="120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>
        <v>0</v>
      </c>
      <c r="P722" s="121"/>
      <c r="Q722" s="121"/>
      <c r="R722" s="121"/>
      <c r="T722" s="122">
        <v>2</v>
      </c>
      <c r="U722" s="123" t="s">
        <v>806</v>
      </c>
      <c r="V722" s="123" t="s">
        <v>816</v>
      </c>
    </row>
    <row r="723" spans="1:22">
      <c r="A723" s="119" t="s">
        <v>682</v>
      </c>
      <c r="B723" s="119" t="s">
        <v>36</v>
      </c>
      <c r="C723" s="120" t="s">
        <v>596</v>
      </c>
      <c r="D723" s="120">
        <v>2021</v>
      </c>
      <c r="E723" s="120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>
        <v>0</v>
      </c>
      <c r="P723" s="121"/>
      <c r="Q723" s="121"/>
      <c r="R723" s="121"/>
      <c r="T723" s="122">
        <v>3</v>
      </c>
      <c r="U723" s="123" t="s">
        <v>806</v>
      </c>
      <c r="V723" s="123" t="s">
        <v>816</v>
      </c>
    </row>
    <row r="724" spans="1:22">
      <c r="A724" s="119" t="s">
        <v>682</v>
      </c>
      <c r="B724" s="119" t="s">
        <v>36</v>
      </c>
      <c r="C724" s="120" t="s">
        <v>597</v>
      </c>
      <c r="D724" s="120">
        <v>2021</v>
      </c>
      <c r="E724" s="120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>
        <v>0</v>
      </c>
      <c r="P724" s="121"/>
      <c r="Q724" s="121"/>
      <c r="R724" s="121"/>
      <c r="T724" s="122">
        <v>4</v>
      </c>
      <c r="U724" s="123" t="s">
        <v>806</v>
      </c>
      <c r="V724" s="123" t="s">
        <v>816</v>
      </c>
    </row>
    <row r="725" spans="1:22">
      <c r="A725" s="119" t="s">
        <v>682</v>
      </c>
      <c r="B725" s="119" t="s">
        <v>36</v>
      </c>
      <c r="C725" s="120" t="s">
        <v>600</v>
      </c>
      <c r="D725" s="120">
        <v>2021</v>
      </c>
      <c r="E725" s="120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>
        <v>0</v>
      </c>
      <c r="P725" s="121"/>
      <c r="Q725" s="121"/>
      <c r="R725" s="121"/>
      <c r="T725" s="122">
        <v>5</v>
      </c>
      <c r="U725" s="123" t="s">
        <v>806</v>
      </c>
      <c r="V725" s="123" t="s">
        <v>816</v>
      </c>
    </row>
    <row r="726" spans="1:22">
      <c r="A726" s="119" t="s">
        <v>744</v>
      </c>
      <c r="B726" s="119" t="s">
        <v>37</v>
      </c>
      <c r="C726" s="120" t="s">
        <v>594</v>
      </c>
      <c r="D726" s="120">
        <v>2021</v>
      </c>
      <c r="E726" s="120"/>
      <c r="F726" s="121"/>
      <c r="G726" s="121"/>
      <c r="H726" s="121">
        <f>I726+J726</f>
        <v>8.7746999999999993</v>
      </c>
      <c r="I726" s="121"/>
      <c r="J726" s="121">
        <f>159.54*0.055</f>
        <v>8.7746999999999993</v>
      </c>
      <c r="K726" s="121"/>
      <c r="L726" s="121"/>
      <c r="M726" s="121"/>
      <c r="N726" s="121"/>
      <c r="O726" s="121">
        <f>F726+H726</f>
        <v>8.7746999999999993</v>
      </c>
      <c r="P726" s="121">
        <f>161.82*0.055</f>
        <v>8.9001000000000001</v>
      </c>
      <c r="Q726" s="121">
        <f>2.28*0.055</f>
        <v>0.12539999999999998</v>
      </c>
      <c r="R726" s="121"/>
      <c r="T726" s="122">
        <v>1</v>
      </c>
      <c r="U726" s="123" t="s">
        <v>811</v>
      </c>
      <c r="V726" s="123" t="s">
        <v>812</v>
      </c>
    </row>
    <row r="727" spans="1:22">
      <c r="A727" s="119" t="s">
        <v>744</v>
      </c>
      <c r="B727" s="119" t="s">
        <v>37</v>
      </c>
      <c r="C727" s="120" t="s">
        <v>595</v>
      </c>
      <c r="D727" s="120">
        <v>2021</v>
      </c>
      <c r="E727" s="120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>
        <f t="shared" ref="O727:O759" si="47">F727+H727</f>
        <v>0</v>
      </c>
      <c r="P727" s="121"/>
      <c r="Q727" s="121"/>
      <c r="R727" s="121"/>
      <c r="T727" s="122">
        <v>2</v>
      </c>
      <c r="U727" s="123" t="s">
        <v>811</v>
      </c>
      <c r="V727" s="123" t="s">
        <v>812</v>
      </c>
    </row>
    <row r="728" spans="1:22">
      <c r="A728" s="119" t="s">
        <v>744</v>
      </c>
      <c r="B728" s="119" t="s">
        <v>37</v>
      </c>
      <c r="C728" s="125" t="s">
        <v>700</v>
      </c>
      <c r="D728" s="120">
        <v>2021</v>
      </c>
      <c r="E728" s="120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>
        <f t="shared" si="47"/>
        <v>0</v>
      </c>
      <c r="P728" s="124"/>
      <c r="Q728" s="121"/>
      <c r="R728" s="121"/>
      <c r="U728" s="123" t="s">
        <v>811</v>
      </c>
      <c r="V728" s="123" t="s">
        <v>812</v>
      </c>
    </row>
    <row r="729" spans="1:22">
      <c r="A729" s="119" t="s">
        <v>744</v>
      </c>
      <c r="B729" s="119" t="s">
        <v>37</v>
      </c>
      <c r="C729" s="120" t="s">
        <v>596</v>
      </c>
      <c r="D729" s="120">
        <v>2021</v>
      </c>
      <c r="E729" s="120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>
        <f t="shared" si="47"/>
        <v>0</v>
      </c>
      <c r="P729" s="121"/>
      <c r="Q729" s="121"/>
      <c r="R729" s="121"/>
      <c r="T729" s="122">
        <v>3</v>
      </c>
      <c r="U729" s="123" t="s">
        <v>811</v>
      </c>
      <c r="V729" s="123" t="s">
        <v>812</v>
      </c>
    </row>
    <row r="730" spans="1:22">
      <c r="A730" s="119" t="s">
        <v>744</v>
      </c>
      <c r="B730" s="119" t="s">
        <v>37</v>
      </c>
      <c r="C730" s="120" t="s">
        <v>597</v>
      </c>
      <c r="D730" s="120">
        <v>2021</v>
      </c>
      <c r="E730" s="120"/>
      <c r="F730" s="121"/>
      <c r="G730" s="121"/>
      <c r="H730" s="121">
        <f>I730+J730</f>
        <v>2.6600000000000002E-2</v>
      </c>
      <c r="I730" s="121"/>
      <c r="J730" s="121">
        <f>1.33*0.02</f>
        <v>2.6600000000000002E-2</v>
      </c>
      <c r="K730" s="121"/>
      <c r="L730" s="121"/>
      <c r="M730" s="121"/>
      <c r="N730" s="121"/>
      <c r="O730" s="121">
        <f t="shared" si="47"/>
        <v>2.6600000000000002E-2</v>
      </c>
      <c r="P730" s="121">
        <f>1.33*0.02</f>
        <v>2.6600000000000002E-2</v>
      </c>
      <c r="Q730" s="121"/>
      <c r="R730" s="121"/>
      <c r="T730" s="122">
        <v>4</v>
      </c>
      <c r="U730" s="123" t="s">
        <v>811</v>
      </c>
      <c r="V730" s="123" t="s">
        <v>812</v>
      </c>
    </row>
    <row r="731" spans="1:22">
      <c r="A731" s="119" t="s">
        <v>744</v>
      </c>
      <c r="B731" s="119" t="s">
        <v>37</v>
      </c>
      <c r="C731" s="120" t="s">
        <v>600</v>
      </c>
      <c r="D731" s="120">
        <v>2021</v>
      </c>
      <c r="E731" s="120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>
        <f t="shared" si="47"/>
        <v>0</v>
      </c>
      <c r="P731" s="121"/>
      <c r="Q731" s="121"/>
      <c r="R731" s="121"/>
      <c r="T731" s="122">
        <v>5</v>
      </c>
      <c r="U731" s="123" t="s">
        <v>811</v>
      </c>
      <c r="V731" s="123" t="s">
        <v>812</v>
      </c>
    </row>
    <row r="732" spans="1:22">
      <c r="A732" s="119" t="s">
        <v>745</v>
      </c>
      <c r="B732" s="119" t="s">
        <v>38</v>
      </c>
      <c r="C732" s="120" t="s">
        <v>594</v>
      </c>
      <c r="D732" s="120">
        <v>2021</v>
      </c>
      <c r="E732" s="120"/>
      <c r="F732" s="121"/>
      <c r="G732" s="121"/>
      <c r="H732" s="121">
        <f>I732+J732</f>
        <v>20.689624999999999</v>
      </c>
      <c r="I732" s="121"/>
      <c r="J732" s="121">
        <f>376.175*0.055</f>
        <v>20.689624999999999</v>
      </c>
      <c r="K732" s="121"/>
      <c r="L732" s="121"/>
      <c r="M732" s="121"/>
      <c r="N732" s="121"/>
      <c r="O732" s="121">
        <f t="shared" si="47"/>
        <v>20.689624999999999</v>
      </c>
      <c r="P732" s="121">
        <f>376.175*0.055</f>
        <v>20.689624999999999</v>
      </c>
      <c r="Q732" s="121"/>
      <c r="R732" s="121"/>
      <c r="T732" s="122">
        <v>1</v>
      </c>
      <c r="U732" s="123" t="s">
        <v>809</v>
      </c>
      <c r="V732" s="123" t="s">
        <v>810</v>
      </c>
    </row>
    <row r="733" spans="1:22">
      <c r="A733" s="119" t="s">
        <v>745</v>
      </c>
      <c r="B733" s="119" t="s">
        <v>38</v>
      </c>
      <c r="C733" s="120" t="s">
        <v>595</v>
      </c>
      <c r="D733" s="120">
        <v>2021</v>
      </c>
      <c r="E733" s="120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>
        <f>F733+H733+K733</f>
        <v>0</v>
      </c>
      <c r="P733" s="121"/>
      <c r="Q733" s="121"/>
      <c r="R733" s="121"/>
      <c r="T733" s="122">
        <v>2</v>
      </c>
      <c r="U733" s="123" t="s">
        <v>809</v>
      </c>
      <c r="V733" s="123" t="s">
        <v>810</v>
      </c>
    </row>
    <row r="734" spans="1:22">
      <c r="A734" s="119" t="s">
        <v>745</v>
      </c>
      <c r="B734" s="119" t="s">
        <v>38</v>
      </c>
      <c r="C734" s="120" t="s">
        <v>700</v>
      </c>
      <c r="D734" s="120">
        <v>2021</v>
      </c>
      <c r="E734" s="120"/>
      <c r="F734" s="121">
        <f>14.5*0.11</f>
        <v>1.595</v>
      </c>
      <c r="G734" s="121"/>
      <c r="H734" s="121"/>
      <c r="I734" s="121"/>
      <c r="J734" s="121"/>
      <c r="K734" s="121"/>
      <c r="L734" s="121"/>
      <c r="M734" s="121"/>
      <c r="N734" s="121"/>
      <c r="O734" s="121">
        <f>F734+H734+K734</f>
        <v>1.595</v>
      </c>
      <c r="P734" s="121">
        <f>14.5*0.11</f>
        <v>1.595</v>
      </c>
      <c r="Q734" s="121"/>
      <c r="R734" s="121"/>
    </row>
    <row r="735" spans="1:22">
      <c r="A735" s="119" t="s">
        <v>745</v>
      </c>
      <c r="B735" s="119" t="s">
        <v>38</v>
      </c>
      <c r="C735" s="120" t="s">
        <v>596</v>
      </c>
      <c r="D735" s="120">
        <v>2021</v>
      </c>
      <c r="E735" s="120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>
        <f t="shared" si="47"/>
        <v>0</v>
      </c>
      <c r="P735" s="121"/>
      <c r="Q735" s="121"/>
      <c r="R735" s="121"/>
      <c r="T735" s="122">
        <v>3</v>
      </c>
      <c r="U735" s="123" t="s">
        <v>809</v>
      </c>
      <c r="V735" s="123" t="s">
        <v>810</v>
      </c>
    </row>
    <row r="736" spans="1:22">
      <c r="A736" s="119" t="s">
        <v>745</v>
      </c>
      <c r="B736" s="119" t="s">
        <v>38</v>
      </c>
      <c r="C736" s="120" t="s">
        <v>597</v>
      </c>
      <c r="D736" s="120">
        <v>2021</v>
      </c>
      <c r="E736" s="120"/>
      <c r="F736" s="121"/>
      <c r="G736" s="121"/>
      <c r="H736" s="121"/>
      <c r="I736" s="128"/>
      <c r="J736" s="121"/>
      <c r="K736" s="121"/>
      <c r="L736" s="121"/>
      <c r="M736" s="121"/>
      <c r="N736" s="121"/>
      <c r="O736" s="121">
        <f t="shared" si="47"/>
        <v>0</v>
      </c>
      <c r="P736" s="124"/>
      <c r="Q736" s="121"/>
      <c r="R736" s="121"/>
      <c r="T736" s="122">
        <v>4</v>
      </c>
      <c r="U736" s="123" t="s">
        <v>809</v>
      </c>
      <c r="V736" s="123" t="s">
        <v>810</v>
      </c>
    </row>
    <row r="737" spans="1:22">
      <c r="A737" s="119" t="s">
        <v>745</v>
      </c>
      <c r="B737" s="119" t="s">
        <v>38</v>
      </c>
      <c r="C737" s="120" t="s">
        <v>600</v>
      </c>
      <c r="D737" s="120">
        <v>2021</v>
      </c>
      <c r="E737" s="120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>
        <f t="shared" si="47"/>
        <v>0</v>
      </c>
      <c r="P737" s="121"/>
      <c r="Q737" s="121"/>
      <c r="R737" s="121"/>
      <c r="T737" s="122">
        <v>5</v>
      </c>
      <c r="U737" s="123" t="s">
        <v>809</v>
      </c>
      <c r="V737" s="123" t="s">
        <v>810</v>
      </c>
    </row>
    <row r="738" spans="1:22">
      <c r="A738" s="119" t="s">
        <v>565</v>
      </c>
      <c r="B738" s="119" t="s">
        <v>39</v>
      </c>
      <c r="C738" s="120" t="s">
        <v>594</v>
      </c>
      <c r="D738" s="120">
        <v>2021</v>
      </c>
      <c r="E738" s="120"/>
      <c r="F738" s="121"/>
      <c r="G738" s="121"/>
      <c r="H738" s="121">
        <f>I738+J738</f>
        <v>3.517525</v>
      </c>
      <c r="I738" s="121"/>
      <c r="J738" s="121">
        <f>63.955*0.055</f>
        <v>3.517525</v>
      </c>
      <c r="K738" s="121"/>
      <c r="L738" s="121"/>
      <c r="M738" s="121"/>
      <c r="N738" s="121"/>
      <c r="O738" s="121">
        <f t="shared" si="47"/>
        <v>3.517525</v>
      </c>
      <c r="P738" s="121">
        <f>63.955*0.055</f>
        <v>3.517525</v>
      </c>
      <c r="Q738" s="121"/>
      <c r="R738" s="121"/>
      <c r="T738" s="122">
        <v>1</v>
      </c>
      <c r="U738" s="123" t="s">
        <v>808</v>
      </c>
      <c r="V738" s="123" t="s">
        <v>808</v>
      </c>
    </row>
    <row r="739" spans="1:22">
      <c r="A739" s="119" t="s">
        <v>565</v>
      </c>
      <c r="B739" s="119" t="s">
        <v>39</v>
      </c>
      <c r="C739" s="120" t="s">
        <v>595</v>
      </c>
      <c r="D739" s="120">
        <v>2021</v>
      </c>
      <c r="E739" s="137"/>
      <c r="F739" s="138"/>
      <c r="G739" s="121"/>
      <c r="H739" s="121"/>
      <c r="I739" s="121"/>
      <c r="J739" s="121"/>
      <c r="K739" s="121"/>
      <c r="L739" s="121"/>
      <c r="M739" s="121"/>
      <c r="N739" s="121"/>
      <c r="O739" s="121">
        <f t="shared" si="47"/>
        <v>0</v>
      </c>
      <c r="P739" s="121"/>
      <c r="Q739" s="121"/>
      <c r="R739" s="130"/>
      <c r="T739" s="122">
        <v>2</v>
      </c>
      <c r="U739" s="123" t="s">
        <v>808</v>
      </c>
      <c r="V739" s="123" t="s">
        <v>808</v>
      </c>
    </row>
    <row r="740" spans="1:22">
      <c r="A740" s="119" t="s">
        <v>565</v>
      </c>
      <c r="B740" s="119" t="s">
        <v>39</v>
      </c>
      <c r="C740" s="120" t="s">
        <v>596</v>
      </c>
      <c r="D740" s="120">
        <v>2021</v>
      </c>
      <c r="E740" s="120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>
        <f t="shared" si="47"/>
        <v>0</v>
      </c>
      <c r="P740" s="121"/>
      <c r="Q740" s="121"/>
      <c r="R740" s="130"/>
      <c r="T740" s="122">
        <v>3</v>
      </c>
      <c r="U740" s="123" t="s">
        <v>808</v>
      </c>
      <c r="V740" s="123" t="s">
        <v>808</v>
      </c>
    </row>
    <row r="741" spans="1:22">
      <c r="A741" s="119" t="s">
        <v>565</v>
      </c>
      <c r="B741" s="119" t="s">
        <v>39</v>
      </c>
      <c r="C741" s="120" t="s">
        <v>597</v>
      </c>
      <c r="D741" s="120">
        <v>2021</v>
      </c>
      <c r="E741" s="120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>
        <f t="shared" si="47"/>
        <v>0</v>
      </c>
      <c r="P741" s="121"/>
      <c r="Q741" s="121"/>
      <c r="R741" s="130"/>
      <c r="T741" s="122">
        <v>4</v>
      </c>
      <c r="U741" s="123" t="s">
        <v>808</v>
      </c>
      <c r="V741" s="123" t="s">
        <v>808</v>
      </c>
    </row>
    <row r="742" spans="1:22">
      <c r="A742" s="119" t="s">
        <v>565</v>
      </c>
      <c r="B742" s="119" t="s">
        <v>39</v>
      </c>
      <c r="C742" s="120" t="s">
        <v>600</v>
      </c>
      <c r="D742" s="120">
        <v>2021</v>
      </c>
      <c r="E742" s="120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>
        <f t="shared" si="47"/>
        <v>0</v>
      </c>
      <c r="P742" s="121"/>
      <c r="Q742" s="121"/>
      <c r="R742" s="130"/>
      <c r="T742" s="122">
        <v>5</v>
      </c>
      <c r="U742" s="123" t="s">
        <v>808</v>
      </c>
      <c r="V742" s="123" t="s">
        <v>808</v>
      </c>
    </row>
    <row r="743" spans="1:22">
      <c r="A743" s="119" t="s">
        <v>202</v>
      </c>
      <c r="B743" s="119" t="s">
        <v>40</v>
      </c>
      <c r="C743" s="120" t="s">
        <v>594</v>
      </c>
      <c r="D743" s="120">
        <v>2021</v>
      </c>
      <c r="E743" s="120"/>
      <c r="F743" s="121"/>
      <c r="G743" s="121"/>
      <c r="H743" s="121">
        <f>I743+J743</f>
        <v>4.3647999999999998</v>
      </c>
      <c r="I743" s="121"/>
      <c r="J743" s="121">
        <f>79.36*0.055</f>
        <v>4.3647999999999998</v>
      </c>
      <c r="K743" s="121"/>
      <c r="L743" s="121"/>
      <c r="M743" s="121"/>
      <c r="N743" s="121"/>
      <c r="O743" s="121">
        <f t="shared" si="47"/>
        <v>4.3647999999999998</v>
      </c>
      <c r="P743" s="121"/>
      <c r="Q743" s="121"/>
      <c r="R743" s="121"/>
      <c r="T743" s="122">
        <v>1</v>
      </c>
      <c r="U743" s="123" t="s">
        <v>808</v>
      </c>
      <c r="V743" s="123" t="s">
        <v>808</v>
      </c>
    </row>
    <row r="744" spans="1:22">
      <c r="A744" s="119" t="s">
        <v>202</v>
      </c>
      <c r="B744" s="119" t="s">
        <v>40</v>
      </c>
      <c r="C744" s="120" t="s">
        <v>595</v>
      </c>
      <c r="D744" s="120">
        <v>2021</v>
      </c>
      <c r="E744" s="120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>
        <f>F744+H744+K744</f>
        <v>0</v>
      </c>
      <c r="P744" s="121"/>
      <c r="Q744" s="121"/>
      <c r="R744" s="121"/>
      <c r="T744" s="122">
        <v>2</v>
      </c>
      <c r="U744" s="123" t="s">
        <v>808</v>
      </c>
      <c r="V744" s="123" t="s">
        <v>808</v>
      </c>
    </row>
    <row r="745" spans="1:22">
      <c r="A745" s="119" t="s">
        <v>202</v>
      </c>
      <c r="B745" s="119" t="s">
        <v>40</v>
      </c>
      <c r="C745" s="120" t="s">
        <v>596</v>
      </c>
      <c r="D745" s="120">
        <v>2021</v>
      </c>
      <c r="E745" s="120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>
        <f t="shared" si="47"/>
        <v>0</v>
      </c>
      <c r="P745" s="121"/>
      <c r="Q745" s="121"/>
      <c r="R745" s="121"/>
      <c r="T745" s="122">
        <v>3</v>
      </c>
      <c r="U745" s="123" t="s">
        <v>808</v>
      </c>
      <c r="V745" s="123" t="s">
        <v>808</v>
      </c>
    </row>
    <row r="746" spans="1:22">
      <c r="A746" s="119" t="s">
        <v>202</v>
      </c>
      <c r="B746" s="119" t="s">
        <v>40</v>
      </c>
      <c r="C746" s="120" t="s">
        <v>597</v>
      </c>
      <c r="D746" s="120">
        <v>2021</v>
      </c>
      <c r="E746" s="120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>
        <f t="shared" si="47"/>
        <v>0</v>
      </c>
      <c r="P746" s="121"/>
      <c r="Q746" s="121"/>
      <c r="R746" s="121"/>
      <c r="T746" s="122">
        <v>4</v>
      </c>
      <c r="U746" s="123" t="s">
        <v>808</v>
      </c>
      <c r="V746" s="123" t="s">
        <v>808</v>
      </c>
    </row>
    <row r="747" spans="1:22">
      <c r="A747" s="119" t="s">
        <v>202</v>
      </c>
      <c r="B747" s="119" t="s">
        <v>40</v>
      </c>
      <c r="C747" s="120" t="s">
        <v>600</v>
      </c>
      <c r="D747" s="120">
        <v>2021</v>
      </c>
      <c r="E747" s="120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>
        <f t="shared" si="47"/>
        <v>0</v>
      </c>
      <c r="P747" s="121"/>
      <c r="Q747" s="121"/>
      <c r="R747" s="121"/>
      <c r="T747" s="122">
        <v>5</v>
      </c>
      <c r="U747" s="123" t="s">
        <v>808</v>
      </c>
      <c r="V747" s="123" t="s">
        <v>808</v>
      </c>
    </row>
    <row r="748" spans="1:22">
      <c r="A748" s="119" t="s">
        <v>566</v>
      </c>
      <c r="B748" s="119" t="s">
        <v>41</v>
      </c>
      <c r="C748" s="120" t="s">
        <v>594</v>
      </c>
      <c r="D748" s="120">
        <v>2021</v>
      </c>
      <c r="E748" s="120"/>
      <c r="F748" s="121"/>
      <c r="G748" s="121"/>
      <c r="H748" s="128">
        <f>I748+J748</f>
        <v>0</v>
      </c>
      <c r="I748" s="128"/>
      <c r="J748" s="128">
        <v>0</v>
      </c>
      <c r="K748" s="121"/>
      <c r="L748" s="121"/>
      <c r="M748" s="121"/>
      <c r="N748" s="121"/>
      <c r="O748" s="128">
        <f t="shared" si="47"/>
        <v>0</v>
      </c>
      <c r="P748" s="128">
        <v>0</v>
      </c>
      <c r="Q748" s="121"/>
      <c r="R748" s="121"/>
      <c r="T748" s="122">
        <v>1</v>
      </c>
      <c r="U748" s="123" t="s">
        <v>806</v>
      </c>
      <c r="V748" s="123" t="s">
        <v>816</v>
      </c>
    </row>
    <row r="749" spans="1:22">
      <c r="A749" s="119" t="s">
        <v>566</v>
      </c>
      <c r="B749" s="119" t="s">
        <v>41</v>
      </c>
      <c r="C749" s="120" t="s">
        <v>595</v>
      </c>
      <c r="D749" s="120">
        <v>2021</v>
      </c>
      <c r="E749" s="120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>
        <f t="shared" si="47"/>
        <v>0</v>
      </c>
      <c r="P749" s="121"/>
      <c r="Q749" s="121"/>
      <c r="R749" s="121"/>
      <c r="T749" s="122">
        <v>2</v>
      </c>
      <c r="U749" s="123" t="s">
        <v>806</v>
      </c>
      <c r="V749" s="123" t="s">
        <v>816</v>
      </c>
    </row>
    <row r="750" spans="1:22">
      <c r="A750" s="119" t="s">
        <v>566</v>
      </c>
      <c r="B750" s="119" t="s">
        <v>41</v>
      </c>
      <c r="C750" s="120" t="s">
        <v>596</v>
      </c>
      <c r="D750" s="120">
        <v>2021</v>
      </c>
      <c r="E750" s="120"/>
      <c r="F750" s="121"/>
      <c r="G750" s="121"/>
      <c r="H750" s="128"/>
      <c r="I750" s="121"/>
      <c r="J750" s="128"/>
      <c r="K750" s="121"/>
      <c r="L750" s="121"/>
      <c r="M750" s="121"/>
      <c r="N750" s="121"/>
      <c r="O750" s="121">
        <f t="shared" si="47"/>
        <v>0</v>
      </c>
      <c r="P750" s="128"/>
      <c r="Q750" s="121"/>
      <c r="R750" s="121"/>
      <c r="T750" s="122">
        <v>3</v>
      </c>
      <c r="U750" s="123" t="s">
        <v>806</v>
      </c>
      <c r="V750" s="123" t="s">
        <v>816</v>
      </c>
    </row>
    <row r="751" spans="1:22">
      <c r="A751" s="119" t="s">
        <v>566</v>
      </c>
      <c r="B751" s="119" t="s">
        <v>41</v>
      </c>
      <c r="C751" s="120" t="s">
        <v>597</v>
      </c>
      <c r="D751" s="120">
        <v>2021</v>
      </c>
      <c r="E751" s="120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>
        <f t="shared" si="47"/>
        <v>0</v>
      </c>
      <c r="P751" s="121"/>
      <c r="Q751" s="121"/>
      <c r="R751" s="121"/>
      <c r="T751" s="122">
        <v>4</v>
      </c>
      <c r="U751" s="123" t="s">
        <v>806</v>
      </c>
      <c r="V751" s="123" t="s">
        <v>816</v>
      </c>
    </row>
    <row r="752" spans="1:22">
      <c r="A752" s="119" t="s">
        <v>566</v>
      </c>
      <c r="B752" s="119" t="s">
        <v>41</v>
      </c>
      <c r="C752" s="120" t="s">
        <v>600</v>
      </c>
      <c r="D752" s="120">
        <v>2021</v>
      </c>
      <c r="E752" s="120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>
        <f t="shared" si="47"/>
        <v>0</v>
      </c>
      <c r="P752" s="121"/>
      <c r="Q752" s="121"/>
      <c r="R752" s="121"/>
      <c r="T752" s="122">
        <v>5</v>
      </c>
      <c r="U752" s="123" t="s">
        <v>806</v>
      </c>
      <c r="V752" s="123" t="s">
        <v>816</v>
      </c>
    </row>
    <row r="753" spans="1:22">
      <c r="A753" s="119" t="s">
        <v>567</v>
      </c>
      <c r="B753" s="119" t="s">
        <v>42</v>
      </c>
      <c r="C753" s="120" t="s">
        <v>594</v>
      </c>
      <c r="D753" s="120">
        <v>2021</v>
      </c>
      <c r="E753" s="120"/>
      <c r="F753" s="121"/>
      <c r="G753" s="121"/>
      <c r="H753" s="121">
        <f>I753+J753</f>
        <v>6.3634999999999997E-2</v>
      </c>
      <c r="I753" s="121"/>
      <c r="J753" s="121">
        <f>1.157*0.055</f>
        <v>6.3634999999999997E-2</v>
      </c>
      <c r="K753" s="121"/>
      <c r="L753" s="121"/>
      <c r="M753" s="121"/>
      <c r="N753" s="121"/>
      <c r="O753" s="121">
        <f t="shared" si="47"/>
        <v>6.3634999999999997E-2</v>
      </c>
      <c r="P753" s="121">
        <f>1.157*0.055</f>
        <v>6.3634999999999997E-2</v>
      </c>
      <c r="Q753" s="121"/>
      <c r="R753" s="121"/>
      <c r="T753" s="122">
        <v>1</v>
      </c>
      <c r="U753" s="123" t="s">
        <v>809</v>
      </c>
      <c r="V753" s="123" t="s">
        <v>815</v>
      </c>
    </row>
    <row r="754" spans="1:22">
      <c r="A754" s="119" t="s">
        <v>567</v>
      </c>
      <c r="B754" s="119" t="s">
        <v>42</v>
      </c>
      <c r="C754" s="120" t="s">
        <v>595</v>
      </c>
      <c r="D754" s="120">
        <v>2021</v>
      </c>
      <c r="E754" s="120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>
        <f t="shared" si="47"/>
        <v>0</v>
      </c>
      <c r="P754" s="121"/>
      <c r="Q754" s="121"/>
      <c r="R754" s="121"/>
      <c r="T754" s="122">
        <v>2</v>
      </c>
      <c r="U754" s="123" t="s">
        <v>809</v>
      </c>
      <c r="V754" s="123" t="s">
        <v>815</v>
      </c>
    </row>
    <row r="755" spans="1:22">
      <c r="A755" s="119" t="s">
        <v>567</v>
      </c>
      <c r="B755" s="119" t="s">
        <v>42</v>
      </c>
      <c r="C755" s="120" t="s">
        <v>596</v>
      </c>
      <c r="D755" s="120">
        <v>2021</v>
      </c>
      <c r="E755" s="120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>
        <f t="shared" si="47"/>
        <v>0</v>
      </c>
      <c r="P755" s="121"/>
      <c r="Q755" s="121"/>
      <c r="R755" s="121"/>
      <c r="T755" s="122">
        <v>3</v>
      </c>
      <c r="U755" s="123" t="s">
        <v>809</v>
      </c>
      <c r="V755" s="123" t="s">
        <v>815</v>
      </c>
    </row>
    <row r="756" spans="1:22">
      <c r="A756" s="119" t="s">
        <v>567</v>
      </c>
      <c r="B756" s="119" t="s">
        <v>42</v>
      </c>
      <c r="C756" s="120" t="s">
        <v>597</v>
      </c>
      <c r="D756" s="120">
        <v>2021</v>
      </c>
      <c r="E756" s="120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>
        <f t="shared" si="47"/>
        <v>0</v>
      </c>
      <c r="P756" s="121"/>
      <c r="Q756" s="121"/>
      <c r="R756" s="121"/>
      <c r="T756" s="122">
        <v>4</v>
      </c>
      <c r="U756" s="123" t="s">
        <v>809</v>
      </c>
      <c r="V756" s="123" t="s">
        <v>815</v>
      </c>
    </row>
    <row r="757" spans="1:22">
      <c r="A757" s="119" t="s">
        <v>567</v>
      </c>
      <c r="B757" s="119" t="s">
        <v>42</v>
      </c>
      <c r="C757" s="120" t="s">
        <v>600</v>
      </c>
      <c r="D757" s="120">
        <v>2021</v>
      </c>
      <c r="E757" s="120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>
        <f t="shared" si="47"/>
        <v>0</v>
      </c>
      <c r="P757" s="121"/>
      <c r="Q757" s="121"/>
      <c r="R757" s="121"/>
      <c r="T757" s="122">
        <v>5</v>
      </c>
      <c r="U757" s="123" t="s">
        <v>809</v>
      </c>
      <c r="V757" s="123" t="s">
        <v>815</v>
      </c>
    </row>
    <row r="758" spans="1:22">
      <c r="A758" s="119" t="s">
        <v>644</v>
      </c>
      <c r="B758" s="119" t="s">
        <v>43</v>
      </c>
      <c r="C758" s="120" t="s">
        <v>594</v>
      </c>
      <c r="D758" s="120">
        <v>2021</v>
      </c>
      <c r="E758" s="120"/>
      <c r="F758" s="121"/>
      <c r="G758" s="121"/>
      <c r="H758" s="121">
        <f>I758+J758</f>
        <v>0.90420000000000011</v>
      </c>
      <c r="I758" s="121"/>
      <c r="J758" s="121">
        <f>16.44*0.055</f>
        <v>0.90420000000000011</v>
      </c>
      <c r="K758" s="121"/>
      <c r="L758" s="121"/>
      <c r="M758" s="121"/>
      <c r="N758" s="121"/>
      <c r="O758" s="121">
        <f t="shared" si="47"/>
        <v>0.90420000000000011</v>
      </c>
      <c r="P758" s="121">
        <f>16.44*0.055</f>
        <v>0.90420000000000011</v>
      </c>
      <c r="Q758" s="121"/>
      <c r="R758" s="121"/>
      <c r="T758" s="122">
        <v>1</v>
      </c>
      <c r="U758" s="123" t="s">
        <v>809</v>
      </c>
      <c r="V758" s="123" t="s">
        <v>815</v>
      </c>
    </row>
    <row r="759" spans="1:22">
      <c r="A759" s="119" t="s">
        <v>644</v>
      </c>
      <c r="B759" s="119" t="s">
        <v>43</v>
      </c>
      <c r="C759" s="120" t="s">
        <v>595</v>
      </c>
      <c r="D759" s="120">
        <v>2021</v>
      </c>
      <c r="E759" s="120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>
        <f t="shared" si="47"/>
        <v>0</v>
      </c>
      <c r="P759" s="121"/>
      <c r="Q759" s="121"/>
      <c r="R759" s="121"/>
      <c r="T759" s="122">
        <v>2</v>
      </c>
      <c r="U759" s="123" t="s">
        <v>809</v>
      </c>
      <c r="V759" s="123" t="s">
        <v>815</v>
      </c>
    </row>
    <row r="760" spans="1:22">
      <c r="A760" s="119" t="s">
        <v>644</v>
      </c>
      <c r="B760" s="119" t="s">
        <v>43</v>
      </c>
      <c r="C760" s="120" t="s">
        <v>596</v>
      </c>
      <c r="D760" s="120">
        <v>2021</v>
      </c>
      <c r="E760" s="120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>
        <f t="shared" ref="O760:O797" si="48">F760+H760</f>
        <v>0</v>
      </c>
      <c r="P760" s="121"/>
      <c r="Q760" s="121"/>
      <c r="R760" s="121"/>
      <c r="T760" s="122">
        <v>3</v>
      </c>
      <c r="U760" s="123" t="s">
        <v>809</v>
      </c>
      <c r="V760" s="123" t="s">
        <v>815</v>
      </c>
    </row>
    <row r="761" spans="1:22">
      <c r="A761" s="119" t="s">
        <v>644</v>
      </c>
      <c r="B761" s="119" t="s">
        <v>43</v>
      </c>
      <c r="C761" s="120" t="s">
        <v>597</v>
      </c>
      <c r="D761" s="120">
        <v>2021</v>
      </c>
      <c r="E761" s="120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>
        <f t="shared" si="48"/>
        <v>0</v>
      </c>
      <c r="P761" s="121"/>
      <c r="Q761" s="121"/>
      <c r="R761" s="121"/>
      <c r="T761" s="122">
        <v>4</v>
      </c>
      <c r="U761" s="123" t="s">
        <v>809</v>
      </c>
      <c r="V761" s="123" t="s">
        <v>815</v>
      </c>
    </row>
    <row r="762" spans="1:22">
      <c r="A762" s="119" t="s">
        <v>644</v>
      </c>
      <c r="B762" s="119" t="s">
        <v>43</v>
      </c>
      <c r="C762" s="120" t="s">
        <v>600</v>
      </c>
      <c r="D762" s="120">
        <v>2021</v>
      </c>
      <c r="E762" s="120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>
        <f t="shared" si="48"/>
        <v>0</v>
      </c>
      <c r="P762" s="121"/>
      <c r="Q762" s="121"/>
      <c r="R762" s="121"/>
      <c r="T762" s="122">
        <v>5</v>
      </c>
      <c r="U762" s="123" t="s">
        <v>809</v>
      </c>
      <c r="V762" s="123" t="s">
        <v>815</v>
      </c>
    </row>
    <row r="763" spans="1:22" s="123" customFormat="1">
      <c r="A763" s="119" t="s">
        <v>568</v>
      </c>
      <c r="B763" s="119" t="s">
        <v>44</v>
      </c>
      <c r="C763" s="125" t="s">
        <v>594</v>
      </c>
      <c r="D763" s="120">
        <v>2021</v>
      </c>
      <c r="E763" s="125"/>
      <c r="F763" s="124"/>
      <c r="G763" s="124"/>
      <c r="H763" s="124">
        <f>I763+J763</f>
        <v>11.178750000000001</v>
      </c>
      <c r="I763" s="124">
        <f>18.29*0.055</f>
        <v>1.0059499999999999</v>
      </c>
      <c r="J763" s="124">
        <f>184.96*0.055</f>
        <v>10.172800000000001</v>
      </c>
      <c r="K763" s="124"/>
      <c r="L763" s="124"/>
      <c r="M763" s="124"/>
      <c r="N763" s="124"/>
      <c r="O763" s="124">
        <f>F763+H763</f>
        <v>11.178750000000001</v>
      </c>
      <c r="P763" s="124">
        <f>203.25*0.055</f>
        <v>11.178750000000001</v>
      </c>
      <c r="Q763" s="124"/>
      <c r="R763" s="124"/>
      <c r="T763" s="123">
        <v>1</v>
      </c>
      <c r="U763" s="123" t="s">
        <v>811</v>
      </c>
      <c r="V763" s="123" t="s">
        <v>813</v>
      </c>
    </row>
    <row r="764" spans="1:22" s="123" customFormat="1">
      <c r="A764" s="119" t="s">
        <v>568</v>
      </c>
      <c r="B764" s="119" t="s">
        <v>44</v>
      </c>
      <c r="C764" s="125" t="s">
        <v>595</v>
      </c>
      <c r="D764" s="120">
        <v>2021</v>
      </c>
      <c r="E764" s="125"/>
      <c r="F764" s="124"/>
      <c r="G764" s="124"/>
      <c r="H764" s="124">
        <f>I764+J764</f>
        <v>0.27939999999999998</v>
      </c>
      <c r="I764" s="124"/>
      <c r="J764" s="124">
        <f>2.54*0.11</f>
        <v>0.27939999999999998</v>
      </c>
      <c r="K764" s="124"/>
      <c r="L764" s="124"/>
      <c r="M764" s="124"/>
      <c r="N764" s="124"/>
      <c r="O764" s="124">
        <f>F764+H764+K764</f>
        <v>0.27939999999999998</v>
      </c>
      <c r="P764" s="124">
        <f>2.54*0.11</f>
        <v>0.27939999999999998</v>
      </c>
      <c r="Q764" s="124"/>
      <c r="R764" s="124"/>
      <c r="T764" s="123">
        <v>2</v>
      </c>
      <c r="U764" s="123" t="s">
        <v>811</v>
      </c>
      <c r="V764" s="123" t="s">
        <v>813</v>
      </c>
    </row>
    <row r="765" spans="1:22" s="123" customFormat="1">
      <c r="A765" s="119" t="s">
        <v>568</v>
      </c>
      <c r="B765" s="119" t="s">
        <v>44</v>
      </c>
      <c r="C765" s="125" t="s">
        <v>700</v>
      </c>
      <c r="D765" s="120">
        <v>2021</v>
      </c>
      <c r="E765" s="125"/>
      <c r="F765" s="124">
        <f>33.19*0.11</f>
        <v>3.6508999999999996</v>
      </c>
      <c r="G765" s="124"/>
      <c r="H765" s="124"/>
      <c r="I765" s="124"/>
      <c r="J765" s="124"/>
      <c r="K765" s="124"/>
      <c r="L765" s="124"/>
      <c r="M765" s="124"/>
      <c r="N765" s="124"/>
      <c r="O765" s="124">
        <f>F765+H765</f>
        <v>3.6508999999999996</v>
      </c>
      <c r="P765" s="124">
        <f>33.19*0.11</f>
        <v>3.6508999999999996</v>
      </c>
      <c r="Q765" s="124"/>
      <c r="R765" s="124"/>
      <c r="U765" s="123" t="s">
        <v>811</v>
      </c>
      <c r="V765" s="123" t="s">
        <v>813</v>
      </c>
    </row>
    <row r="766" spans="1:22" s="123" customFormat="1">
      <c r="A766" s="119" t="s">
        <v>568</v>
      </c>
      <c r="B766" s="119" t="s">
        <v>44</v>
      </c>
      <c r="C766" s="125" t="s">
        <v>596</v>
      </c>
      <c r="D766" s="120">
        <v>2021</v>
      </c>
      <c r="E766" s="125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>
        <f>F766+H766+E766</f>
        <v>0</v>
      </c>
      <c r="P766" s="124"/>
      <c r="Q766" s="124"/>
      <c r="R766" s="124"/>
      <c r="T766" s="123">
        <v>3</v>
      </c>
      <c r="U766" s="123" t="s">
        <v>811</v>
      </c>
      <c r="V766" s="123" t="s">
        <v>813</v>
      </c>
    </row>
    <row r="767" spans="1:22" s="123" customFormat="1">
      <c r="A767" s="119" t="s">
        <v>568</v>
      </c>
      <c r="B767" s="119" t="s">
        <v>44</v>
      </c>
      <c r="C767" s="125" t="s">
        <v>597</v>
      </c>
      <c r="D767" s="120">
        <v>2021</v>
      </c>
      <c r="E767" s="125"/>
      <c r="F767" s="124"/>
      <c r="G767" s="124">
        <f>0.37*0.02</f>
        <v>7.4000000000000003E-3</v>
      </c>
      <c r="H767" s="124">
        <f>I767+J767</f>
        <v>1.8200000000000001E-2</v>
      </c>
      <c r="I767" s="124"/>
      <c r="J767" s="124">
        <f>0.91*0.02</f>
        <v>1.8200000000000001E-2</v>
      </c>
      <c r="K767" s="124"/>
      <c r="L767" s="124"/>
      <c r="M767" s="124"/>
      <c r="N767" s="124"/>
      <c r="O767" s="124">
        <f>F767+H767+G767</f>
        <v>2.5600000000000001E-2</v>
      </c>
      <c r="P767" s="124">
        <f>1.28*0.02</f>
        <v>2.5600000000000001E-2</v>
      </c>
      <c r="Q767" s="124"/>
      <c r="R767" s="124"/>
      <c r="T767" s="123">
        <v>4</v>
      </c>
      <c r="U767" s="123" t="s">
        <v>811</v>
      </c>
      <c r="V767" s="123" t="s">
        <v>813</v>
      </c>
    </row>
    <row r="768" spans="1:22" s="123" customFormat="1">
      <c r="A768" s="119" t="s">
        <v>568</v>
      </c>
      <c r="B768" s="119" t="s">
        <v>44</v>
      </c>
      <c r="C768" s="125" t="s">
        <v>600</v>
      </c>
      <c r="D768" s="120">
        <v>2021</v>
      </c>
      <c r="E768" s="125"/>
      <c r="F768" s="124"/>
      <c r="G768" s="124"/>
      <c r="H768" s="124">
        <f>I768+J768</f>
        <v>1.7159999999999998E-2</v>
      </c>
      <c r="I768" s="124"/>
      <c r="J768" s="124">
        <f>0.78*0.022</f>
        <v>1.7159999999999998E-2</v>
      </c>
      <c r="K768" s="124"/>
      <c r="L768" s="124"/>
      <c r="M768" s="124"/>
      <c r="N768" s="124"/>
      <c r="O768" s="124">
        <f>F768+H768</f>
        <v>1.7159999999999998E-2</v>
      </c>
      <c r="P768" s="124">
        <f>0.78*0.022</f>
        <v>1.7159999999999998E-2</v>
      </c>
      <c r="Q768" s="124"/>
      <c r="R768" s="124"/>
      <c r="T768" s="123">
        <v>5</v>
      </c>
      <c r="U768" s="123" t="s">
        <v>811</v>
      </c>
      <c r="V768" s="123" t="s">
        <v>813</v>
      </c>
    </row>
    <row r="769" spans="1:22">
      <c r="A769" s="119" t="s">
        <v>569</v>
      </c>
      <c r="B769" s="119" t="s">
        <v>45</v>
      </c>
      <c r="C769" s="120" t="s">
        <v>594</v>
      </c>
      <c r="D769" s="120">
        <v>2021</v>
      </c>
      <c r="E769" s="120"/>
      <c r="F769" s="121"/>
      <c r="G769" s="121"/>
      <c r="H769" s="121">
        <f>I769+J769</f>
        <v>8.2280000000000009E-3</v>
      </c>
      <c r="I769" s="121">
        <f>0.1496*0.055</f>
        <v>8.2280000000000009E-3</v>
      </c>
      <c r="J769" s="121"/>
      <c r="K769" s="121"/>
      <c r="L769" s="121"/>
      <c r="M769" s="121"/>
      <c r="N769" s="121"/>
      <c r="O769" s="121">
        <f t="shared" si="48"/>
        <v>8.2280000000000009E-3</v>
      </c>
      <c r="P769" s="121">
        <f>0.1496*0.055</f>
        <v>8.2280000000000009E-3</v>
      </c>
      <c r="Q769" s="121"/>
      <c r="R769" s="121"/>
      <c r="T769" s="122">
        <v>1</v>
      </c>
      <c r="U769" s="123" t="s">
        <v>806</v>
      </c>
      <c r="V769" s="123" t="s">
        <v>816</v>
      </c>
    </row>
    <row r="770" spans="1:22">
      <c r="A770" s="119" t="s">
        <v>569</v>
      </c>
      <c r="B770" s="119" t="s">
        <v>45</v>
      </c>
      <c r="C770" s="120" t="s">
        <v>595</v>
      </c>
      <c r="D770" s="120">
        <v>2021</v>
      </c>
      <c r="E770" s="120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>
        <f t="shared" si="48"/>
        <v>0</v>
      </c>
      <c r="P770" s="121"/>
      <c r="Q770" s="121"/>
      <c r="R770" s="121"/>
      <c r="T770" s="122">
        <v>2</v>
      </c>
      <c r="U770" s="123" t="s">
        <v>806</v>
      </c>
      <c r="V770" s="123" t="s">
        <v>816</v>
      </c>
    </row>
    <row r="771" spans="1:22">
      <c r="A771" s="119" t="s">
        <v>569</v>
      </c>
      <c r="B771" s="119" t="s">
        <v>45</v>
      </c>
      <c r="C771" s="120" t="s">
        <v>596</v>
      </c>
      <c r="D771" s="120">
        <v>2021</v>
      </c>
      <c r="E771" s="120"/>
      <c r="F771" s="121"/>
      <c r="G771" s="121"/>
      <c r="H771" s="134"/>
      <c r="I771" s="134"/>
      <c r="J771" s="134"/>
      <c r="K771" s="121"/>
      <c r="L771" s="121"/>
      <c r="M771" s="121"/>
      <c r="N771" s="121"/>
      <c r="O771" s="121">
        <f t="shared" si="48"/>
        <v>0</v>
      </c>
      <c r="P771" s="134"/>
      <c r="Q771" s="121"/>
      <c r="R771" s="121"/>
      <c r="T771" s="122">
        <v>3</v>
      </c>
      <c r="U771" s="123" t="s">
        <v>806</v>
      </c>
      <c r="V771" s="123" t="s">
        <v>816</v>
      </c>
    </row>
    <row r="772" spans="1:22">
      <c r="A772" s="119" t="s">
        <v>569</v>
      </c>
      <c r="B772" s="119" t="s">
        <v>45</v>
      </c>
      <c r="C772" s="120" t="s">
        <v>597</v>
      </c>
      <c r="D772" s="120">
        <v>2021</v>
      </c>
      <c r="E772" s="120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>
        <f t="shared" si="48"/>
        <v>0</v>
      </c>
      <c r="P772" s="121"/>
      <c r="Q772" s="121"/>
      <c r="R772" s="121"/>
      <c r="T772" s="122">
        <v>4</v>
      </c>
      <c r="U772" s="123" t="s">
        <v>806</v>
      </c>
      <c r="V772" s="123" t="s">
        <v>816</v>
      </c>
    </row>
    <row r="773" spans="1:22">
      <c r="A773" s="119" t="s">
        <v>569</v>
      </c>
      <c r="B773" s="119" t="s">
        <v>45</v>
      </c>
      <c r="C773" s="120" t="s">
        <v>600</v>
      </c>
      <c r="D773" s="120">
        <v>2021</v>
      </c>
      <c r="E773" s="120"/>
      <c r="F773" s="121"/>
      <c r="G773" s="121"/>
      <c r="H773" s="134"/>
      <c r="I773" s="121"/>
      <c r="J773" s="134"/>
      <c r="K773" s="121"/>
      <c r="L773" s="121"/>
      <c r="M773" s="121"/>
      <c r="N773" s="121"/>
      <c r="O773" s="121">
        <f t="shared" si="48"/>
        <v>0</v>
      </c>
      <c r="P773" s="134"/>
      <c r="Q773" s="121"/>
      <c r="R773" s="121"/>
      <c r="T773" s="122">
        <v>5</v>
      </c>
      <c r="U773" s="123" t="s">
        <v>806</v>
      </c>
      <c r="V773" s="123" t="s">
        <v>816</v>
      </c>
    </row>
    <row r="774" spans="1:22">
      <c r="A774" s="119" t="s">
        <v>645</v>
      </c>
      <c r="B774" s="119" t="s">
        <v>46</v>
      </c>
      <c r="C774" s="120" t="s">
        <v>594</v>
      </c>
      <c r="D774" s="120">
        <v>2021</v>
      </c>
      <c r="E774" s="120"/>
      <c r="F774" s="121"/>
      <c r="G774" s="121"/>
      <c r="H774" s="121">
        <f>I774+J774</f>
        <v>9.7239999999999984</v>
      </c>
      <c r="I774" s="121">
        <f>7.1*0.055</f>
        <v>0.39049999999999996</v>
      </c>
      <c r="J774" s="121">
        <f>169.7*0.055</f>
        <v>9.333499999999999</v>
      </c>
      <c r="K774" s="121"/>
      <c r="L774" s="121"/>
      <c r="M774" s="121"/>
      <c r="N774" s="121"/>
      <c r="O774" s="121">
        <f t="shared" si="48"/>
        <v>9.7239999999999984</v>
      </c>
      <c r="P774" s="121"/>
      <c r="Q774" s="121"/>
      <c r="R774" s="121"/>
      <c r="S774" s="127"/>
      <c r="T774" s="122">
        <v>1</v>
      </c>
      <c r="U774" s="123" t="s">
        <v>811</v>
      </c>
      <c r="V774" s="123" t="s">
        <v>813</v>
      </c>
    </row>
    <row r="775" spans="1:22">
      <c r="A775" s="119" t="s">
        <v>645</v>
      </c>
      <c r="B775" s="119" t="s">
        <v>46</v>
      </c>
      <c r="C775" s="120" t="s">
        <v>595</v>
      </c>
      <c r="D775" s="120">
        <v>2021</v>
      </c>
      <c r="E775" s="120"/>
      <c r="F775" s="121">
        <f>25*0.11</f>
        <v>2.75</v>
      </c>
      <c r="G775" s="121"/>
      <c r="H775" s="121"/>
      <c r="I775" s="121"/>
      <c r="J775" s="121"/>
      <c r="K775" s="121"/>
      <c r="L775" s="121"/>
      <c r="M775" s="121"/>
      <c r="N775" s="121"/>
      <c r="O775" s="121">
        <f t="shared" si="48"/>
        <v>2.75</v>
      </c>
      <c r="P775" s="121"/>
      <c r="Q775" s="121"/>
      <c r="R775" s="121"/>
      <c r="S775" s="127"/>
      <c r="T775" s="122">
        <v>2</v>
      </c>
      <c r="U775" s="123" t="s">
        <v>811</v>
      </c>
      <c r="V775" s="123" t="s">
        <v>813</v>
      </c>
    </row>
    <row r="776" spans="1:22">
      <c r="A776" s="119" t="s">
        <v>645</v>
      </c>
      <c r="B776" s="119" t="s">
        <v>46</v>
      </c>
      <c r="C776" s="125" t="s">
        <v>700</v>
      </c>
      <c r="D776" s="120">
        <v>2021</v>
      </c>
      <c r="E776" s="120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>
        <f t="shared" si="48"/>
        <v>0</v>
      </c>
      <c r="P776" s="121"/>
      <c r="Q776" s="121"/>
      <c r="R776" s="121"/>
      <c r="S776" s="127"/>
      <c r="U776" s="123" t="s">
        <v>811</v>
      </c>
      <c r="V776" s="123" t="s">
        <v>813</v>
      </c>
    </row>
    <row r="777" spans="1:22">
      <c r="A777" s="119" t="s">
        <v>645</v>
      </c>
      <c r="B777" s="119" t="s">
        <v>46</v>
      </c>
      <c r="C777" s="120" t="s">
        <v>596</v>
      </c>
      <c r="D777" s="120">
        <v>2021</v>
      </c>
      <c r="E777" s="120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>
        <f t="shared" si="48"/>
        <v>0</v>
      </c>
      <c r="P777" s="121"/>
      <c r="Q777" s="121"/>
      <c r="R777" s="121"/>
      <c r="S777" s="127"/>
      <c r="T777" s="122">
        <v>3</v>
      </c>
      <c r="U777" s="123" t="s">
        <v>811</v>
      </c>
      <c r="V777" s="123" t="s">
        <v>813</v>
      </c>
    </row>
    <row r="778" spans="1:22">
      <c r="A778" s="119" t="s">
        <v>645</v>
      </c>
      <c r="B778" s="119" t="s">
        <v>46</v>
      </c>
      <c r="C778" s="120" t="s">
        <v>597</v>
      </c>
      <c r="D778" s="120">
        <v>2021</v>
      </c>
      <c r="E778" s="120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>
        <f t="shared" si="48"/>
        <v>0</v>
      </c>
      <c r="P778" s="121"/>
      <c r="Q778" s="121"/>
      <c r="R778" s="121"/>
      <c r="S778" s="127"/>
      <c r="T778" s="122">
        <v>4</v>
      </c>
      <c r="U778" s="123" t="s">
        <v>811</v>
      </c>
      <c r="V778" s="123" t="s">
        <v>813</v>
      </c>
    </row>
    <row r="779" spans="1:22">
      <c r="A779" s="119" t="s">
        <v>645</v>
      </c>
      <c r="B779" s="119" t="s">
        <v>46</v>
      </c>
      <c r="C779" s="120" t="s">
        <v>600</v>
      </c>
      <c r="D779" s="120">
        <v>2021</v>
      </c>
      <c r="E779" s="120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>
        <f t="shared" si="48"/>
        <v>0</v>
      </c>
      <c r="P779" s="121"/>
      <c r="Q779" s="121"/>
      <c r="R779" s="121"/>
      <c r="S779" s="127"/>
      <c r="T779" s="122">
        <v>5</v>
      </c>
      <c r="U779" s="123" t="s">
        <v>811</v>
      </c>
      <c r="V779" s="123" t="s">
        <v>813</v>
      </c>
    </row>
    <row r="780" spans="1:22">
      <c r="A780" s="119" t="s">
        <v>504</v>
      </c>
      <c r="B780" s="119" t="s">
        <v>47</v>
      </c>
      <c r="C780" s="120" t="s">
        <v>594</v>
      </c>
      <c r="D780" s="120">
        <v>2021</v>
      </c>
      <c r="E780" s="120"/>
      <c r="F780" s="121"/>
      <c r="G780" s="121"/>
      <c r="H780" s="121">
        <f>I780+J780</f>
        <v>141.62214</v>
      </c>
      <c r="I780" s="121">
        <f>266*0.055</f>
        <v>14.63</v>
      </c>
      <c r="J780" s="121">
        <f>2308.948*0.055</f>
        <v>126.99213999999999</v>
      </c>
      <c r="K780" s="121"/>
      <c r="L780" s="121"/>
      <c r="M780" s="121"/>
      <c r="N780" s="121"/>
      <c r="O780" s="121">
        <f t="shared" si="48"/>
        <v>141.62214</v>
      </c>
      <c r="P780" s="121">
        <f>2574.948*0.055</f>
        <v>141.62214</v>
      </c>
      <c r="Q780" s="121"/>
      <c r="R780" s="121"/>
      <c r="T780" s="122">
        <v>1</v>
      </c>
      <c r="U780" s="123" t="s">
        <v>806</v>
      </c>
      <c r="V780" s="123" t="s">
        <v>816</v>
      </c>
    </row>
    <row r="781" spans="1:22">
      <c r="A781" s="119" t="s">
        <v>504</v>
      </c>
      <c r="B781" s="119" t="s">
        <v>47</v>
      </c>
      <c r="C781" s="120" t="s">
        <v>595</v>
      </c>
      <c r="D781" s="120">
        <v>2021</v>
      </c>
      <c r="E781" s="120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>
        <f t="shared" si="48"/>
        <v>0</v>
      </c>
      <c r="P781" s="121"/>
      <c r="Q781" s="121"/>
      <c r="R781" s="121"/>
      <c r="T781" s="122">
        <v>2</v>
      </c>
      <c r="U781" s="123" t="s">
        <v>806</v>
      </c>
      <c r="V781" s="123" t="s">
        <v>816</v>
      </c>
    </row>
    <row r="782" spans="1:22">
      <c r="A782" s="119" t="s">
        <v>504</v>
      </c>
      <c r="B782" s="119" t="s">
        <v>47</v>
      </c>
      <c r="C782" s="120" t="s">
        <v>700</v>
      </c>
      <c r="D782" s="120">
        <v>2021</v>
      </c>
      <c r="E782" s="120"/>
      <c r="F782" s="121">
        <f>87.5*0.11</f>
        <v>9.625</v>
      </c>
      <c r="G782" s="121"/>
      <c r="H782" s="121"/>
      <c r="I782" s="121"/>
      <c r="J782" s="121"/>
      <c r="K782" s="121"/>
      <c r="L782" s="121"/>
      <c r="M782" s="121"/>
      <c r="N782" s="121"/>
      <c r="O782" s="121">
        <f t="shared" si="48"/>
        <v>9.625</v>
      </c>
      <c r="P782" s="121">
        <f>87.5*0.11</f>
        <v>9.625</v>
      </c>
      <c r="Q782" s="121"/>
      <c r="R782" s="121"/>
      <c r="U782" s="123" t="s">
        <v>806</v>
      </c>
      <c r="V782" s="123" t="s">
        <v>816</v>
      </c>
    </row>
    <row r="783" spans="1:22">
      <c r="A783" s="119" t="s">
        <v>504</v>
      </c>
      <c r="B783" s="119" t="s">
        <v>47</v>
      </c>
      <c r="C783" s="120" t="s">
        <v>596</v>
      </c>
      <c r="D783" s="120">
        <v>2021</v>
      </c>
      <c r="E783" s="120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>
        <f t="shared" si="48"/>
        <v>0</v>
      </c>
      <c r="P783" s="121"/>
      <c r="Q783" s="121"/>
      <c r="R783" s="121"/>
      <c r="T783" s="122">
        <v>3</v>
      </c>
      <c r="U783" s="123" t="s">
        <v>806</v>
      </c>
      <c r="V783" s="123" t="s">
        <v>816</v>
      </c>
    </row>
    <row r="784" spans="1:22">
      <c r="A784" s="119" t="s">
        <v>504</v>
      </c>
      <c r="B784" s="119" t="s">
        <v>47</v>
      </c>
      <c r="C784" s="120" t="s">
        <v>597</v>
      </c>
      <c r="D784" s="120">
        <v>2021</v>
      </c>
      <c r="E784" s="120"/>
      <c r="F784" s="121"/>
      <c r="G784" s="121"/>
      <c r="H784" s="121">
        <f>I784+J784</f>
        <v>0.16344</v>
      </c>
      <c r="I784" s="121"/>
      <c r="J784" s="121">
        <f>8.172*0.02</f>
        <v>0.16344</v>
      </c>
      <c r="K784" s="121"/>
      <c r="L784" s="121"/>
      <c r="M784" s="121"/>
      <c r="N784" s="121"/>
      <c r="O784" s="121">
        <f t="shared" si="48"/>
        <v>0.16344</v>
      </c>
      <c r="P784" s="121">
        <f>8.172*0.02</f>
        <v>0.16344</v>
      </c>
      <c r="Q784" s="121"/>
      <c r="R784" s="121"/>
      <c r="T784" s="122">
        <v>4</v>
      </c>
      <c r="U784" s="123" t="s">
        <v>806</v>
      </c>
      <c r="V784" s="123" t="s">
        <v>816</v>
      </c>
    </row>
    <row r="785" spans="1:22">
      <c r="A785" s="119" t="s">
        <v>504</v>
      </c>
      <c r="B785" s="119" t="s">
        <v>47</v>
      </c>
      <c r="C785" s="120" t="s">
        <v>600</v>
      </c>
      <c r="D785" s="120">
        <v>2021</v>
      </c>
      <c r="E785" s="120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>
        <f t="shared" si="48"/>
        <v>0</v>
      </c>
      <c r="P785" s="121"/>
      <c r="Q785" s="121"/>
      <c r="R785" s="121"/>
      <c r="T785" s="122">
        <v>5</v>
      </c>
      <c r="U785" s="123" t="s">
        <v>806</v>
      </c>
      <c r="V785" s="123" t="s">
        <v>816</v>
      </c>
    </row>
    <row r="786" spans="1:22">
      <c r="A786" s="119" t="s">
        <v>504</v>
      </c>
      <c r="B786" s="119" t="s">
        <v>47</v>
      </c>
      <c r="C786" s="125" t="s">
        <v>643</v>
      </c>
      <c r="D786" s="120">
        <v>2021</v>
      </c>
      <c r="E786" s="120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>
        <f>K786</f>
        <v>0</v>
      </c>
      <c r="P786" s="121"/>
      <c r="Q786" s="121"/>
      <c r="R786" s="121"/>
      <c r="U786" s="123" t="s">
        <v>806</v>
      </c>
      <c r="V786" s="123" t="s">
        <v>816</v>
      </c>
    </row>
    <row r="787" spans="1:22">
      <c r="A787" s="119" t="s">
        <v>571</v>
      </c>
      <c r="B787" s="119" t="s">
        <v>48</v>
      </c>
      <c r="C787" s="120" t="s">
        <v>594</v>
      </c>
      <c r="D787" s="120">
        <v>2021</v>
      </c>
      <c r="E787" s="120"/>
      <c r="F787" s="121"/>
      <c r="G787" s="121"/>
      <c r="H787" s="121">
        <f>I787+J787</f>
        <v>98.069949999999992</v>
      </c>
      <c r="I787" s="121">
        <f>7.85*0.055</f>
        <v>0.43174999999999997</v>
      </c>
      <c r="J787" s="121">
        <f>1775.24*0.055</f>
        <v>97.638199999999998</v>
      </c>
      <c r="K787" s="121"/>
      <c r="L787" s="121"/>
      <c r="M787" s="121"/>
      <c r="N787" s="121"/>
      <c r="O787" s="121">
        <f t="shared" si="48"/>
        <v>98.069949999999992</v>
      </c>
      <c r="P787" s="121">
        <f>1783.09*0.055</f>
        <v>98.069949999999992</v>
      </c>
      <c r="Q787" s="121"/>
      <c r="R787" s="121"/>
      <c r="T787" s="122">
        <v>1</v>
      </c>
      <c r="U787" s="123" t="s">
        <v>806</v>
      </c>
      <c r="V787" s="123" t="s">
        <v>814</v>
      </c>
    </row>
    <row r="788" spans="1:22">
      <c r="A788" s="119" t="s">
        <v>571</v>
      </c>
      <c r="B788" s="119" t="s">
        <v>48</v>
      </c>
      <c r="C788" s="120" t="s">
        <v>595</v>
      </c>
      <c r="D788" s="120">
        <v>2021</v>
      </c>
      <c r="E788" s="120"/>
      <c r="F788" s="121"/>
      <c r="G788" s="121"/>
      <c r="H788" s="121">
        <f>I788+J788</f>
        <v>0.51039999999999996</v>
      </c>
      <c r="I788" s="121"/>
      <c r="J788" s="121">
        <f>4.64*0.11</f>
        <v>0.51039999999999996</v>
      </c>
      <c r="K788" s="121"/>
      <c r="L788" s="121"/>
      <c r="M788" s="121"/>
      <c r="N788" s="121"/>
      <c r="O788" s="121">
        <f t="shared" si="48"/>
        <v>0.51039999999999996</v>
      </c>
      <c r="P788" s="121">
        <f>4.64*0.11</f>
        <v>0.51039999999999996</v>
      </c>
      <c r="Q788" s="121"/>
      <c r="R788" s="121"/>
      <c r="T788" s="122">
        <v>2</v>
      </c>
      <c r="U788" s="123" t="s">
        <v>806</v>
      </c>
      <c r="V788" s="123" t="s">
        <v>814</v>
      </c>
    </row>
    <row r="789" spans="1:22">
      <c r="A789" s="119" t="s">
        <v>571</v>
      </c>
      <c r="B789" s="119" t="s">
        <v>48</v>
      </c>
      <c r="C789" s="125" t="s">
        <v>700</v>
      </c>
      <c r="D789" s="120">
        <v>2021</v>
      </c>
      <c r="E789" s="120"/>
      <c r="F789" s="121">
        <f>73.36*0.11</f>
        <v>8.0695999999999994</v>
      </c>
      <c r="G789" s="121"/>
      <c r="H789" s="121"/>
      <c r="I789" s="121"/>
      <c r="J789" s="121"/>
      <c r="K789" s="121"/>
      <c r="L789" s="121"/>
      <c r="M789" s="121"/>
      <c r="N789" s="121"/>
      <c r="O789" s="121">
        <f t="shared" si="48"/>
        <v>8.0695999999999994</v>
      </c>
      <c r="P789" s="121">
        <f>73.36*0.11</f>
        <v>8.0695999999999994</v>
      </c>
      <c r="Q789" s="121"/>
      <c r="R789" s="121"/>
      <c r="U789" s="123" t="s">
        <v>806</v>
      </c>
      <c r="V789" s="123" t="s">
        <v>814</v>
      </c>
    </row>
    <row r="790" spans="1:22">
      <c r="A790" s="119" t="s">
        <v>571</v>
      </c>
      <c r="B790" s="119" t="s">
        <v>48</v>
      </c>
      <c r="C790" s="120" t="s">
        <v>596</v>
      </c>
      <c r="D790" s="120">
        <v>2021</v>
      </c>
      <c r="E790" s="120"/>
      <c r="F790" s="121"/>
      <c r="G790" s="121"/>
      <c r="H790" s="121">
        <f>I790+J790</f>
        <v>0.22425000000000003</v>
      </c>
      <c r="I790" s="121"/>
      <c r="J790" s="121">
        <f>3.45*0.065</f>
        <v>0.22425000000000003</v>
      </c>
      <c r="K790" s="121"/>
      <c r="L790" s="121"/>
      <c r="M790" s="121"/>
      <c r="N790" s="121"/>
      <c r="O790" s="121">
        <f t="shared" si="48"/>
        <v>0.22425000000000003</v>
      </c>
      <c r="P790" s="121">
        <f>3.45*0.065</f>
        <v>0.22425000000000003</v>
      </c>
      <c r="Q790" s="121"/>
      <c r="R790" s="121"/>
      <c r="T790" s="122">
        <v>3</v>
      </c>
      <c r="U790" s="123" t="s">
        <v>806</v>
      </c>
      <c r="V790" s="123" t="s">
        <v>814</v>
      </c>
    </row>
    <row r="791" spans="1:22">
      <c r="A791" s="119" t="s">
        <v>571</v>
      </c>
      <c r="B791" s="119" t="s">
        <v>48</v>
      </c>
      <c r="C791" s="120" t="s">
        <v>597</v>
      </c>
      <c r="D791" s="120">
        <v>2021</v>
      </c>
      <c r="E791" s="120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>
        <f t="shared" si="48"/>
        <v>0</v>
      </c>
      <c r="P791" s="121"/>
      <c r="Q791" s="121"/>
      <c r="R791" s="121"/>
      <c r="T791" s="122">
        <v>4</v>
      </c>
      <c r="U791" s="123" t="s">
        <v>806</v>
      </c>
      <c r="V791" s="123" t="s">
        <v>814</v>
      </c>
    </row>
    <row r="792" spans="1:22">
      <c r="A792" s="119" t="s">
        <v>571</v>
      </c>
      <c r="B792" s="119" t="s">
        <v>48</v>
      </c>
      <c r="C792" s="120" t="s">
        <v>600</v>
      </c>
      <c r="D792" s="120">
        <v>2021</v>
      </c>
      <c r="E792" s="120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>
        <f t="shared" si="48"/>
        <v>0</v>
      </c>
      <c r="P792" s="121"/>
      <c r="Q792" s="121"/>
      <c r="R792" s="121"/>
      <c r="T792" s="122">
        <v>5</v>
      </c>
      <c r="U792" s="123" t="s">
        <v>806</v>
      </c>
      <c r="V792" s="123" t="s">
        <v>814</v>
      </c>
    </row>
    <row r="793" spans="1:22">
      <c r="A793" s="119" t="s">
        <v>572</v>
      </c>
      <c r="B793" s="119" t="s">
        <v>49</v>
      </c>
      <c r="C793" s="120" t="s">
        <v>594</v>
      </c>
      <c r="D793" s="120">
        <v>2021</v>
      </c>
      <c r="E793" s="120"/>
      <c r="F793" s="121"/>
      <c r="G793" s="121"/>
      <c r="H793" s="121">
        <f>I793+J793</f>
        <v>2.1945000000000001</v>
      </c>
      <c r="I793" s="121"/>
      <c r="J793" s="121">
        <f>39.9*0.055</f>
        <v>2.1945000000000001</v>
      </c>
      <c r="K793" s="121"/>
      <c r="L793" s="121"/>
      <c r="M793" s="121"/>
      <c r="N793" s="121"/>
      <c r="O793" s="121">
        <f t="shared" si="48"/>
        <v>2.1945000000000001</v>
      </c>
      <c r="P793" s="121">
        <f>39.9*0.055</f>
        <v>2.1945000000000001</v>
      </c>
      <c r="Q793" s="121"/>
      <c r="R793" s="121"/>
      <c r="T793" s="122">
        <v>1</v>
      </c>
      <c r="U793" s="123" t="s">
        <v>809</v>
      </c>
      <c r="V793" s="123" t="s">
        <v>815</v>
      </c>
    </row>
    <row r="794" spans="1:22">
      <c r="A794" s="119" t="s">
        <v>572</v>
      </c>
      <c r="B794" s="119" t="s">
        <v>49</v>
      </c>
      <c r="C794" s="120" t="s">
        <v>595</v>
      </c>
      <c r="D794" s="120">
        <v>2021</v>
      </c>
      <c r="E794" s="120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>
        <f t="shared" si="48"/>
        <v>0</v>
      </c>
      <c r="P794" s="121"/>
      <c r="Q794" s="121"/>
      <c r="R794" s="121"/>
      <c r="T794" s="122">
        <v>2</v>
      </c>
      <c r="U794" s="123" t="s">
        <v>809</v>
      </c>
      <c r="V794" s="123" t="s">
        <v>815</v>
      </c>
    </row>
    <row r="795" spans="1:22">
      <c r="A795" s="119" t="s">
        <v>572</v>
      </c>
      <c r="B795" s="119" t="s">
        <v>49</v>
      </c>
      <c r="C795" s="120" t="s">
        <v>596</v>
      </c>
      <c r="D795" s="120">
        <v>2021</v>
      </c>
      <c r="E795" s="120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>
        <f t="shared" si="48"/>
        <v>0</v>
      </c>
      <c r="P795" s="121"/>
      <c r="Q795" s="121"/>
      <c r="R795" s="121"/>
      <c r="T795" s="122">
        <v>3</v>
      </c>
      <c r="U795" s="123" t="s">
        <v>809</v>
      </c>
      <c r="V795" s="123" t="s">
        <v>815</v>
      </c>
    </row>
    <row r="796" spans="1:22">
      <c r="A796" s="119" t="s">
        <v>572</v>
      </c>
      <c r="B796" s="119" t="s">
        <v>49</v>
      </c>
      <c r="C796" s="120" t="s">
        <v>597</v>
      </c>
      <c r="D796" s="120">
        <v>2021</v>
      </c>
      <c r="E796" s="120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>
        <f t="shared" si="48"/>
        <v>0</v>
      </c>
      <c r="P796" s="121"/>
      <c r="Q796" s="121"/>
      <c r="R796" s="121"/>
      <c r="T796" s="122">
        <v>4</v>
      </c>
      <c r="U796" s="123" t="s">
        <v>809</v>
      </c>
      <c r="V796" s="123" t="s">
        <v>815</v>
      </c>
    </row>
    <row r="797" spans="1:22">
      <c r="A797" s="119" t="s">
        <v>572</v>
      </c>
      <c r="B797" s="119" t="s">
        <v>49</v>
      </c>
      <c r="C797" s="120" t="s">
        <v>600</v>
      </c>
      <c r="D797" s="120">
        <v>2021</v>
      </c>
      <c r="E797" s="120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>
        <f t="shared" si="48"/>
        <v>0</v>
      </c>
      <c r="P797" s="121"/>
      <c r="Q797" s="121"/>
      <c r="R797" s="121"/>
      <c r="T797" s="122">
        <v>5</v>
      </c>
      <c r="U797" s="123" t="s">
        <v>809</v>
      </c>
      <c r="V797" s="123" t="s">
        <v>815</v>
      </c>
    </row>
    <row r="798" spans="1:22">
      <c r="A798" s="119" t="s">
        <v>573</v>
      </c>
      <c r="B798" s="119" t="s">
        <v>50</v>
      </c>
      <c r="C798" s="120" t="s">
        <v>594</v>
      </c>
      <c r="D798" s="120">
        <v>2021</v>
      </c>
      <c r="E798" s="120"/>
      <c r="F798" s="121"/>
      <c r="G798" s="121"/>
      <c r="H798" s="121">
        <f>I798+J798</f>
        <v>4.1010749999999998</v>
      </c>
      <c r="I798" s="121"/>
      <c r="J798" s="121">
        <f>74.565*0.055</f>
        <v>4.1010749999999998</v>
      </c>
      <c r="K798" s="121"/>
      <c r="L798" s="121"/>
      <c r="M798" s="121"/>
      <c r="N798" s="121"/>
      <c r="O798" s="121">
        <f t="shared" ref="O798:O803" si="49">F798+H798+K798</f>
        <v>4.1010749999999998</v>
      </c>
      <c r="P798" s="121"/>
      <c r="Q798" s="121"/>
      <c r="R798" s="121"/>
      <c r="T798" s="122">
        <v>1</v>
      </c>
      <c r="U798" s="123" t="s">
        <v>809</v>
      </c>
      <c r="V798" s="123" t="s">
        <v>815</v>
      </c>
    </row>
    <row r="799" spans="1:22">
      <c r="A799" s="119" t="s">
        <v>573</v>
      </c>
      <c r="B799" s="119" t="s">
        <v>50</v>
      </c>
      <c r="C799" s="120" t="s">
        <v>595</v>
      </c>
      <c r="D799" s="120">
        <v>2021</v>
      </c>
      <c r="E799" s="120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>
        <f t="shared" si="49"/>
        <v>0</v>
      </c>
      <c r="P799" s="121"/>
      <c r="Q799" s="121"/>
      <c r="R799" s="121"/>
      <c r="T799" s="122">
        <v>2</v>
      </c>
      <c r="U799" s="123" t="s">
        <v>809</v>
      </c>
      <c r="V799" s="123" t="s">
        <v>815</v>
      </c>
    </row>
    <row r="800" spans="1:22">
      <c r="A800" s="119" t="s">
        <v>573</v>
      </c>
      <c r="B800" s="119" t="s">
        <v>50</v>
      </c>
      <c r="C800" s="125" t="s">
        <v>700</v>
      </c>
      <c r="D800" s="120">
        <v>2021</v>
      </c>
      <c r="E800" s="120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>
        <f t="shared" si="49"/>
        <v>0</v>
      </c>
      <c r="P800" s="121"/>
      <c r="Q800" s="121"/>
      <c r="R800" s="121"/>
      <c r="U800" s="123" t="s">
        <v>809</v>
      </c>
      <c r="V800" s="123" t="s">
        <v>815</v>
      </c>
    </row>
    <row r="801" spans="1:22">
      <c r="A801" s="119" t="s">
        <v>573</v>
      </c>
      <c r="B801" s="119" t="s">
        <v>50</v>
      </c>
      <c r="C801" s="120" t="s">
        <v>596</v>
      </c>
      <c r="D801" s="120">
        <v>2021</v>
      </c>
      <c r="E801" s="120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>
        <f t="shared" si="49"/>
        <v>0</v>
      </c>
      <c r="P801" s="121"/>
      <c r="Q801" s="121"/>
      <c r="R801" s="121"/>
      <c r="T801" s="122">
        <v>3</v>
      </c>
      <c r="U801" s="123" t="s">
        <v>809</v>
      </c>
      <c r="V801" s="123" t="s">
        <v>815</v>
      </c>
    </row>
    <row r="802" spans="1:22">
      <c r="A802" s="119" t="s">
        <v>573</v>
      </c>
      <c r="B802" s="119" t="s">
        <v>50</v>
      </c>
      <c r="C802" s="120" t="s">
        <v>597</v>
      </c>
      <c r="D802" s="120">
        <v>2021</v>
      </c>
      <c r="E802" s="120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>
        <f t="shared" si="49"/>
        <v>0</v>
      </c>
      <c r="P802" s="121"/>
      <c r="Q802" s="121"/>
      <c r="R802" s="121"/>
      <c r="T802" s="122">
        <v>4</v>
      </c>
      <c r="U802" s="123" t="s">
        <v>809</v>
      </c>
      <c r="V802" s="123" t="s">
        <v>815</v>
      </c>
    </row>
    <row r="803" spans="1:22">
      <c r="A803" s="119" t="s">
        <v>573</v>
      </c>
      <c r="B803" s="119" t="s">
        <v>50</v>
      </c>
      <c r="C803" s="120" t="s">
        <v>600</v>
      </c>
      <c r="D803" s="120">
        <v>2021</v>
      </c>
      <c r="E803" s="120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>
        <f t="shared" si="49"/>
        <v>0</v>
      </c>
      <c r="P803" s="121"/>
      <c r="Q803" s="121"/>
      <c r="R803" s="121"/>
      <c r="T803" s="122">
        <v>5</v>
      </c>
      <c r="U803" s="123" t="s">
        <v>809</v>
      </c>
      <c r="V803" s="123" t="s">
        <v>815</v>
      </c>
    </row>
  </sheetData>
  <phoneticPr fontId="6" type="noConversion"/>
  <pageMargins left="0.27559055118110237" right="0.23622047244094491" top="0.78740157480314965" bottom="0.47244094488188981" header="0.51181102362204722" footer="0.19685039370078741"/>
  <pageSetup scale="80" orientation="portrait" r:id="rId1"/>
  <headerFooter alignWithMargins="0">
    <oddHeader xml:space="preserve">&amp;C&amp;UHCFC DATA&amp;U
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E1044"/>
  <sheetViews>
    <sheetView tabSelected="1" zoomScaleNormal="100" workbookViewId="0">
      <selection activeCell="E24" sqref="E24"/>
    </sheetView>
  </sheetViews>
  <sheetFormatPr defaultColWidth="9.33203125" defaultRowHeight="13.2"/>
  <cols>
    <col min="1" max="1" width="23.5546875" style="43" customWidth="1"/>
    <col min="2" max="2" width="15.88671875" style="43" customWidth="1"/>
    <col min="3" max="13" width="6.109375" style="72" customWidth="1"/>
    <col min="14" max="16" width="6.109375" style="73" customWidth="1"/>
    <col min="17" max="17" width="7.21875" style="73" customWidth="1"/>
    <col min="18" max="19" width="7.21875" style="50" customWidth="1"/>
    <col min="20" max="27" width="7.21875" style="66" customWidth="1"/>
    <col min="28" max="28" width="9" style="66" customWidth="1"/>
    <col min="29" max="30" width="9.21875" style="66" customWidth="1"/>
    <col min="31" max="31" width="9.33203125" style="74"/>
    <col min="32" max="16384" width="9.33203125" style="43"/>
  </cols>
  <sheetData>
    <row r="1" spans="1:31" s="36" customFormat="1" ht="62.4" customHeight="1">
      <c r="A1" s="36" t="s">
        <v>757</v>
      </c>
      <c r="B1" s="36" t="s">
        <v>761</v>
      </c>
      <c r="C1" s="49" t="s">
        <v>505</v>
      </c>
      <c r="D1" s="49" t="s">
        <v>506</v>
      </c>
      <c r="E1" s="49" t="s">
        <v>758</v>
      </c>
      <c r="F1" s="49" t="s">
        <v>759</v>
      </c>
      <c r="G1" s="49" t="s">
        <v>684</v>
      </c>
      <c r="H1" s="49" t="s">
        <v>235</v>
      </c>
      <c r="I1" s="49" t="s">
        <v>760</v>
      </c>
      <c r="J1" s="49" t="s">
        <v>766</v>
      </c>
      <c r="K1" s="49" t="s">
        <v>507</v>
      </c>
      <c r="L1" s="49" t="s">
        <v>641</v>
      </c>
      <c r="M1" s="49" t="s">
        <v>23</v>
      </c>
      <c r="N1" s="70" t="s">
        <v>303</v>
      </c>
      <c r="O1" s="70" t="s">
        <v>60</v>
      </c>
      <c r="P1" s="70" t="s">
        <v>67</v>
      </c>
      <c r="Q1" s="49" t="s">
        <v>369</v>
      </c>
      <c r="R1" s="70" t="s">
        <v>798</v>
      </c>
      <c r="S1" s="70" t="s">
        <v>799</v>
      </c>
      <c r="T1" s="70" t="s">
        <v>800</v>
      </c>
      <c r="U1" s="70" t="s">
        <v>819</v>
      </c>
      <c r="V1" s="70" t="s">
        <v>820</v>
      </c>
      <c r="W1" s="70" t="s">
        <v>830</v>
      </c>
      <c r="X1" s="70" t="s">
        <v>838</v>
      </c>
      <c r="Y1" s="70" t="s">
        <v>840</v>
      </c>
      <c r="Z1" s="70" t="s">
        <v>845</v>
      </c>
      <c r="AA1" s="70" t="s">
        <v>848</v>
      </c>
      <c r="AB1" s="70" t="s">
        <v>933</v>
      </c>
      <c r="AC1" s="70" t="s">
        <v>996</v>
      </c>
      <c r="AD1" s="70" t="s">
        <v>1092</v>
      </c>
      <c r="AE1" s="71"/>
    </row>
    <row r="2" spans="1:31">
      <c r="A2" s="43" t="s">
        <v>510</v>
      </c>
      <c r="B2" s="43" t="s">
        <v>752</v>
      </c>
      <c r="N2" s="73">
        <v>94.5</v>
      </c>
      <c r="O2" s="73">
        <v>55.18</v>
      </c>
      <c r="P2" s="73">
        <v>40</v>
      </c>
      <c r="Q2" s="73">
        <v>27</v>
      </c>
      <c r="R2" s="50">
        <v>0</v>
      </c>
      <c r="S2" s="50">
        <v>0</v>
      </c>
      <c r="T2" s="66" t="s">
        <v>685</v>
      </c>
      <c r="U2" s="66" t="s">
        <v>685</v>
      </c>
      <c r="V2" s="66" t="s">
        <v>685</v>
      </c>
      <c r="W2" s="66" t="s">
        <v>685</v>
      </c>
      <c r="X2" s="66" t="s">
        <v>685</v>
      </c>
      <c r="Y2" s="66" t="s">
        <v>685</v>
      </c>
      <c r="Z2" s="66" t="s">
        <v>685</v>
      </c>
      <c r="AA2" s="66">
        <v>0</v>
      </c>
      <c r="AB2" s="66">
        <v>0</v>
      </c>
      <c r="AC2" s="66">
        <v>0</v>
      </c>
    </row>
    <row r="3" spans="1:31">
      <c r="A3" s="75" t="s">
        <v>510</v>
      </c>
      <c r="B3" s="75" t="s">
        <v>663</v>
      </c>
      <c r="N3" s="73">
        <v>0.121</v>
      </c>
      <c r="O3" s="73">
        <v>0</v>
      </c>
      <c r="P3" s="73">
        <v>0</v>
      </c>
      <c r="Q3" s="73">
        <v>0</v>
      </c>
      <c r="R3" s="50">
        <v>0</v>
      </c>
      <c r="S3" s="50">
        <v>0</v>
      </c>
      <c r="T3" s="66" t="s">
        <v>685</v>
      </c>
      <c r="U3" s="66" t="s">
        <v>685</v>
      </c>
      <c r="V3" s="66" t="s">
        <v>685</v>
      </c>
      <c r="W3" s="66" t="s">
        <v>685</v>
      </c>
      <c r="X3" s="66" t="s">
        <v>685</v>
      </c>
      <c r="Y3" s="66" t="s">
        <v>685</v>
      </c>
      <c r="Z3" s="66" t="s">
        <v>685</v>
      </c>
      <c r="AA3" s="66">
        <v>0</v>
      </c>
      <c r="AB3" s="66">
        <v>0</v>
      </c>
      <c r="AC3" s="66">
        <v>0</v>
      </c>
    </row>
    <row r="4" spans="1:31">
      <c r="A4" s="43" t="s">
        <v>510</v>
      </c>
      <c r="B4" s="43" t="s">
        <v>243</v>
      </c>
      <c r="N4" s="73">
        <v>0</v>
      </c>
      <c r="O4" s="73">
        <v>0</v>
      </c>
      <c r="P4" s="73">
        <v>0</v>
      </c>
      <c r="Q4" s="73">
        <v>0</v>
      </c>
      <c r="R4" s="50">
        <v>0</v>
      </c>
      <c r="S4" s="50">
        <v>0</v>
      </c>
      <c r="T4" s="66" t="s">
        <v>685</v>
      </c>
      <c r="U4" s="66" t="s">
        <v>685</v>
      </c>
      <c r="V4" s="66" t="s">
        <v>685</v>
      </c>
      <c r="W4" s="66" t="s">
        <v>685</v>
      </c>
      <c r="X4" s="66" t="s">
        <v>685</v>
      </c>
      <c r="Y4" s="66" t="s">
        <v>685</v>
      </c>
      <c r="Z4" s="66" t="s">
        <v>685</v>
      </c>
      <c r="AA4" s="66">
        <v>0</v>
      </c>
      <c r="AB4" s="66">
        <v>0</v>
      </c>
      <c r="AC4" s="66">
        <v>0</v>
      </c>
    </row>
    <row r="5" spans="1:31">
      <c r="A5" s="43" t="s">
        <v>510</v>
      </c>
      <c r="B5" s="43" t="s">
        <v>95</v>
      </c>
      <c r="N5" s="73">
        <v>4.8125</v>
      </c>
      <c r="O5" s="73">
        <v>6.05</v>
      </c>
      <c r="P5" s="73">
        <v>7.8650000000000002</v>
      </c>
      <c r="Q5" s="73">
        <f>403.5*0.055</f>
        <v>22.192499999999999</v>
      </c>
      <c r="R5" s="50">
        <f>440*0.055</f>
        <v>24.2</v>
      </c>
      <c r="S5" s="50">
        <f>437.06*0.055</f>
        <v>24.0383</v>
      </c>
      <c r="T5" s="66">
        <f>315.22*0.055</f>
        <v>17.337100000000003</v>
      </c>
      <c r="U5" s="66">
        <f>321.8*0.055</f>
        <v>17.699000000000002</v>
      </c>
      <c r="V5" s="66">
        <f>372*0.055</f>
        <v>20.46</v>
      </c>
      <c r="W5" s="66">
        <f>368*0.055</f>
        <v>20.239999999999998</v>
      </c>
      <c r="X5" s="66">
        <f>364*0.055</f>
        <v>20.02</v>
      </c>
      <c r="Y5" s="66">
        <f>337*0.055</f>
        <v>18.535</v>
      </c>
      <c r="Z5" s="66">
        <f>328*0.055</f>
        <v>18.04</v>
      </c>
      <c r="AA5" s="66">
        <f>323*0.055</f>
        <v>17.765000000000001</v>
      </c>
      <c r="AB5" s="66">
        <f>110*0.055</f>
        <v>6.05</v>
      </c>
      <c r="AC5" s="66">
        <f>60*0.055</f>
        <v>3.3</v>
      </c>
    </row>
    <row r="6" spans="1:31">
      <c r="A6" s="43" t="s">
        <v>510</v>
      </c>
      <c r="B6" s="43" t="s">
        <v>825</v>
      </c>
      <c r="Q6" s="73">
        <v>0</v>
      </c>
      <c r="R6" s="50">
        <v>0</v>
      </c>
      <c r="S6" s="50">
        <v>0</v>
      </c>
      <c r="T6" s="66">
        <v>0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6">
        <v>0</v>
      </c>
      <c r="AA6" s="66">
        <v>0</v>
      </c>
      <c r="AB6" s="66">
        <v>0</v>
      </c>
      <c r="AC6" s="66">
        <v>0</v>
      </c>
    </row>
    <row r="7" spans="1:31">
      <c r="A7" s="43" t="s">
        <v>510</v>
      </c>
      <c r="B7" s="43" t="s">
        <v>574</v>
      </c>
      <c r="N7" s="73">
        <v>0</v>
      </c>
      <c r="O7" s="73">
        <v>0</v>
      </c>
      <c r="P7" s="73">
        <v>0</v>
      </c>
      <c r="Q7" s="73">
        <v>0</v>
      </c>
      <c r="R7" s="50">
        <v>0</v>
      </c>
      <c r="S7" s="50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0</v>
      </c>
      <c r="AB7" s="66">
        <v>0</v>
      </c>
      <c r="AC7" s="66">
        <v>0</v>
      </c>
    </row>
    <row r="8" spans="1:31">
      <c r="A8" s="75" t="s">
        <v>510</v>
      </c>
      <c r="B8" s="75" t="s">
        <v>535</v>
      </c>
      <c r="N8" s="73">
        <v>0</v>
      </c>
      <c r="O8" s="73">
        <v>0</v>
      </c>
      <c r="P8" s="73">
        <v>0</v>
      </c>
      <c r="Q8" s="73">
        <v>0</v>
      </c>
      <c r="R8" s="50">
        <v>0</v>
      </c>
      <c r="S8" s="50">
        <v>0</v>
      </c>
      <c r="T8" s="66">
        <v>0</v>
      </c>
      <c r="U8" s="66">
        <v>0</v>
      </c>
      <c r="V8" s="66">
        <v>0</v>
      </c>
      <c r="W8" s="66">
        <v>0</v>
      </c>
      <c r="X8" s="66">
        <v>0</v>
      </c>
      <c r="Y8" s="66">
        <v>0</v>
      </c>
      <c r="Z8" s="66">
        <v>0</v>
      </c>
      <c r="AA8" s="66">
        <v>0</v>
      </c>
      <c r="AB8" s="66">
        <v>0</v>
      </c>
      <c r="AC8" s="66">
        <v>0</v>
      </c>
    </row>
    <row r="9" spans="1:31">
      <c r="A9" s="43" t="s">
        <v>738</v>
      </c>
      <c r="B9" s="43" t="s">
        <v>752</v>
      </c>
      <c r="L9" s="72">
        <v>36.57</v>
      </c>
      <c r="M9" s="72">
        <v>14.34</v>
      </c>
      <c r="N9" s="73">
        <v>15.19</v>
      </c>
      <c r="O9" s="73">
        <v>4.08</v>
      </c>
      <c r="P9" s="73">
        <v>0</v>
      </c>
      <c r="Q9" s="73">
        <v>0</v>
      </c>
      <c r="R9" s="50">
        <v>0</v>
      </c>
      <c r="S9" s="50">
        <v>0</v>
      </c>
      <c r="T9" s="66" t="s">
        <v>685</v>
      </c>
      <c r="U9" s="66" t="s">
        <v>685</v>
      </c>
      <c r="V9" s="66" t="s">
        <v>685</v>
      </c>
      <c r="W9" s="66" t="s">
        <v>685</v>
      </c>
      <c r="X9" s="66" t="s">
        <v>685</v>
      </c>
      <c r="Y9" s="66" t="s">
        <v>685</v>
      </c>
      <c r="Z9" s="66" t="s">
        <v>685</v>
      </c>
      <c r="AA9" s="66">
        <v>0</v>
      </c>
      <c r="AB9" s="66">
        <v>0</v>
      </c>
      <c r="AC9" s="66">
        <v>0</v>
      </c>
    </row>
    <row r="10" spans="1:31">
      <c r="A10" s="43" t="s">
        <v>738</v>
      </c>
      <c r="B10" s="43" t="s">
        <v>663</v>
      </c>
      <c r="L10" s="72">
        <v>0</v>
      </c>
      <c r="M10" s="72">
        <v>0</v>
      </c>
      <c r="N10" s="73">
        <v>0</v>
      </c>
      <c r="O10" s="73">
        <v>0</v>
      </c>
      <c r="P10" s="73">
        <v>0</v>
      </c>
      <c r="Q10" s="73">
        <v>0</v>
      </c>
      <c r="R10" s="50">
        <v>0</v>
      </c>
      <c r="S10" s="50">
        <v>0</v>
      </c>
      <c r="T10" s="66" t="s">
        <v>685</v>
      </c>
      <c r="U10" s="66" t="s">
        <v>685</v>
      </c>
      <c r="V10" s="66" t="s">
        <v>685</v>
      </c>
      <c r="W10" s="66" t="s">
        <v>685</v>
      </c>
      <c r="X10" s="66" t="s">
        <v>685</v>
      </c>
      <c r="Y10" s="66" t="s">
        <v>685</v>
      </c>
      <c r="Z10" s="66" t="s">
        <v>685</v>
      </c>
      <c r="AA10" s="66">
        <v>0</v>
      </c>
      <c r="AB10" s="66">
        <v>0</v>
      </c>
      <c r="AC10" s="66">
        <v>0</v>
      </c>
    </row>
    <row r="11" spans="1:31">
      <c r="A11" s="43" t="s">
        <v>738</v>
      </c>
      <c r="B11" s="43" t="s">
        <v>243</v>
      </c>
      <c r="L11" s="72">
        <v>0</v>
      </c>
      <c r="M11" s="72">
        <v>0</v>
      </c>
      <c r="N11" s="73">
        <v>0</v>
      </c>
      <c r="O11" s="73">
        <v>0</v>
      </c>
      <c r="P11" s="73">
        <v>0</v>
      </c>
      <c r="Q11" s="73">
        <v>0</v>
      </c>
      <c r="R11" s="50">
        <v>0</v>
      </c>
      <c r="S11" s="50">
        <v>0</v>
      </c>
      <c r="T11" s="66" t="s">
        <v>685</v>
      </c>
      <c r="U11" s="66" t="s">
        <v>685</v>
      </c>
      <c r="V11" s="66" t="s">
        <v>685</v>
      </c>
      <c r="W11" s="66" t="s">
        <v>685</v>
      </c>
      <c r="X11" s="66" t="s">
        <v>685</v>
      </c>
      <c r="Y11" s="66" t="s">
        <v>685</v>
      </c>
      <c r="Z11" s="66" t="s">
        <v>685</v>
      </c>
      <c r="AA11" s="66">
        <v>0</v>
      </c>
      <c r="AB11" s="66">
        <v>0</v>
      </c>
      <c r="AC11" s="66">
        <v>0</v>
      </c>
    </row>
    <row r="12" spans="1:31">
      <c r="A12" s="43" t="s">
        <v>738</v>
      </c>
      <c r="B12" s="43" t="s">
        <v>95</v>
      </c>
      <c r="L12" s="73">
        <v>0</v>
      </c>
      <c r="M12" s="73">
        <v>0</v>
      </c>
      <c r="N12" s="73">
        <v>0</v>
      </c>
      <c r="O12" s="73">
        <v>2.5487000000000002</v>
      </c>
      <c r="P12" s="73">
        <v>4.0975000000000001</v>
      </c>
      <c r="Q12" s="73">
        <v>5.3553500000000005</v>
      </c>
      <c r="R12" s="50">
        <f>(107.1*0.055)+(9.07*0.065)+(1.08*0.022)</f>
        <v>6.5038099999999996</v>
      </c>
      <c r="S12" s="50">
        <f>(102.519*0.055)+(13.12*0.065)</f>
        <v>6.4913450000000008</v>
      </c>
      <c r="T12" s="66">
        <f>119.83*0.055</f>
        <v>6.5906500000000001</v>
      </c>
      <c r="U12" s="66">
        <f>103.116*0.055</f>
        <v>5.6713800000000001</v>
      </c>
      <c r="V12" s="66">
        <f>29.902*0.055</f>
        <v>1.6446100000000001</v>
      </c>
      <c r="W12" s="66">
        <f>46.971*0.055</f>
        <v>2.583405</v>
      </c>
      <c r="X12" s="66">
        <f>67.967*0.055</f>
        <v>3.7381850000000001</v>
      </c>
      <c r="Y12" s="66">
        <f>54.346*0.055</f>
        <v>2.9890299999999996</v>
      </c>
      <c r="Z12" s="66">
        <f>(72.257-1.673)*0.055</f>
        <v>3.88212</v>
      </c>
      <c r="AA12" s="66">
        <f>61.975*0.055</f>
        <v>3.4086250000000002</v>
      </c>
      <c r="AB12" s="66">
        <f>56.3*0.055</f>
        <v>3.0964999999999998</v>
      </c>
      <c r="AC12" s="66">
        <f>36.64*0.055</f>
        <v>2.0152000000000001</v>
      </c>
    </row>
    <row r="13" spans="1:31">
      <c r="A13" s="43" t="s">
        <v>738</v>
      </c>
      <c r="B13" s="43" t="s">
        <v>825</v>
      </c>
      <c r="Q13" s="73">
        <v>0</v>
      </c>
      <c r="R13" s="50">
        <v>0</v>
      </c>
      <c r="S13" s="50">
        <v>0</v>
      </c>
      <c r="T13" s="66">
        <v>0</v>
      </c>
      <c r="U13" s="66">
        <v>0</v>
      </c>
      <c r="V13" s="66">
        <v>0</v>
      </c>
      <c r="W13" s="66">
        <v>0</v>
      </c>
      <c r="X13" s="66">
        <v>0</v>
      </c>
      <c r="Y13" s="66">
        <v>0</v>
      </c>
      <c r="Z13" s="66">
        <v>0</v>
      </c>
      <c r="AA13" s="66">
        <v>0</v>
      </c>
      <c r="AB13" s="66">
        <v>0</v>
      </c>
      <c r="AC13" s="66">
        <v>0</v>
      </c>
    </row>
    <row r="14" spans="1:31">
      <c r="A14" s="43" t="s">
        <v>738</v>
      </c>
      <c r="B14" s="43" t="s">
        <v>574</v>
      </c>
      <c r="L14" s="72">
        <v>0</v>
      </c>
      <c r="M14" s="72">
        <v>0</v>
      </c>
      <c r="N14" s="73">
        <v>0</v>
      </c>
      <c r="O14" s="73">
        <v>0</v>
      </c>
      <c r="P14" s="73">
        <v>0</v>
      </c>
      <c r="Q14" s="73">
        <v>0</v>
      </c>
      <c r="R14" s="50">
        <v>0</v>
      </c>
      <c r="S14" s="50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</row>
    <row r="15" spans="1:31">
      <c r="A15" s="43" t="s">
        <v>738</v>
      </c>
      <c r="B15" s="43" t="s">
        <v>535</v>
      </c>
      <c r="L15" s="72">
        <v>0</v>
      </c>
      <c r="M15" s="72">
        <v>0</v>
      </c>
      <c r="N15" s="73">
        <v>0</v>
      </c>
      <c r="O15" s="73">
        <v>0</v>
      </c>
      <c r="P15" s="73">
        <v>0</v>
      </c>
      <c r="Q15" s="73">
        <v>0</v>
      </c>
      <c r="R15" s="50">
        <v>0</v>
      </c>
      <c r="S15" s="50">
        <v>0</v>
      </c>
      <c r="T15" s="66">
        <v>0</v>
      </c>
      <c r="U15" s="66">
        <v>0</v>
      </c>
      <c r="V15" s="66">
        <v>0</v>
      </c>
      <c r="W15" s="66">
        <v>0</v>
      </c>
      <c r="X15" s="66">
        <v>0</v>
      </c>
      <c r="Y15" s="66">
        <v>0</v>
      </c>
      <c r="Z15" s="66">
        <v>0</v>
      </c>
      <c r="AA15" s="66">
        <v>0</v>
      </c>
      <c r="AB15" s="66">
        <v>0</v>
      </c>
      <c r="AC15" s="66">
        <v>0</v>
      </c>
    </row>
    <row r="16" spans="1:31">
      <c r="A16" s="43" t="s">
        <v>739</v>
      </c>
      <c r="B16" s="43" t="s">
        <v>752</v>
      </c>
      <c r="F16" s="72">
        <v>1549.2</v>
      </c>
      <c r="G16" s="72">
        <v>1502.2</v>
      </c>
      <c r="H16" s="72">
        <v>1474.6</v>
      </c>
      <c r="I16" s="72">
        <v>1021.8</v>
      </c>
      <c r="J16" s="72">
        <v>1762.3</v>
      </c>
      <c r="K16" s="72">
        <v>1762.3</v>
      </c>
      <c r="L16" s="72">
        <v>1045</v>
      </c>
      <c r="M16" s="72">
        <v>859</v>
      </c>
      <c r="N16" s="73">
        <v>302.60000000000002</v>
      </c>
      <c r="O16" s="73">
        <v>200</v>
      </c>
      <c r="P16" s="73">
        <v>149.6</v>
      </c>
      <c r="Q16" s="73">
        <v>110.926</v>
      </c>
      <c r="R16" s="50">
        <v>0</v>
      </c>
      <c r="S16" s="50">
        <v>0</v>
      </c>
      <c r="T16" s="66" t="s">
        <v>685</v>
      </c>
      <c r="U16" s="66" t="s">
        <v>685</v>
      </c>
      <c r="V16" s="66" t="s">
        <v>685</v>
      </c>
      <c r="W16" s="66" t="s">
        <v>685</v>
      </c>
      <c r="X16" s="66" t="s">
        <v>685</v>
      </c>
      <c r="Y16" s="66" t="s">
        <v>685</v>
      </c>
      <c r="Z16" s="66" t="s">
        <v>685</v>
      </c>
      <c r="AA16" s="66">
        <v>0</v>
      </c>
      <c r="AB16" s="66">
        <v>0</v>
      </c>
      <c r="AC16" s="66">
        <v>0</v>
      </c>
    </row>
    <row r="17" spans="1:29">
      <c r="A17" s="43" t="s">
        <v>739</v>
      </c>
      <c r="B17" s="43" t="s">
        <v>663</v>
      </c>
      <c r="F17" s="72">
        <v>20.9</v>
      </c>
      <c r="G17" s="72">
        <v>20.9</v>
      </c>
      <c r="H17" s="72">
        <v>20.9</v>
      </c>
      <c r="I17" s="72">
        <v>18.7</v>
      </c>
      <c r="J17" s="72">
        <v>18.7</v>
      </c>
      <c r="K17" s="72">
        <v>18.7</v>
      </c>
      <c r="L17" s="72">
        <v>2.2000000000000002</v>
      </c>
      <c r="M17" s="72">
        <v>2.2000000000000002</v>
      </c>
      <c r="N17" s="73">
        <v>2.2000000000000002</v>
      </c>
      <c r="O17" s="73">
        <v>2.0019999999999998</v>
      </c>
      <c r="P17" s="73">
        <v>1.98</v>
      </c>
      <c r="Q17" s="73">
        <v>2.1999999999999999E-2</v>
      </c>
      <c r="R17" s="50">
        <v>0</v>
      </c>
      <c r="S17" s="50">
        <v>0</v>
      </c>
      <c r="T17" s="66" t="s">
        <v>685</v>
      </c>
      <c r="U17" s="66" t="s">
        <v>685</v>
      </c>
      <c r="V17" s="66" t="s">
        <v>685</v>
      </c>
      <c r="W17" s="66" t="s">
        <v>685</v>
      </c>
      <c r="X17" s="66" t="s">
        <v>685</v>
      </c>
      <c r="Y17" s="66" t="s">
        <v>685</v>
      </c>
      <c r="Z17" s="66" t="s">
        <v>685</v>
      </c>
      <c r="AA17" s="66">
        <v>0</v>
      </c>
      <c r="AB17" s="66">
        <v>0</v>
      </c>
      <c r="AC17" s="66">
        <v>0</v>
      </c>
    </row>
    <row r="18" spans="1:29">
      <c r="A18" s="43" t="s">
        <v>739</v>
      </c>
      <c r="B18" s="43" t="s">
        <v>243</v>
      </c>
      <c r="F18" s="72">
        <v>195</v>
      </c>
      <c r="G18" s="72">
        <v>195</v>
      </c>
      <c r="H18" s="72">
        <v>195</v>
      </c>
      <c r="I18" s="72">
        <v>169</v>
      </c>
      <c r="J18" s="72">
        <v>169</v>
      </c>
      <c r="K18" s="72">
        <v>169</v>
      </c>
      <c r="L18" s="72">
        <v>80</v>
      </c>
      <c r="M18" s="72">
        <v>80</v>
      </c>
      <c r="N18" s="73">
        <v>80</v>
      </c>
      <c r="O18" s="73">
        <v>67</v>
      </c>
      <c r="P18" s="73">
        <v>67</v>
      </c>
      <c r="Q18" s="73">
        <v>0</v>
      </c>
      <c r="R18" s="50">
        <v>0</v>
      </c>
      <c r="S18" s="50">
        <v>0</v>
      </c>
      <c r="T18" s="66" t="s">
        <v>685</v>
      </c>
      <c r="U18" s="66" t="s">
        <v>685</v>
      </c>
      <c r="V18" s="66" t="s">
        <v>685</v>
      </c>
      <c r="W18" s="66" t="s">
        <v>685</v>
      </c>
      <c r="X18" s="66" t="s">
        <v>685</v>
      </c>
      <c r="Y18" s="66" t="s">
        <v>685</v>
      </c>
      <c r="Z18" s="66" t="s">
        <v>685</v>
      </c>
      <c r="AA18" s="66">
        <v>0</v>
      </c>
      <c r="AB18" s="66">
        <v>0</v>
      </c>
      <c r="AC18" s="66">
        <v>0</v>
      </c>
    </row>
    <row r="19" spans="1:29">
      <c r="A19" s="43" t="s">
        <v>739</v>
      </c>
      <c r="B19" s="43" t="s">
        <v>95</v>
      </c>
      <c r="F19" s="73">
        <v>6.6</v>
      </c>
      <c r="G19" s="73">
        <v>6.6</v>
      </c>
      <c r="H19" s="73">
        <v>6.6</v>
      </c>
      <c r="I19" s="73">
        <v>6.6</v>
      </c>
      <c r="J19" s="73">
        <v>6.6</v>
      </c>
      <c r="K19" s="73">
        <v>6.6</v>
      </c>
      <c r="L19" s="73">
        <v>6.6</v>
      </c>
      <c r="M19" s="73">
        <v>6.6</v>
      </c>
      <c r="N19" s="73">
        <v>6.6</v>
      </c>
      <c r="O19" s="73">
        <v>12.1</v>
      </c>
      <c r="P19" s="73">
        <v>13.2</v>
      </c>
      <c r="Q19" s="73">
        <f>30.2071-(10*0.11)</f>
        <v>29.107099999999999</v>
      </c>
      <c r="R19" s="50">
        <f>(1083.5*0.055)+(39*0.11)</f>
        <v>63.8825</v>
      </c>
      <c r="S19" s="50">
        <f>(1110*0.055)+(57*0.11)</f>
        <v>67.319999999999993</v>
      </c>
      <c r="T19" s="66">
        <f>(1004.83*0.055)+(11.8*0.11)</f>
        <v>56.563650000000003</v>
      </c>
      <c r="U19" s="66">
        <f>(798.189*0.055)+(65.177*0.11)</f>
        <v>51.069864999999993</v>
      </c>
      <c r="V19" s="66">
        <f>(925.92*0.055)+(24.888*0.11)</f>
        <v>53.663279999999993</v>
      </c>
      <c r="W19" s="66">
        <f>(922.44*0.055)+(24.55*0.11)</f>
        <v>53.434699999999999</v>
      </c>
      <c r="X19" s="66">
        <f>439.32*0.055</f>
        <v>24.162600000000001</v>
      </c>
      <c r="Y19" s="66">
        <f>518.55*0.055</f>
        <v>28.520249999999997</v>
      </c>
      <c r="Z19" s="66">
        <f>547.83*0.055</f>
        <v>30.130650000000003</v>
      </c>
      <c r="AA19" s="66">
        <f>843.07*0.055</f>
        <v>46.368850000000002</v>
      </c>
      <c r="AB19" s="66">
        <f>715.14*0.055</f>
        <v>39.332700000000003</v>
      </c>
      <c r="AC19" s="66">
        <f>696.4*0.055</f>
        <v>38.302</v>
      </c>
    </row>
    <row r="20" spans="1:29">
      <c r="A20" s="43" t="s">
        <v>739</v>
      </c>
      <c r="B20" s="43" t="s">
        <v>825</v>
      </c>
      <c r="Q20" s="73">
        <f>10*0.11</f>
        <v>1.1000000000000001</v>
      </c>
      <c r="R20" s="50">
        <f>85*0.11</f>
        <v>9.35</v>
      </c>
      <c r="S20" s="50">
        <f>85*0.11</f>
        <v>9.35</v>
      </c>
      <c r="T20" s="50">
        <f>85*0.11</f>
        <v>9.35</v>
      </c>
      <c r="U20" s="50">
        <f t="shared" ref="U20:AC20" si="0">46*0.11</f>
        <v>5.0599999999999996</v>
      </c>
      <c r="V20" s="66">
        <f t="shared" si="0"/>
        <v>5.0599999999999996</v>
      </c>
      <c r="W20" s="66">
        <f t="shared" si="0"/>
        <v>5.0599999999999996</v>
      </c>
      <c r="X20" s="66">
        <f t="shared" si="0"/>
        <v>5.0599999999999996</v>
      </c>
      <c r="Y20" s="66">
        <f t="shared" si="0"/>
        <v>5.0599999999999996</v>
      </c>
      <c r="Z20" s="66">
        <f t="shared" si="0"/>
        <v>5.0599999999999996</v>
      </c>
      <c r="AA20" s="66">
        <f t="shared" si="0"/>
        <v>5.0599999999999996</v>
      </c>
      <c r="AB20" s="66">
        <f t="shared" si="0"/>
        <v>5.0599999999999996</v>
      </c>
      <c r="AC20" s="66">
        <f t="shared" si="0"/>
        <v>5.0599999999999996</v>
      </c>
    </row>
    <row r="21" spans="1:29">
      <c r="A21" s="43" t="s">
        <v>739</v>
      </c>
      <c r="B21" s="43" t="s">
        <v>574</v>
      </c>
      <c r="F21" s="72">
        <v>6</v>
      </c>
      <c r="G21" s="72">
        <v>6</v>
      </c>
      <c r="H21" s="72">
        <v>6</v>
      </c>
      <c r="I21" s="72">
        <v>4.2</v>
      </c>
      <c r="J21" s="72">
        <v>4.2</v>
      </c>
      <c r="K21" s="72">
        <v>4.2</v>
      </c>
      <c r="L21" s="72">
        <v>3.6</v>
      </c>
      <c r="M21" s="72">
        <v>3.6</v>
      </c>
      <c r="N21" s="73">
        <v>3.6</v>
      </c>
      <c r="O21" s="73">
        <v>2.0339999999999998</v>
      </c>
      <c r="P21" s="73">
        <v>2.0339999999999998</v>
      </c>
      <c r="Q21" s="73">
        <v>1.8</v>
      </c>
      <c r="R21" s="50">
        <f>3*0.6</f>
        <v>1.7999999999999998</v>
      </c>
      <c r="S21" s="50">
        <f>3*0.6</f>
        <v>1.7999999999999998</v>
      </c>
      <c r="T21" s="66">
        <f>3*0.6</f>
        <v>1.7999999999999998</v>
      </c>
      <c r="U21" s="66">
        <f>1.5*0.6</f>
        <v>0.89999999999999991</v>
      </c>
      <c r="V21" s="66">
        <f>0.001*0.6</f>
        <v>5.9999999999999995E-4</v>
      </c>
      <c r="W21" s="66">
        <v>0</v>
      </c>
      <c r="X21" s="66">
        <v>0</v>
      </c>
      <c r="Y21" s="66">
        <v>0</v>
      </c>
      <c r="Z21" s="66">
        <v>0</v>
      </c>
      <c r="AA21" s="66">
        <v>0</v>
      </c>
      <c r="AB21" s="66">
        <v>0</v>
      </c>
      <c r="AC21" s="66">
        <v>0</v>
      </c>
    </row>
    <row r="22" spans="1:29">
      <c r="A22" s="43" t="s">
        <v>739</v>
      </c>
      <c r="B22" s="43" t="s">
        <v>535</v>
      </c>
      <c r="F22" s="72">
        <v>5.8</v>
      </c>
      <c r="G22" s="72">
        <v>5.8</v>
      </c>
      <c r="H22" s="72">
        <v>5.8</v>
      </c>
      <c r="I22" s="72">
        <v>5</v>
      </c>
      <c r="J22" s="72">
        <v>5</v>
      </c>
      <c r="K22" s="72">
        <v>5</v>
      </c>
      <c r="L22" s="72">
        <v>4</v>
      </c>
      <c r="M22" s="72">
        <v>4</v>
      </c>
      <c r="N22" s="73">
        <v>4</v>
      </c>
      <c r="O22" s="73">
        <v>4</v>
      </c>
      <c r="P22" s="73">
        <v>4</v>
      </c>
      <c r="Q22" s="73">
        <v>1.2849999999999999</v>
      </c>
      <c r="R22" s="50">
        <v>0</v>
      </c>
      <c r="S22" s="50">
        <v>0</v>
      </c>
      <c r="T22" s="66">
        <v>0</v>
      </c>
      <c r="U22" s="66">
        <v>0</v>
      </c>
      <c r="V22" s="66">
        <v>0</v>
      </c>
      <c r="W22" s="66">
        <v>0</v>
      </c>
      <c r="X22" s="66">
        <v>0</v>
      </c>
      <c r="Y22" s="66">
        <v>0</v>
      </c>
      <c r="Z22" s="66">
        <v>0</v>
      </c>
      <c r="AA22" s="66">
        <v>0</v>
      </c>
      <c r="AB22" s="66">
        <v>0</v>
      </c>
      <c r="AC22" s="66">
        <v>0</v>
      </c>
    </row>
    <row r="23" spans="1:29">
      <c r="A23" s="67" t="s">
        <v>547</v>
      </c>
      <c r="B23" s="67" t="s">
        <v>752</v>
      </c>
      <c r="J23" s="72">
        <v>105</v>
      </c>
      <c r="K23" s="72">
        <v>104.2</v>
      </c>
      <c r="L23" s="72">
        <v>75.599999999999994</v>
      </c>
      <c r="M23" s="72">
        <v>52</v>
      </c>
      <c r="N23" s="73">
        <v>42.08</v>
      </c>
      <c r="O23" s="73">
        <v>17.02</v>
      </c>
      <c r="P23" s="73">
        <v>9.66</v>
      </c>
      <c r="Q23" s="73">
        <v>16</v>
      </c>
      <c r="R23" s="50">
        <v>0</v>
      </c>
      <c r="S23" s="50">
        <v>0</v>
      </c>
      <c r="T23" s="66" t="s">
        <v>685</v>
      </c>
      <c r="U23" s="66" t="s">
        <v>685</v>
      </c>
      <c r="V23" s="66" t="s">
        <v>685</v>
      </c>
      <c r="W23" s="66" t="s">
        <v>685</v>
      </c>
      <c r="X23" s="66" t="s">
        <v>685</v>
      </c>
      <c r="Y23" s="66" t="s">
        <v>685</v>
      </c>
      <c r="Z23" s="66" t="s">
        <v>685</v>
      </c>
      <c r="AA23" s="66">
        <v>0</v>
      </c>
      <c r="AB23" s="66">
        <v>0</v>
      </c>
      <c r="AC23" s="66">
        <v>0</v>
      </c>
    </row>
    <row r="24" spans="1:29">
      <c r="A24" s="67" t="s">
        <v>547</v>
      </c>
      <c r="B24" s="67" t="s">
        <v>663</v>
      </c>
      <c r="J24" s="72">
        <v>0</v>
      </c>
      <c r="K24" s="72">
        <v>0</v>
      </c>
      <c r="L24" s="72">
        <v>0</v>
      </c>
      <c r="M24" s="72">
        <v>0</v>
      </c>
      <c r="N24" s="73">
        <v>0</v>
      </c>
      <c r="O24" s="73">
        <v>0</v>
      </c>
      <c r="P24" s="73">
        <v>0</v>
      </c>
      <c r="Q24" s="73">
        <v>0</v>
      </c>
      <c r="R24" s="50">
        <v>0</v>
      </c>
      <c r="S24" s="50">
        <v>0</v>
      </c>
      <c r="T24" s="66" t="s">
        <v>685</v>
      </c>
      <c r="U24" s="66" t="s">
        <v>685</v>
      </c>
      <c r="V24" s="66" t="s">
        <v>685</v>
      </c>
      <c r="W24" s="66" t="s">
        <v>685</v>
      </c>
      <c r="X24" s="66" t="s">
        <v>685</v>
      </c>
      <c r="Y24" s="66" t="s">
        <v>685</v>
      </c>
      <c r="Z24" s="66" t="s">
        <v>685</v>
      </c>
      <c r="AA24" s="66">
        <v>0</v>
      </c>
      <c r="AB24" s="66">
        <v>0</v>
      </c>
      <c r="AC24" s="66">
        <v>0</v>
      </c>
    </row>
    <row r="25" spans="1:29">
      <c r="A25" s="67" t="s">
        <v>547</v>
      </c>
      <c r="B25" s="43" t="s">
        <v>243</v>
      </c>
      <c r="J25" s="72">
        <v>0</v>
      </c>
      <c r="K25" s="72">
        <v>0</v>
      </c>
      <c r="L25" s="72">
        <v>0</v>
      </c>
      <c r="M25" s="72">
        <v>0</v>
      </c>
      <c r="N25" s="73">
        <v>0</v>
      </c>
      <c r="O25" s="73">
        <v>0</v>
      </c>
      <c r="P25" s="73">
        <v>0</v>
      </c>
      <c r="Q25" s="73">
        <v>0</v>
      </c>
      <c r="R25" s="50">
        <v>0</v>
      </c>
      <c r="S25" s="50">
        <v>0</v>
      </c>
      <c r="T25" s="66" t="s">
        <v>685</v>
      </c>
      <c r="U25" s="66" t="s">
        <v>685</v>
      </c>
      <c r="V25" s="66" t="s">
        <v>685</v>
      </c>
      <c r="W25" s="66" t="s">
        <v>685</v>
      </c>
      <c r="X25" s="66" t="s">
        <v>685</v>
      </c>
      <c r="Y25" s="66" t="s">
        <v>685</v>
      </c>
      <c r="Z25" s="66" t="s">
        <v>685</v>
      </c>
      <c r="AA25" s="66">
        <v>0</v>
      </c>
      <c r="AB25" s="66">
        <v>0</v>
      </c>
      <c r="AC25" s="66">
        <v>0</v>
      </c>
    </row>
    <row r="26" spans="1:29">
      <c r="A26" s="67" t="s">
        <v>547</v>
      </c>
      <c r="B26" s="43" t="s">
        <v>95</v>
      </c>
      <c r="J26" s="73">
        <v>4.4550000000000001</v>
      </c>
      <c r="K26" s="73">
        <v>5.5</v>
      </c>
      <c r="L26" s="73">
        <v>6.6</v>
      </c>
      <c r="M26" s="73">
        <v>7.15</v>
      </c>
      <c r="N26" s="73">
        <v>7.8650000000000002</v>
      </c>
      <c r="O26" s="73">
        <v>9.0749999999999993</v>
      </c>
      <c r="P26" s="73">
        <v>10.45</v>
      </c>
      <c r="Q26" s="73">
        <f>350*0.055</f>
        <v>19.25</v>
      </c>
      <c r="R26" s="50">
        <f>230*0.055</f>
        <v>12.65</v>
      </c>
      <c r="S26" s="50">
        <f>210*0.055</f>
        <v>11.55</v>
      </c>
      <c r="T26" s="66">
        <f>120*0.055</f>
        <v>6.6</v>
      </c>
      <c r="U26" s="66">
        <f>280.52*0.055</f>
        <v>15.428599999999999</v>
      </c>
      <c r="V26" s="66">
        <f>240.2*0.055</f>
        <v>13.211</v>
      </c>
      <c r="W26" s="66">
        <f>250.66*0.055</f>
        <v>13.786300000000001</v>
      </c>
      <c r="X26" s="66">
        <f>210*0.055</f>
        <v>11.55</v>
      </c>
      <c r="Y26" s="66">
        <f>189.96*0.055</f>
        <v>10.447800000000001</v>
      </c>
      <c r="Z26" s="66">
        <f>189.95*0.055</f>
        <v>10.447249999999999</v>
      </c>
      <c r="AA26" s="66">
        <f>170*0.055</f>
        <v>9.35</v>
      </c>
      <c r="AB26" s="66">
        <f>(158.5*0.055)+(4*0.11)</f>
        <v>9.1574999999999989</v>
      </c>
      <c r="AC26" s="66">
        <f>125*0.055</f>
        <v>6.875</v>
      </c>
    </row>
    <row r="27" spans="1:29">
      <c r="A27" s="67" t="s">
        <v>547</v>
      </c>
      <c r="B27" s="43" t="s">
        <v>825</v>
      </c>
      <c r="Q27" s="73">
        <v>0</v>
      </c>
      <c r="R27" s="50">
        <v>0</v>
      </c>
      <c r="S27" s="50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</row>
    <row r="28" spans="1:29">
      <c r="A28" s="67" t="s">
        <v>547</v>
      </c>
      <c r="B28" s="43" t="s">
        <v>574</v>
      </c>
      <c r="J28" s="72">
        <v>0</v>
      </c>
      <c r="K28" s="72">
        <v>0</v>
      </c>
      <c r="L28" s="72">
        <v>0</v>
      </c>
      <c r="M28" s="72">
        <v>0</v>
      </c>
      <c r="N28" s="73">
        <v>0</v>
      </c>
      <c r="O28" s="73">
        <v>0</v>
      </c>
      <c r="P28" s="73">
        <v>0</v>
      </c>
      <c r="Q28" s="73">
        <v>0</v>
      </c>
      <c r="R28" s="50">
        <v>0</v>
      </c>
      <c r="S28" s="50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</row>
    <row r="29" spans="1:29">
      <c r="A29" s="67" t="s">
        <v>547</v>
      </c>
      <c r="B29" s="67" t="s">
        <v>535</v>
      </c>
      <c r="J29" s="72">
        <v>0</v>
      </c>
      <c r="K29" s="72">
        <v>0</v>
      </c>
      <c r="L29" s="72">
        <v>0</v>
      </c>
      <c r="M29" s="72">
        <v>0</v>
      </c>
      <c r="N29" s="73">
        <v>0</v>
      </c>
      <c r="O29" s="73">
        <v>0</v>
      </c>
      <c r="P29" s="73">
        <v>0</v>
      </c>
      <c r="Q29" s="73">
        <v>0</v>
      </c>
      <c r="R29" s="50">
        <v>0</v>
      </c>
      <c r="S29" s="50">
        <v>0</v>
      </c>
      <c r="T29" s="66">
        <v>0</v>
      </c>
      <c r="U29" s="66">
        <v>0</v>
      </c>
      <c r="V29" s="66">
        <v>0</v>
      </c>
      <c r="W29" s="66">
        <v>0</v>
      </c>
      <c r="X29" s="66">
        <v>0</v>
      </c>
      <c r="Y29" s="66">
        <v>0</v>
      </c>
      <c r="Z29" s="66">
        <v>0</v>
      </c>
      <c r="AA29" s="66">
        <v>0</v>
      </c>
      <c r="AB29" s="66">
        <v>0</v>
      </c>
      <c r="AC29" s="66">
        <v>0</v>
      </c>
    </row>
    <row r="30" spans="1:29">
      <c r="A30" s="43" t="s">
        <v>740</v>
      </c>
      <c r="B30" s="43" t="s">
        <v>752</v>
      </c>
      <c r="C30" s="72">
        <v>11.52</v>
      </c>
      <c r="D30" s="72">
        <v>10.26</v>
      </c>
      <c r="E30" s="72">
        <v>10.32</v>
      </c>
      <c r="F30" s="72">
        <v>32.46</v>
      </c>
      <c r="G30" s="72">
        <v>37.69</v>
      </c>
      <c r="H30" s="72">
        <v>4.96</v>
      </c>
      <c r="I30" s="72">
        <v>3.1160000000000001</v>
      </c>
      <c r="J30" s="72">
        <v>3.48</v>
      </c>
      <c r="K30" s="72">
        <v>1.94</v>
      </c>
      <c r="L30" s="72">
        <v>1.68</v>
      </c>
      <c r="M30" s="72">
        <v>1.044</v>
      </c>
      <c r="N30" s="73">
        <v>1.1479999999999999</v>
      </c>
      <c r="O30" s="73">
        <v>9.2160000000000002E-3</v>
      </c>
      <c r="P30" s="73">
        <v>5.3999999999999999E-2</v>
      </c>
      <c r="Q30" s="73">
        <v>0</v>
      </c>
      <c r="R30" s="50">
        <v>0</v>
      </c>
      <c r="S30" s="50">
        <v>0</v>
      </c>
      <c r="T30" s="66" t="s">
        <v>685</v>
      </c>
      <c r="U30" s="66" t="s">
        <v>685</v>
      </c>
      <c r="V30" s="66" t="s">
        <v>685</v>
      </c>
      <c r="W30" s="66" t="s">
        <v>685</v>
      </c>
      <c r="X30" s="66" t="s">
        <v>685</v>
      </c>
      <c r="Y30" s="66" t="s">
        <v>685</v>
      </c>
      <c r="Z30" s="66" t="s">
        <v>685</v>
      </c>
      <c r="AA30" s="66">
        <v>0</v>
      </c>
      <c r="AB30" s="66">
        <v>0</v>
      </c>
      <c r="AC30" s="66">
        <v>0</v>
      </c>
    </row>
    <row r="31" spans="1:29">
      <c r="A31" s="43" t="s">
        <v>740</v>
      </c>
      <c r="B31" s="43" t="s">
        <v>663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2">
        <v>0</v>
      </c>
      <c r="J31" s="72">
        <v>0</v>
      </c>
      <c r="K31" s="72">
        <v>0</v>
      </c>
      <c r="L31" s="72">
        <v>0</v>
      </c>
      <c r="M31" s="72">
        <v>0</v>
      </c>
      <c r="N31" s="73">
        <v>0</v>
      </c>
      <c r="O31" s="73">
        <v>0</v>
      </c>
      <c r="P31" s="73">
        <v>0</v>
      </c>
      <c r="Q31" s="73">
        <v>0</v>
      </c>
      <c r="R31" s="50">
        <v>0</v>
      </c>
      <c r="S31" s="50">
        <v>0</v>
      </c>
      <c r="T31" s="66" t="s">
        <v>685</v>
      </c>
      <c r="U31" s="66" t="s">
        <v>685</v>
      </c>
      <c r="V31" s="66" t="s">
        <v>685</v>
      </c>
      <c r="W31" s="66" t="s">
        <v>685</v>
      </c>
      <c r="X31" s="66" t="s">
        <v>685</v>
      </c>
      <c r="Y31" s="66" t="s">
        <v>685</v>
      </c>
      <c r="Z31" s="66" t="s">
        <v>685</v>
      </c>
      <c r="AA31" s="66">
        <v>0</v>
      </c>
      <c r="AB31" s="66">
        <v>0</v>
      </c>
      <c r="AC31" s="66">
        <v>0</v>
      </c>
    </row>
    <row r="32" spans="1:29">
      <c r="A32" s="43" t="s">
        <v>740</v>
      </c>
      <c r="B32" s="43" t="s">
        <v>243</v>
      </c>
      <c r="C32" s="72">
        <v>0.42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0</v>
      </c>
      <c r="L32" s="72">
        <v>0</v>
      </c>
      <c r="M32" s="72">
        <v>0</v>
      </c>
      <c r="N32" s="73">
        <v>0</v>
      </c>
      <c r="O32" s="73">
        <v>0</v>
      </c>
      <c r="P32" s="73">
        <v>0</v>
      </c>
      <c r="Q32" s="73">
        <v>0</v>
      </c>
      <c r="R32" s="50">
        <v>0</v>
      </c>
      <c r="S32" s="50">
        <v>0</v>
      </c>
      <c r="T32" s="66" t="s">
        <v>685</v>
      </c>
      <c r="U32" s="66" t="s">
        <v>685</v>
      </c>
      <c r="V32" s="66" t="s">
        <v>685</v>
      </c>
      <c r="W32" s="66" t="s">
        <v>685</v>
      </c>
      <c r="X32" s="66" t="s">
        <v>685</v>
      </c>
      <c r="Y32" s="66" t="s">
        <v>685</v>
      </c>
      <c r="Z32" s="66" t="s">
        <v>685</v>
      </c>
      <c r="AA32" s="66">
        <v>0</v>
      </c>
      <c r="AB32" s="66">
        <v>0</v>
      </c>
      <c r="AC32" s="66">
        <v>0</v>
      </c>
    </row>
    <row r="33" spans="1:29">
      <c r="A33" s="43" t="s">
        <v>740</v>
      </c>
      <c r="B33" s="43" t="s">
        <v>95</v>
      </c>
      <c r="C33" s="73">
        <v>0</v>
      </c>
      <c r="D33" s="73">
        <v>0</v>
      </c>
      <c r="E33" s="73">
        <v>0</v>
      </c>
      <c r="F33" s="73">
        <v>1.2034</v>
      </c>
      <c r="G33" s="73">
        <v>0.54139999999999999</v>
      </c>
      <c r="H33" s="73">
        <v>0.14244999999999999</v>
      </c>
      <c r="I33" s="73">
        <v>0.19800000000000001</v>
      </c>
      <c r="J33" s="73">
        <v>0.28765000000000002</v>
      </c>
      <c r="K33" s="73">
        <v>0.20569999999999999</v>
      </c>
      <c r="L33" s="73">
        <v>0.68145</v>
      </c>
      <c r="M33" s="73">
        <v>0.58245000000000002</v>
      </c>
      <c r="N33" s="73">
        <v>0.45319999999999999</v>
      </c>
      <c r="O33" s="73">
        <v>0.86845000000000006</v>
      </c>
      <c r="P33" s="73">
        <v>0.23155000000000001</v>
      </c>
      <c r="Q33" s="73">
        <f>(11.19-1.68)*0.055</f>
        <v>0.52305000000000001</v>
      </c>
      <c r="R33" s="50">
        <f>1.5*0.055</f>
        <v>8.2500000000000004E-2</v>
      </c>
      <c r="S33" s="50">
        <f>(8.43-1.59)*0.055</f>
        <v>0.37619999999999998</v>
      </c>
      <c r="T33" s="66">
        <v>0</v>
      </c>
      <c r="U33" s="66">
        <f>(4.245-0.33)*0.055</f>
        <v>0.21532500000000002</v>
      </c>
      <c r="V33" s="66">
        <f>0.64*0.055</f>
        <v>3.5200000000000002E-2</v>
      </c>
      <c r="W33" s="66">
        <f>1.07*0.055</f>
        <v>5.8850000000000006E-2</v>
      </c>
      <c r="X33" s="66">
        <f>0.24*0.055</f>
        <v>1.32E-2</v>
      </c>
      <c r="Y33" s="76">
        <f>0.07*0.055</f>
        <v>3.8500000000000006E-3</v>
      </c>
      <c r="Z33" s="76">
        <f>0.41*0.055</f>
        <v>2.2549999999999997E-2</v>
      </c>
      <c r="AA33" s="76">
        <v>0</v>
      </c>
      <c r="AB33" s="66">
        <f>0.544*0.055</f>
        <v>2.9920000000000002E-2</v>
      </c>
      <c r="AC33" s="66">
        <f>1.075*0.055</f>
        <v>5.9124999999999997E-2</v>
      </c>
    </row>
    <row r="34" spans="1:29">
      <c r="A34" s="43" t="s">
        <v>740</v>
      </c>
      <c r="B34" s="43" t="s">
        <v>825</v>
      </c>
      <c r="Q34" s="73">
        <v>0</v>
      </c>
      <c r="R34" s="50">
        <v>0</v>
      </c>
      <c r="S34" s="50">
        <v>0</v>
      </c>
      <c r="T34" s="66">
        <v>0</v>
      </c>
      <c r="U34" s="66">
        <v>0</v>
      </c>
      <c r="V34" s="66">
        <v>0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66">
        <v>0</v>
      </c>
      <c r="AC34" s="66">
        <v>0</v>
      </c>
    </row>
    <row r="35" spans="1:29">
      <c r="A35" s="43" t="s">
        <v>740</v>
      </c>
      <c r="B35" s="43" t="s">
        <v>574</v>
      </c>
      <c r="C35" s="72">
        <v>0</v>
      </c>
      <c r="D35" s="72">
        <v>0</v>
      </c>
      <c r="E35" s="72">
        <v>0</v>
      </c>
      <c r="F35" s="72">
        <v>0</v>
      </c>
      <c r="G35" s="72">
        <v>0</v>
      </c>
      <c r="H35" s="72">
        <v>4.8000000000000001E-2</v>
      </c>
      <c r="I35" s="72">
        <v>0</v>
      </c>
      <c r="J35" s="72">
        <v>0</v>
      </c>
      <c r="K35" s="72">
        <v>0</v>
      </c>
      <c r="L35" s="72">
        <v>0</v>
      </c>
      <c r="M35" s="72">
        <v>0</v>
      </c>
      <c r="N35" s="73">
        <v>0</v>
      </c>
      <c r="O35" s="73">
        <v>0</v>
      </c>
      <c r="P35" s="73">
        <v>0</v>
      </c>
      <c r="Q35" s="73">
        <v>0</v>
      </c>
      <c r="R35" s="50">
        <v>0</v>
      </c>
      <c r="S35" s="50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0</v>
      </c>
      <c r="AB35" s="66">
        <v>0</v>
      </c>
      <c r="AC35" s="66">
        <v>0</v>
      </c>
    </row>
    <row r="36" spans="1:29">
      <c r="A36" s="43" t="s">
        <v>740</v>
      </c>
      <c r="B36" s="43" t="s">
        <v>535</v>
      </c>
      <c r="C36" s="72">
        <v>0</v>
      </c>
      <c r="D36" s="72">
        <v>0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3">
        <v>0</v>
      </c>
      <c r="O36" s="73">
        <v>0</v>
      </c>
      <c r="P36" s="73">
        <v>0</v>
      </c>
      <c r="Q36" s="73">
        <v>0</v>
      </c>
      <c r="R36" s="50">
        <v>0</v>
      </c>
      <c r="S36" s="50">
        <v>0</v>
      </c>
      <c r="T36" s="66">
        <f>(2.56-0.76)*0.1</f>
        <v>0.18000000000000002</v>
      </c>
      <c r="U36" s="66">
        <v>0</v>
      </c>
      <c r="V36" s="66">
        <v>0</v>
      </c>
      <c r="W36" s="66">
        <v>0</v>
      </c>
      <c r="X36" s="66">
        <v>0</v>
      </c>
      <c r="Y36" s="66">
        <v>0</v>
      </c>
      <c r="Z36" s="66">
        <v>0</v>
      </c>
      <c r="AA36" s="66">
        <v>0</v>
      </c>
      <c r="AB36" s="66">
        <v>0</v>
      </c>
      <c r="AC36" s="66">
        <v>0</v>
      </c>
    </row>
    <row r="37" spans="1:29">
      <c r="A37" s="43" t="s">
        <v>741</v>
      </c>
      <c r="B37" s="43" t="s">
        <v>752</v>
      </c>
      <c r="C37" s="72">
        <v>6365.9</v>
      </c>
      <c r="D37" s="72">
        <v>4201.8</v>
      </c>
      <c r="E37" s="72">
        <v>3523.7</v>
      </c>
      <c r="F37" s="72">
        <v>3546.4</v>
      </c>
      <c r="G37" s="72">
        <v>4316.34</v>
      </c>
      <c r="H37" s="72">
        <v>2392.1880000000001</v>
      </c>
      <c r="I37" s="72">
        <v>3330.02</v>
      </c>
      <c r="J37" s="72">
        <v>2139.2199999999998</v>
      </c>
      <c r="K37" s="72">
        <v>2255.25</v>
      </c>
      <c r="L37" s="72">
        <v>2210.056</v>
      </c>
      <c r="M37" s="72">
        <v>1675.5160000000001</v>
      </c>
      <c r="N37" s="73">
        <v>1654.2159999999999</v>
      </c>
      <c r="O37" s="73">
        <v>529.04600000000005</v>
      </c>
      <c r="P37" s="73">
        <v>50.841999999999999</v>
      </c>
      <c r="Q37" s="73">
        <v>126.59</v>
      </c>
      <c r="R37" s="50">
        <v>0</v>
      </c>
      <c r="S37" s="50">
        <f>13.82+14.5</f>
        <v>28.32</v>
      </c>
      <c r="T37" s="66" t="s">
        <v>685</v>
      </c>
      <c r="U37" s="66" t="s">
        <v>685</v>
      </c>
      <c r="V37" s="66" t="s">
        <v>685</v>
      </c>
      <c r="W37" s="66" t="s">
        <v>685</v>
      </c>
      <c r="X37" s="66" t="s">
        <v>685</v>
      </c>
      <c r="Y37" s="66" t="s">
        <v>685</v>
      </c>
      <c r="Z37" s="66" t="s">
        <v>685</v>
      </c>
      <c r="AA37" s="66">
        <v>0</v>
      </c>
      <c r="AB37" s="66">
        <v>0</v>
      </c>
      <c r="AC37" s="66">
        <v>0</v>
      </c>
    </row>
    <row r="38" spans="1:29">
      <c r="A38" s="43" t="s">
        <v>741</v>
      </c>
      <c r="B38" s="43" t="s">
        <v>663</v>
      </c>
      <c r="C38" s="72">
        <v>2854.54</v>
      </c>
      <c r="D38" s="72">
        <v>3300.89</v>
      </c>
      <c r="E38" s="72">
        <v>4019.03</v>
      </c>
      <c r="F38" s="72">
        <v>4296.6499999999996</v>
      </c>
      <c r="G38" s="72">
        <v>4297.17</v>
      </c>
      <c r="H38" s="72">
        <v>5061.87</v>
      </c>
      <c r="I38" s="72">
        <v>4465.835</v>
      </c>
      <c r="J38" s="72">
        <v>1573</v>
      </c>
      <c r="K38" s="72">
        <v>7370.88</v>
      </c>
      <c r="L38" s="72">
        <v>25.937999999999999</v>
      </c>
      <c r="M38" s="72">
        <v>12.132999999999999</v>
      </c>
      <c r="N38" s="73">
        <v>9.9440000000000026</v>
      </c>
      <c r="O38" s="73">
        <v>12.964600000000001</v>
      </c>
      <c r="P38" s="73">
        <v>1.089</v>
      </c>
      <c r="Q38" s="73">
        <v>1.6830000000000001</v>
      </c>
      <c r="R38" s="50">
        <v>0</v>
      </c>
      <c r="S38" s="50">
        <f>0.03*1.1</f>
        <v>3.3000000000000002E-2</v>
      </c>
      <c r="T38" s="66" t="s">
        <v>685</v>
      </c>
      <c r="U38" s="66" t="s">
        <v>685</v>
      </c>
      <c r="V38" s="66" t="s">
        <v>685</v>
      </c>
      <c r="W38" s="66" t="s">
        <v>685</v>
      </c>
      <c r="X38" s="66" t="s">
        <v>685</v>
      </c>
      <c r="Y38" s="66" t="s">
        <v>685</v>
      </c>
      <c r="Z38" s="66" t="s">
        <v>685</v>
      </c>
      <c r="AA38" s="66">
        <v>0</v>
      </c>
      <c r="AB38" s="66">
        <v>0</v>
      </c>
      <c r="AC38" s="66">
        <v>0</v>
      </c>
    </row>
    <row r="39" spans="1:29">
      <c r="A39" s="43" t="s">
        <v>741</v>
      </c>
      <c r="B39" s="43" t="s">
        <v>243</v>
      </c>
      <c r="C39" s="72">
        <v>360</v>
      </c>
      <c r="D39" s="72">
        <v>143.4</v>
      </c>
      <c r="E39" s="72">
        <v>6.0000000000000001E-3</v>
      </c>
      <c r="F39" s="72">
        <v>-0.94799999999999995</v>
      </c>
      <c r="G39" s="72">
        <v>0</v>
      </c>
      <c r="H39" s="72">
        <v>0</v>
      </c>
      <c r="I39" s="72">
        <v>-3.07</v>
      </c>
      <c r="J39" s="72">
        <v>0</v>
      </c>
      <c r="K39" s="72">
        <v>0</v>
      </c>
      <c r="L39" s="72">
        <v>0</v>
      </c>
      <c r="M39" s="72">
        <v>3</v>
      </c>
      <c r="N39" s="73">
        <v>0</v>
      </c>
      <c r="O39" s="73">
        <v>0.3</v>
      </c>
      <c r="P39" s="73">
        <v>0</v>
      </c>
      <c r="Q39" s="73">
        <v>0</v>
      </c>
      <c r="R39" s="50">
        <v>0</v>
      </c>
      <c r="S39" s="50">
        <v>0</v>
      </c>
      <c r="T39" s="66" t="s">
        <v>685</v>
      </c>
      <c r="U39" s="66" t="s">
        <v>685</v>
      </c>
      <c r="V39" s="66" t="s">
        <v>685</v>
      </c>
      <c r="W39" s="66" t="s">
        <v>685</v>
      </c>
      <c r="X39" s="66" t="s">
        <v>685</v>
      </c>
      <c r="Y39" s="66" t="s">
        <v>685</v>
      </c>
      <c r="Z39" s="66" t="s">
        <v>685</v>
      </c>
      <c r="AA39" s="66">
        <v>0</v>
      </c>
      <c r="AB39" s="66">
        <v>0</v>
      </c>
      <c r="AC39" s="66">
        <v>0</v>
      </c>
    </row>
    <row r="40" spans="1:29">
      <c r="A40" s="43" t="s">
        <v>741</v>
      </c>
      <c r="B40" s="43" t="s">
        <v>95</v>
      </c>
      <c r="C40" s="73">
        <v>97.15</v>
      </c>
      <c r="D40" s="73">
        <v>87.629080000000002</v>
      </c>
      <c r="E40" s="73">
        <v>95.507499999999993</v>
      </c>
      <c r="F40" s="73">
        <v>95.892560000000003</v>
      </c>
      <c r="G40" s="73">
        <v>94.149000000000001</v>
      </c>
      <c r="H40" s="73">
        <v>63.414550000000006</v>
      </c>
      <c r="I40" s="73">
        <v>93.582099999999997</v>
      </c>
      <c r="J40" s="73">
        <v>44.638499999999993</v>
      </c>
      <c r="K40" s="73">
        <v>147.1448</v>
      </c>
      <c r="L40" s="73">
        <v>159.41236999999998</v>
      </c>
      <c r="M40" s="73">
        <v>202.31215000000003</v>
      </c>
      <c r="N40" s="73">
        <v>248.71178</v>
      </c>
      <c r="O40" s="73">
        <v>342.03480000000002</v>
      </c>
      <c r="P40" s="73">
        <v>356.85687000000001</v>
      </c>
      <c r="Q40" s="73">
        <v>326.14800000000002</v>
      </c>
      <c r="R40" s="50">
        <f>((4282.9-2668.8+4251)*0.055)+(810.5*0.11)+(346.8*0.065)+((81.2-0.4)*0.02)+((55.8-0.2)*0.022)</f>
        <v>437.11670000000004</v>
      </c>
      <c r="S40" s="50">
        <f>((4220.83+4018.15-1668.88)*0.055)+((811.99-0.12)*0.11)+(208.1*0.065)+((110.06-3.55)*0.02)+(73.87*0.022)+(3.13*0.04)</f>
        <v>468.06823999999995</v>
      </c>
      <c r="T40" s="66">
        <f>((4539.45-2201+4190)*0.055)+((1292.59-1)*0.11)+((307.02-0.8)*0.065)+((191.85-1.28)*0.02)+(103.1*0.022)+(2.31*0.04)</f>
        <v>527.21595000000002</v>
      </c>
      <c r="U40" s="66">
        <f>((624.44+1950.69-0.69)*0.055)+(556.17*0.11)+((170.09-0.53)*0.065)+((73.12-1.57)*0.02)+(51.24*0.022)</f>
        <v>216.35258000000002</v>
      </c>
      <c r="V40" s="66">
        <f>((635.6-17.23+2285.98)*0.055)+(626.89*0.11)+(145.82*0.065)+((79.77-1.82)*0.02)+(28.56*0.022)</f>
        <v>240.36276999999998</v>
      </c>
      <c r="W40" s="66">
        <f>((600.88+2445.97-3.62)*0.055)+((753.26-7.25)*0.11)+(266.29*0.065)+((113.26-1.88)*0.02)+(38.66*0.022)</f>
        <v>269.82571999999999</v>
      </c>
      <c r="X40" s="66">
        <f>((582+1742.6)*0.055)+(619.04*0.11)+(111.21*0.065)+(111.05*0.02)+(21.05*0.022)</f>
        <v>205.86014999999998</v>
      </c>
      <c r="Y40" s="66">
        <f>((640.92+1823.04)*0.055)+(750.17*0.11)+(60.69*0.065)+((164.05-1.68)*0.02)+(7.78*0.022)</f>
        <v>225.39990999999998</v>
      </c>
      <c r="Z40" s="66">
        <f>((625.28+1192.17)*0.055)+(603.88*0.11)+(40.18*0.065)+((48.6-2.33)*0.02)</f>
        <v>169.92365000000001</v>
      </c>
      <c r="AA40" s="66">
        <f>((594.31+1605.75)*0.055)+((221.42-100)*0.11)+(18.29*0.065)+((31.66-3.38)*0.02)</f>
        <v>136.11394999999999</v>
      </c>
      <c r="AB40" s="66">
        <f>((463.05+1205.62)*0.055)+(295.65*0.11)+(17.91*0.065)+((35.55-0.726)*0.02)</f>
        <v>126.15898</v>
      </c>
      <c r="AC40" s="66">
        <f>((431.552+1028.17)*0.055)+(740.2*0.11)+(15.09*0.065)+((79.73-2.72)*0.02)</f>
        <v>164.22776000000005</v>
      </c>
    </row>
    <row r="41" spans="1:29" ht="12.6" customHeight="1">
      <c r="A41" s="43" t="s">
        <v>741</v>
      </c>
      <c r="B41" s="43" t="s">
        <v>825</v>
      </c>
      <c r="Q41" s="73">
        <v>0</v>
      </c>
      <c r="R41" s="50">
        <f>((346.7-45.7)*0.11)</f>
        <v>33.11</v>
      </c>
      <c r="S41" s="50">
        <v>0</v>
      </c>
      <c r="T41" s="66">
        <f>((472.4-70.76)*0.11)</f>
        <v>44.180399999999999</v>
      </c>
      <c r="U41" s="66">
        <f>((318.6-47.72)*0.11)</f>
        <v>29.796800000000001</v>
      </c>
      <c r="V41" s="66">
        <f>(358.75-33.76)*0.11</f>
        <v>35.748899999999999</v>
      </c>
      <c r="W41" s="66">
        <f>(244.37-11.65)*0.11</f>
        <v>25.5992</v>
      </c>
      <c r="X41" s="66">
        <f>(241.75-31.25)*0.11</f>
        <v>23.155000000000001</v>
      </c>
      <c r="Y41" s="66">
        <f>(225.06-16.95)*0.11</f>
        <v>22.892100000000003</v>
      </c>
      <c r="Z41" s="66">
        <f>(195.7-33.3)*0.11</f>
        <v>17.863999999999997</v>
      </c>
      <c r="AA41" s="66">
        <f>(160.87-27.98)*0.11</f>
        <v>14.617900000000002</v>
      </c>
      <c r="AB41" s="66">
        <f>(180.06-15.072)*0.11</f>
        <v>18.148679999999999</v>
      </c>
      <c r="AC41" s="66">
        <f>(67.16-19.01)*0.11</f>
        <v>5.2964999999999991</v>
      </c>
    </row>
    <row r="42" spans="1:29">
      <c r="A42" s="43" t="s">
        <v>741</v>
      </c>
      <c r="B42" s="43" t="s">
        <v>574</v>
      </c>
      <c r="C42" s="72">
        <v>265.8</v>
      </c>
      <c r="D42" s="72">
        <v>409.8</v>
      </c>
      <c r="E42" s="72">
        <v>465</v>
      </c>
      <c r="F42" s="72">
        <v>504.6</v>
      </c>
      <c r="G42" s="72">
        <v>468</v>
      </c>
      <c r="H42" s="72">
        <v>492.6</v>
      </c>
      <c r="I42" s="72">
        <v>377.82</v>
      </c>
      <c r="J42" s="72">
        <v>168.6</v>
      </c>
      <c r="K42" s="72">
        <v>353.1</v>
      </c>
      <c r="L42" s="72">
        <v>381.91199999999998</v>
      </c>
      <c r="M42" s="72">
        <v>287.06400000000002</v>
      </c>
      <c r="N42" s="73">
        <v>270.91799999999995</v>
      </c>
      <c r="O42" s="73">
        <v>284.10000000000002</v>
      </c>
      <c r="P42" s="73">
        <v>221.1</v>
      </c>
      <c r="Q42" s="73">
        <v>188.86799999999999</v>
      </c>
      <c r="R42" s="50">
        <f>(524.4-31)*0.6</f>
        <v>296.03999999999996</v>
      </c>
      <c r="S42" s="50">
        <f>386.95*0.6</f>
        <v>232.17</v>
      </c>
      <c r="T42" s="66">
        <f>347.2*0.6</f>
        <v>208.32</v>
      </c>
      <c r="U42" s="66">
        <f>419.13*0.6</f>
        <v>251.47799999999998</v>
      </c>
      <c r="V42" s="66">
        <f>275.31*0.6</f>
        <v>165.18600000000001</v>
      </c>
      <c r="W42" s="66">
        <f>134.15*0.6</f>
        <v>80.489999999999995</v>
      </c>
      <c r="X42" s="66">
        <f>129.15*0.6</f>
        <v>77.489999999999995</v>
      </c>
      <c r="Y42" s="66">
        <f>95.06*0.6</f>
        <v>57.036000000000001</v>
      </c>
      <c r="Z42" s="66">
        <f>76.62*0.6</f>
        <v>45.972000000000001</v>
      </c>
      <c r="AA42" s="66">
        <f>41.23*0.6</f>
        <v>24.737999999999996</v>
      </c>
      <c r="AB42" s="66">
        <f>20.58*0.6</f>
        <v>12.347999999999999</v>
      </c>
      <c r="AC42" s="66">
        <f>11.23*0.6</f>
        <v>6.7380000000000004</v>
      </c>
    </row>
    <row r="43" spans="1:29">
      <c r="A43" s="43" t="s">
        <v>741</v>
      </c>
      <c r="B43" s="43" t="s">
        <v>535</v>
      </c>
      <c r="C43" s="72">
        <v>99.08</v>
      </c>
      <c r="D43" s="72">
        <v>105.7</v>
      </c>
      <c r="E43" s="72">
        <v>90.5</v>
      </c>
      <c r="F43" s="72">
        <v>90.168000000000006</v>
      </c>
      <c r="G43" s="72">
        <v>52.69</v>
      </c>
      <c r="H43" s="72">
        <v>54.3</v>
      </c>
      <c r="I43" s="72">
        <v>30.82</v>
      </c>
      <c r="J43" s="72">
        <v>12.78</v>
      </c>
      <c r="K43" s="72">
        <v>20.914999999999999</v>
      </c>
      <c r="L43" s="72">
        <v>23.957000000000001</v>
      </c>
      <c r="M43" s="72">
        <v>21.376000000000001</v>
      </c>
      <c r="N43" s="73">
        <v>15.306000000000001</v>
      </c>
      <c r="O43" s="73">
        <v>17.418000000000003</v>
      </c>
      <c r="P43" s="73">
        <v>17.420000000000002</v>
      </c>
      <c r="Q43" s="73">
        <v>10.451000000000001</v>
      </c>
      <c r="R43" s="50">
        <f>96.35*0.1</f>
        <v>9.6349999999999998</v>
      </c>
      <c r="S43" s="50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</row>
    <row r="44" spans="1:29">
      <c r="A44" s="68" t="s">
        <v>768</v>
      </c>
      <c r="B44" s="68" t="s">
        <v>752</v>
      </c>
      <c r="N44" s="73">
        <v>59</v>
      </c>
      <c r="O44" s="73">
        <v>25</v>
      </c>
      <c r="P44" s="73">
        <v>13.6</v>
      </c>
      <c r="Q44" s="73">
        <v>18.100000000000001</v>
      </c>
      <c r="R44" s="50">
        <v>0</v>
      </c>
      <c r="S44" s="50">
        <v>0</v>
      </c>
      <c r="T44" s="66" t="s">
        <v>685</v>
      </c>
      <c r="U44" s="66" t="s">
        <v>685</v>
      </c>
      <c r="V44" s="66" t="s">
        <v>685</v>
      </c>
      <c r="W44" s="66" t="s">
        <v>685</v>
      </c>
      <c r="X44" s="66" t="s">
        <v>685</v>
      </c>
      <c r="Y44" s="66" t="s">
        <v>685</v>
      </c>
      <c r="Z44" s="66" t="s">
        <v>685</v>
      </c>
      <c r="AA44" s="66">
        <v>0</v>
      </c>
      <c r="AB44" s="66">
        <v>0</v>
      </c>
      <c r="AC44" s="66">
        <v>0</v>
      </c>
    </row>
    <row r="45" spans="1:29">
      <c r="A45" s="68" t="s">
        <v>768</v>
      </c>
      <c r="B45" s="68" t="s">
        <v>663</v>
      </c>
      <c r="N45" s="73">
        <v>0</v>
      </c>
      <c r="O45" s="73">
        <v>0</v>
      </c>
      <c r="P45" s="73">
        <v>0</v>
      </c>
      <c r="Q45" s="73">
        <v>0</v>
      </c>
      <c r="R45" s="50">
        <v>0</v>
      </c>
      <c r="S45" s="50">
        <v>0</v>
      </c>
      <c r="T45" s="66" t="s">
        <v>685</v>
      </c>
      <c r="U45" s="66" t="s">
        <v>685</v>
      </c>
      <c r="V45" s="66" t="s">
        <v>685</v>
      </c>
      <c r="W45" s="66" t="s">
        <v>685</v>
      </c>
      <c r="X45" s="66" t="s">
        <v>685</v>
      </c>
      <c r="Y45" s="66" t="s">
        <v>685</v>
      </c>
      <c r="Z45" s="66" t="s">
        <v>685</v>
      </c>
      <c r="AA45" s="66">
        <v>0</v>
      </c>
      <c r="AB45" s="66">
        <v>0</v>
      </c>
      <c r="AC45" s="66">
        <v>0</v>
      </c>
    </row>
    <row r="46" spans="1:29">
      <c r="A46" s="68" t="s">
        <v>768</v>
      </c>
      <c r="B46" s="43" t="s">
        <v>243</v>
      </c>
      <c r="N46" s="73">
        <v>0</v>
      </c>
      <c r="O46" s="73">
        <v>0</v>
      </c>
      <c r="P46" s="73">
        <v>0</v>
      </c>
      <c r="Q46" s="73">
        <v>0</v>
      </c>
      <c r="R46" s="50">
        <v>0</v>
      </c>
      <c r="S46" s="50">
        <v>0</v>
      </c>
      <c r="T46" s="66" t="s">
        <v>685</v>
      </c>
      <c r="U46" s="66" t="s">
        <v>685</v>
      </c>
      <c r="V46" s="66" t="s">
        <v>685</v>
      </c>
      <c r="W46" s="66" t="s">
        <v>685</v>
      </c>
      <c r="X46" s="66" t="s">
        <v>685</v>
      </c>
      <c r="Y46" s="66" t="s">
        <v>685</v>
      </c>
      <c r="Z46" s="66" t="s">
        <v>685</v>
      </c>
      <c r="AA46" s="66">
        <v>0</v>
      </c>
      <c r="AB46" s="66">
        <v>0</v>
      </c>
      <c r="AC46" s="66">
        <v>0</v>
      </c>
    </row>
    <row r="47" spans="1:29">
      <c r="A47" s="68" t="s">
        <v>768</v>
      </c>
      <c r="B47" s="43" t="s">
        <v>95</v>
      </c>
      <c r="N47" s="73">
        <v>3.8224999999999998</v>
      </c>
      <c r="O47" s="73">
        <v>4.4000000000000004</v>
      </c>
      <c r="P47" s="73">
        <v>4.8457999999999997</v>
      </c>
      <c r="Q47" s="73">
        <v>7.6351000000000004</v>
      </c>
      <c r="R47" s="50">
        <f>(129.58*0.055)</f>
        <v>7.1269000000000009</v>
      </c>
      <c r="S47" s="50">
        <f>(136.4*0.055)</f>
        <v>7.5020000000000007</v>
      </c>
      <c r="T47" s="66">
        <f>(103*0.055)</f>
        <v>5.665</v>
      </c>
      <c r="U47" s="66">
        <f>(82.62*0.055)</f>
        <v>4.5441000000000003</v>
      </c>
      <c r="V47" s="66">
        <f>57.33*0.055</f>
        <v>3.1531500000000001</v>
      </c>
      <c r="W47" s="66">
        <f>(42.361*0.055)+(0.5*0.02)</f>
        <v>2.3398549999999996</v>
      </c>
      <c r="X47" s="66">
        <f>11.458*0.055</f>
        <v>0.63019000000000003</v>
      </c>
      <c r="Y47" s="66">
        <f>17*0.055</f>
        <v>0.93500000000000005</v>
      </c>
      <c r="Z47" s="66">
        <f>42664/1000*0.055</f>
        <v>2.3465199999999999</v>
      </c>
      <c r="AA47" s="66">
        <f>40.392*0.055</f>
        <v>2.2215600000000002</v>
      </c>
      <c r="AB47" s="66">
        <f>40.12*0.055</f>
        <v>2.2065999999999999</v>
      </c>
      <c r="AC47" s="66">
        <f>10.2*0.055</f>
        <v>0.56099999999999994</v>
      </c>
    </row>
    <row r="48" spans="1:29">
      <c r="A48" s="68" t="s">
        <v>768</v>
      </c>
      <c r="B48" s="43" t="s">
        <v>825</v>
      </c>
      <c r="Q48" s="73">
        <v>0</v>
      </c>
      <c r="R48" s="50">
        <f>14*0.11</f>
        <v>1.54</v>
      </c>
      <c r="S48" s="50">
        <f>20.3*0.11</f>
        <v>2.2330000000000001</v>
      </c>
      <c r="T48" s="50">
        <f>22*0.11</f>
        <v>2.42</v>
      </c>
      <c r="U48" s="50">
        <f>4.587*0.11</f>
        <v>0.50456999999999996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</row>
    <row r="49" spans="1:29">
      <c r="A49" s="68" t="s">
        <v>768</v>
      </c>
      <c r="B49" s="43" t="s">
        <v>574</v>
      </c>
      <c r="N49" s="73">
        <v>0</v>
      </c>
      <c r="O49" s="73">
        <v>0</v>
      </c>
      <c r="P49" s="73">
        <v>0</v>
      </c>
      <c r="Q49" s="73">
        <v>0</v>
      </c>
      <c r="R49" s="50">
        <v>0</v>
      </c>
      <c r="S49" s="50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</row>
    <row r="50" spans="1:29">
      <c r="A50" s="68" t="s">
        <v>768</v>
      </c>
      <c r="B50" s="68" t="s">
        <v>535</v>
      </c>
      <c r="N50" s="73">
        <v>0</v>
      </c>
      <c r="O50" s="73">
        <v>0</v>
      </c>
      <c r="P50" s="73">
        <v>0</v>
      </c>
      <c r="Q50" s="73">
        <v>0</v>
      </c>
      <c r="R50" s="50">
        <v>0</v>
      </c>
      <c r="S50" s="50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</row>
    <row r="51" spans="1:29">
      <c r="A51" s="43" t="s">
        <v>542</v>
      </c>
      <c r="B51" s="43" t="s">
        <v>752</v>
      </c>
      <c r="C51" s="72">
        <v>69.873999999999995</v>
      </c>
      <c r="D51" s="72">
        <v>72.004000000000005</v>
      </c>
      <c r="E51" s="72">
        <v>52.731999999999999</v>
      </c>
      <c r="F51" s="72">
        <v>54.59</v>
      </c>
      <c r="G51" s="72">
        <v>53.8</v>
      </c>
      <c r="H51" s="72">
        <v>65.900000000000006</v>
      </c>
      <c r="I51" s="72">
        <v>63</v>
      </c>
      <c r="J51" s="72">
        <v>55.402000000000001</v>
      </c>
      <c r="K51" s="72">
        <v>29.62</v>
      </c>
      <c r="L51" s="72">
        <v>18.782</v>
      </c>
      <c r="M51" s="72">
        <v>12.99</v>
      </c>
      <c r="N51" s="73">
        <v>4.024</v>
      </c>
      <c r="O51" s="73">
        <v>0</v>
      </c>
      <c r="P51" s="73">
        <v>0</v>
      </c>
      <c r="Q51" s="73">
        <v>0</v>
      </c>
      <c r="R51" s="50">
        <v>0</v>
      </c>
      <c r="S51" s="50">
        <v>0</v>
      </c>
      <c r="T51" s="66" t="s">
        <v>685</v>
      </c>
      <c r="U51" s="66" t="s">
        <v>685</v>
      </c>
      <c r="V51" s="66" t="s">
        <v>685</v>
      </c>
      <c r="W51" s="66" t="s">
        <v>685</v>
      </c>
      <c r="X51" s="66" t="s">
        <v>685</v>
      </c>
      <c r="Y51" s="66" t="s">
        <v>685</v>
      </c>
      <c r="Z51" s="66" t="s">
        <v>685</v>
      </c>
      <c r="AA51" s="66">
        <v>0</v>
      </c>
      <c r="AB51" s="66">
        <v>0</v>
      </c>
      <c r="AC51" s="66">
        <v>0</v>
      </c>
    </row>
    <row r="52" spans="1:29">
      <c r="A52" s="43" t="s">
        <v>542</v>
      </c>
      <c r="B52" s="43" t="s">
        <v>663</v>
      </c>
      <c r="C52" s="72">
        <v>0</v>
      </c>
      <c r="D52" s="72">
        <v>0</v>
      </c>
      <c r="E52" s="72">
        <v>0</v>
      </c>
      <c r="F52" s="72">
        <v>0</v>
      </c>
      <c r="G52" s="72">
        <v>0</v>
      </c>
      <c r="H52" s="72">
        <v>0</v>
      </c>
      <c r="I52" s="72">
        <v>1.0999999999999999E-2</v>
      </c>
      <c r="J52" s="72">
        <v>0.253</v>
      </c>
      <c r="K52" s="72">
        <v>2.2989999999999999</v>
      </c>
      <c r="L52" s="72">
        <v>0</v>
      </c>
      <c r="M52" s="72">
        <v>0</v>
      </c>
      <c r="N52" s="73">
        <v>0</v>
      </c>
      <c r="O52" s="73">
        <v>0</v>
      </c>
      <c r="P52" s="73">
        <v>0</v>
      </c>
      <c r="Q52" s="73">
        <v>0</v>
      </c>
      <c r="R52" s="50">
        <v>0</v>
      </c>
      <c r="S52" s="50">
        <v>0</v>
      </c>
      <c r="T52" s="66" t="s">
        <v>685</v>
      </c>
      <c r="U52" s="66" t="s">
        <v>685</v>
      </c>
      <c r="V52" s="66" t="s">
        <v>685</v>
      </c>
      <c r="W52" s="66" t="s">
        <v>685</v>
      </c>
      <c r="X52" s="66" t="s">
        <v>685</v>
      </c>
      <c r="Y52" s="66" t="s">
        <v>685</v>
      </c>
      <c r="Z52" s="66" t="s">
        <v>685</v>
      </c>
      <c r="AA52" s="66">
        <v>0</v>
      </c>
      <c r="AB52" s="66">
        <v>0</v>
      </c>
      <c r="AC52" s="66">
        <v>0</v>
      </c>
    </row>
    <row r="53" spans="1:29">
      <c r="A53" s="43" t="s">
        <v>542</v>
      </c>
      <c r="B53" s="43" t="s">
        <v>243</v>
      </c>
      <c r="C53" s="72">
        <v>0</v>
      </c>
      <c r="D53" s="72">
        <v>0</v>
      </c>
      <c r="E53" s="72">
        <v>0</v>
      </c>
      <c r="F53" s="72">
        <v>0</v>
      </c>
      <c r="G53" s="72">
        <v>0</v>
      </c>
      <c r="H53" s="72">
        <v>0</v>
      </c>
      <c r="I53" s="72">
        <v>0</v>
      </c>
      <c r="J53" s="72">
        <v>0</v>
      </c>
      <c r="K53" s="72">
        <v>0</v>
      </c>
      <c r="L53" s="72">
        <v>0</v>
      </c>
      <c r="M53" s="72">
        <v>0</v>
      </c>
      <c r="N53" s="73">
        <v>0</v>
      </c>
      <c r="O53" s="73">
        <v>0</v>
      </c>
      <c r="P53" s="73">
        <v>0</v>
      </c>
      <c r="Q53" s="73">
        <v>0</v>
      </c>
      <c r="R53" s="50">
        <v>0</v>
      </c>
      <c r="S53" s="50">
        <v>0</v>
      </c>
      <c r="T53" s="66" t="s">
        <v>685</v>
      </c>
      <c r="U53" s="66" t="s">
        <v>685</v>
      </c>
      <c r="V53" s="66" t="s">
        <v>685</v>
      </c>
      <c r="W53" s="66" t="s">
        <v>685</v>
      </c>
      <c r="X53" s="66" t="s">
        <v>685</v>
      </c>
      <c r="Y53" s="66" t="s">
        <v>685</v>
      </c>
      <c r="Z53" s="66" t="s">
        <v>685</v>
      </c>
      <c r="AA53" s="66">
        <v>0</v>
      </c>
      <c r="AB53" s="66">
        <v>0</v>
      </c>
      <c r="AC53" s="66">
        <v>0</v>
      </c>
    </row>
    <row r="54" spans="1:29" ht="12" customHeight="1">
      <c r="A54" s="43" t="s">
        <v>542</v>
      </c>
      <c r="B54" s="43" t="s">
        <v>95</v>
      </c>
      <c r="C54" s="73">
        <v>0</v>
      </c>
      <c r="D54" s="73">
        <v>0</v>
      </c>
      <c r="E54" s="73">
        <v>2.1147499999999999</v>
      </c>
      <c r="F54" s="73">
        <v>4.1607500000000002</v>
      </c>
      <c r="G54" s="73">
        <v>6.2095000000000002</v>
      </c>
      <c r="H54" s="73">
        <v>3.8995000000000002</v>
      </c>
      <c r="I54" s="73">
        <v>5.32</v>
      </c>
      <c r="J54" s="73">
        <v>2.68675</v>
      </c>
      <c r="K54" s="73">
        <v>3.2021000000000002</v>
      </c>
      <c r="L54" s="73">
        <v>5.0121500000000001</v>
      </c>
      <c r="M54" s="73">
        <v>5.6457500000000005</v>
      </c>
      <c r="N54" s="73">
        <v>4.8647499999999999</v>
      </c>
      <c r="O54" s="73">
        <v>5.7612500000000004</v>
      </c>
      <c r="P54" s="73">
        <v>3.9435000000000002</v>
      </c>
      <c r="Q54" s="73">
        <v>3.3896500000000001</v>
      </c>
      <c r="R54" s="50">
        <f>111.46*0.055</f>
        <v>6.1303000000000001</v>
      </c>
      <c r="S54" s="50">
        <f>55.5*0.055</f>
        <v>3.0525000000000002</v>
      </c>
      <c r="T54" s="66">
        <f>49.6*0.055</f>
        <v>2.7280000000000002</v>
      </c>
      <c r="U54" s="66">
        <f>49.4*0.055</f>
        <v>2.7170000000000001</v>
      </c>
      <c r="V54" s="66">
        <f>49.2*0.055</f>
        <v>2.706</v>
      </c>
      <c r="W54" s="66">
        <f>64*0.055</f>
        <v>3.52</v>
      </c>
      <c r="X54" s="66">
        <f>68*0.055</f>
        <v>3.74</v>
      </c>
      <c r="Y54" s="66">
        <f>50*0.055</f>
        <v>2.75</v>
      </c>
      <c r="Z54" s="66">
        <f>49.4*0.055</f>
        <v>2.7170000000000001</v>
      </c>
      <c r="AA54" s="66">
        <f>48.82*0.055</f>
        <v>2.6850999999999998</v>
      </c>
      <c r="AB54" s="66">
        <f>47.7*0.055</f>
        <v>2.6235000000000004</v>
      </c>
      <c r="AC54" s="66">
        <f>38.2*0.055</f>
        <v>2.101</v>
      </c>
    </row>
    <row r="55" spans="1:29">
      <c r="A55" s="43" t="s">
        <v>542</v>
      </c>
      <c r="B55" s="43" t="s">
        <v>825</v>
      </c>
      <c r="Q55" s="73">
        <v>0</v>
      </c>
      <c r="R55" s="50">
        <v>0</v>
      </c>
      <c r="S55" s="50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</row>
    <row r="56" spans="1:29">
      <c r="A56" s="43" t="s">
        <v>542</v>
      </c>
      <c r="B56" s="43" t="s">
        <v>574</v>
      </c>
      <c r="C56" s="72">
        <v>0</v>
      </c>
      <c r="D56" s="72">
        <v>0</v>
      </c>
      <c r="E56" s="72">
        <v>6.0000000000000001E-3</v>
      </c>
      <c r="F56" s="72">
        <v>0.58799999999999997</v>
      </c>
      <c r="G56" s="72">
        <v>0.42</v>
      </c>
      <c r="H56" s="72">
        <v>0.54</v>
      </c>
      <c r="I56" s="72">
        <v>1.2E-2</v>
      </c>
      <c r="J56" s="72">
        <v>0</v>
      </c>
      <c r="K56" s="72">
        <v>0</v>
      </c>
      <c r="L56" s="72">
        <v>0</v>
      </c>
      <c r="M56" s="72">
        <v>0</v>
      </c>
      <c r="N56" s="73">
        <v>0</v>
      </c>
      <c r="O56" s="73">
        <v>0</v>
      </c>
      <c r="P56" s="73">
        <v>0</v>
      </c>
      <c r="Q56" s="73">
        <v>0</v>
      </c>
      <c r="R56" s="50">
        <v>0</v>
      </c>
      <c r="S56" s="50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</row>
    <row r="57" spans="1:29">
      <c r="A57" s="43" t="s">
        <v>542</v>
      </c>
      <c r="B57" s="43" t="s">
        <v>535</v>
      </c>
      <c r="C57" s="72">
        <v>0</v>
      </c>
      <c r="D57" s="72">
        <v>0</v>
      </c>
      <c r="E57" s="72">
        <v>0</v>
      </c>
      <c r="F57" s="72">
        <v>2.7E-2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3">
        <v>0</v>
      </c>
      <c r="O57" s="73">
        <v>0</v>
      </c>
      <c r="P57" s="73">
        <v>0</v>
      </c>
      <c r="Q57" s="73">
        <v>0</v>
      </c>
      <c r="R57" s="50">
        <v>0</v>
      </c>
      <c r="S57" s="50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</row>
    <row r="58" spans="1:29">
      <c r="A58" s="43" t="s">
        <v>537</v>
      </c>
      <c r="B58" s="43" t="s">
        <v>752</v>
      </c>
      <c r="C58" s="72">
        <v>121.86</v>
      </c>
      <c r="D58" s="72">
        <v>137.22999999999999</v>
      </c>
      <c r="E58" s="72">
        <v>147.19999999999999</v>
      </c>
      <c r="F58" s="72">
        <v>168.5</v>
      </c>
      <c r="G58" s="72">
        <v>129</v>
      </c>
      <c r="H58" s="72">
        <v>113.1</v>
      </c>
      <c r="I58" s="72">
        <v>106</v>
      </c>
      <c r="J58" s="72">
        <v>94.6</v>
      </c>
      <c r="K58" s="72">
        <v>86.2</v>
      </c>
      <c r="L58" s="72">
        <v>64.8</v>
      </c>
      <c r="M58" s="72">
        <v>58.701999999999998</v>
      </c>
      <c r="N58" s="73">
        <v>32.473999999999997</v>
      </c>
      <c r="O58" s="73">
        <v>14.664</v>
      </c>
      <c r="P58" s="73">
        <v>11.71</v>
      </c>
      <c r="Q58" s="73">
        <f>10.23+(0.05*0.6)</f>
        <v>10.26</v>
      </c>
      <c r="R58" s="50">
        <f>10.23+(0.05*0.6)</f>
        <v>10.26</v>
      </c>
      <c r="S58" s="50">
        <f>0.05*0.6</f>
        <v>0.03</v>
      </c>
      <c r="T58" s="66" t="s">
        <v>685</v>
      </c>
      <c r="U58" s="66" t="s">
        <v>685</v>
      </c>
      <c r="V58" s="66" t="s">
        <v>685</v>
      </c>
      <c r="W58" s="66" t="s">
        <v>685</v>
      </c>
      <c r="X58" s="66" t="s">
        <v>685</v>
      </c>
      <c r="Y58" s="66" t="s">
        <v>685</v>
      </c>
      <c r="Z58" s="66" t="s">
        <v>685</v>
      </c>
      <c r="AA58" s="66">
        <v>0</v>
      </c>
      <c r="AB58" s="66">
        <v>0</v>
      </c>
      <c r="AC58" s="66">
        <v>0</v>
      </c>
    </row>
    <row r="59" spans="1:29">
      <c r="A59" s="43" t="s">
        <v>537</v>
      </c>
      <c r="B59" s="43" t="s">
        <v>663</v>
      </c>
      <c r="C59" s="72">
        <v>2.1999999999999999E-2</v>
      </c>
      <c r="D59" s="72">
        <v>3.3000000000000002E-2</v>
      </c>
      <c r="E59" s="72">
        <v>1.32</v>
      </c>
      <c r="F59" s="72">
        <v>1.1000000000000001</v>
      </c>
      <c r="G59" s="72">
        <v>0.55000000000000004</v>
      </c>
      <c r="H59" s="72">
        <v>0.55000000000000004</v>
      </c>
      <c r="I59" s="72">
        <v>0.55000000000000004</v>
      </c>
      <c r="J59" s="72">
        <v>1.1000000000000001</v>
      </c>
      <c r="K59" s="72">
        <v>0.99</v>
      </c>
      <c r="L59" s="72">
        <v>0.121</v>
      </c>
      <c r="M59" s="72">
        <v>0</v>
      </c>
      <c r="N59" s="73">
        <v>0</v>
      </c>
      <c r="O59" s="73">
        <v>0</v>
      </c>
      <c r="P59" s="73">
        <v>0</v>
      </c>
      <c r="Q59" s="73">
        <v>0</v>
      </c>
      <c r="R59" s="50">
        <v>0</v>
      </c>
      <c r="S59" s="50">
        <v>0</v>
      </c>
      <c r="T59" s="66" t="s">
        <v>685</v>
      </c>
      <c r="U59" s="66" t="s">
        <v>685</v>
      </c>
      <c r="V59" s="66" t="s">
        <v>685</v>
      </c>
      <c r="W59" s="66" t="s">
        <v>685</v>
      </c>
      <c r="X59" s="66" t="s">
        <v>685</v>
      </c>
      <c r="Y59" s="66" t="s">
        <v>685</v>
      </c>
      <c r="Z59" s="66" t="s">
        <v>685</v>
      </c>
      <c r="AA59" s="66">
        <v>0</v>
      </c>
      <c r="AB59" s="66">
        <v>0</v>
      </c>
      <c r="AC59" s="66">
        <v>0</v>
      </c>
    </row>
    <row r="60" spans="1:29">
      <c r="A60" s="43" t="s">
        <v>537</v>
      </c>
      <c r="B60" s="43" t="s">
        <v>243</v>
      </c>
      <c r="C60" s="72">
        <v>43.52</v>
      </c>
      <c r="D60" s="72">
        <v>38.1</v>
      </c>
      <c r="E60" s="72">
        <v>35</v>
      </c>
      <c r="F60" s="72">
        <v>12.5</v>
      </c>
      <c r="G60" s="72">
        <v>17.5</v>
      </c>
      <c r="H60" s="72">
        <v>16</v>
      </c>
      <c r="I60" s="72">
        <v>5</v>
      </c>
      <c r="J60" s="72">
        <v>0</v>
      </c>
      <c r="K60" s="72">
        <v>4.38</v>
      </c>
      <c r="L60" s="72">
        <v>0</v>
      </c>
      <c r="M60" s="72">
        <v>0</v>
      </c>
      <c r="N60" s="73">
        <v>0</v>
      </c>
      <c r="O60" s="73">
        <v>0</v>
      </c>
      <c r="P60" s="73">
        <v>0</v>
      </c>
      <c r="Q60" s="73">
        <v>0</v>
      </c>
      <c r="R60" s="50">
        <v>0</v>
      </c>
      <c r="S60" s="50">
        <v>0</v>
      </c>
      <c r="T60" s="66" t="s">
        <v>685</v>
      </c>
      <c r="U60" s="66" t="s">
        <v>685</v>
      </c>
      <c r="V60" s="66" t="s">
        <v>685</v>
      </c>
      <c r="W60" s="66" t="s">
        <v>685</v>
      </c>
      <c r="X60" s="66" t="s">
        <v>685</v>
      </c>
      <c r="Y60" s="66" t="s">
        <v>685</v>
      </c>
      <c r="Z60" s="66" t="s">
        <v>685</v>
      </c>
      <c r="AA60" s="66">
        <v>0</v>
      </c>
      <c r="AB60" s="66">
        <v>0</v>
      </c>
      <c r="AC60" s="66">
        <v>0</v>
      </c>
    </row>
    <row r="61" spans="1:29">
      <c r="A61" s="43" t="s">
        <v>537</v>
      </c>
      <c r="B61" s="43" t="s">
        <v>95</v>
      </c>
      <c r="C61" s="73">
        <v>16.39</v>
      </c>
      <c r="D61" s="73">
        <v>21.295999999999999</v>
      </c>
      <c r="E61" s="73">
        <v>22</v>
      </c>
      <c r="F61" s="73">
        <v>22</v>
      </c>
      <c r="G61" s="73">
        <v>17.324999999999999</v>
      </c>
      <c r="H61" s="73">
        <v>35.75</v>
      </c>
      <c r="I61" s="73">
        <v>35.200000000000003</v>
      </c>
      <c r="J61" s="73">
        <v>37.950000000000003</v>
      </c>
      <c r="K61" s="73">
        <v>0</v>
      </c>
      <c r="L61" s="73">
        <v>19.783500000000004</v>
      </c>
      <c r="M61" s="73">
        <v>26.969799999999999</v>
      </c>
      <c r="N61" s="73">
        <v>28.678650000000001</v>
      </c>
      <c r="O61" s="73">
        <v>28.678814999999997</v>
      </c>
      <c r="P61" s="73">
        <v>38.754100000000001</v>
      </c>
      <c r="Q61" s="73">
        <f>(807.16*0.055)+(6.2*0.11)</f>
        <v>45.075800000000001</v>
      </c>
      <c r="R61" s="50">
        <f>(1064.36*0.055)+(1.74*0.11)</f>
        <v>58.731199999999994</v>
      </c>
      <c r="S61" s="50">
        <f>(1031.1*0.055)+(5.5*0.11)</f>
        <v>57.315499999999993</v>
      </c>
      <c r="T61" s="66">
        <f>(1385.8*0.055)+(7.344*0.11)+(1.99*0.022)</f>
        <v>77.070619999999991</v>
      </c>
      <c r="U61" s="66">
        <f>(891.4233*0.055)+(4.6768*0.11)+(2.724*0.02)</f>
        <v>49.597209500000005</v>
      </c>
      <c r="V61" s="66">
        <f>(876.13*0.055)+(7.82*0.11)+(2.724*0.02)+(1.63*0.022)</f>
        <v>49.137689999999999</v>
      </c>
      <c r="W61" s="66">
        <f>(829.0442*0.055)+(3.4816*0.11)</f>
        <v>45.980407</v>
      </c>
      <c r="X61" s="66">
        <f>(824.2256*0.055)+(3.5498*0.11)+(2.5424*0.02)</f>
        <v>45.773734000000005</v>
      </c>
      <c r="Y61" s="66">
        <f>(798.8505*0.055)+(1.999*0.11)+(2.9056*0.02)</f>
        <v>44.214779499999999</v>
      </c>
      <c r="Z61" s="66">
        <f>(735.152*0.055)+(1.944*0.11)</f>
        <v>40.647199999999998</v>
      </c>
      <c r="AA61" s="66">
        <f>(669.4432*0.055)+(2.01*0.11)</f>
        <v>37.040476000000005</v>
      </c>
      <c r="AB61" s="66">
        <f>595.5536*0.055</f>
        <v>32.755448000000001</v>
      </c>
      <c r="AC61" s="66">
        <f>447.384*0.055</f>
        <v>24.606120000000001</v>
      </c>
    </row>
    <row r="62" spans="1:29">
      <c r="A62" s="43" t="s">
        <v>537</v>
      </c>
      <c r="B62" s="43" t="s">
        <v>825</v>
      </c>
      <c r="Q62" s="73">
        <f>20.13*0.11</f>
        <v>2.2142999999999997</v>
      </c>
      <c r="R62" s="50">
        <f>25.76*0.11</f>
        <v>2.8336000000000001</v>
      </c>
      <c r="S62" s="50">
        <f>62.75*0.11</f>
        <v>6.9024999999999999</v>
      </c>
      <c r="T62" s="50">
        <f>86.1049*0.11</f>
        <v>9.4715389999999999</v>
      </c>
      <c r="U62" s="50">
        <f>123.1473*0.11</f>
        <v>13.546203</v>
      </c>
      <c r="V62" s="66">
        <v>0</v>
      </c>
      <c r="W62" s="66">
        <v>0</v>
      </c>
      <c r="X62" s="66">
        <f>172.978*0.11</f>
        <v>19.02758</v>
      </c>
      <c r="Y62" s="66">
        <f>170.456*0.11</f>
        <v>18.750159999999997</v>
      </c>
      <c r="Z62" s="66">
        <f>192.442*0.11</f>
        <v>21.168620000000001</v>
      </c>
      <c r="AA62" s="66">
        <f>125.539*0.11</f>
        <v>13.809290000000001</v>
      </c>
      <c r="AB62" s="66">
        <v>0</v>
      </c>
      <c r="AC62" s="66">
        <v>0</v>
      </c>
    </row>
    <row r="63" spans="1:29">
      <c r="A63" s="43" t="s">
        <v>537</v>
      </c>
      <c r="B63" s="43" t="s">
        <v>574</v>
      </c>
      <c r="C63" s="72">
        <v>0</v>
      </c>
      <c r="D63" s="72">
        <v>0</v>
      </c>
      <c r="E63" s="72">
        <v>1.2</v>
      </c>
      <c r="F63" s="72">
        <v>0</v>
      </c>
      <c r="G63" s="72">
        <v>0</v>
      </c>
      <c r="H63" s="72">
        <v>1.8</v>
      </c>
      <c r="I63" s="72">
        <v>1.2</v>
      </c>
      <c r="J63" s="72">
        <v>1.2</v>
      </c>
      <c r="K63" s="72">
        <v>0.98399999999999999</v>
      </c>
      <c r="L63" s="72">
        <v>0.90600000000000003</v>
      </c>
      <c r="M63" s="72">
        <v>0</v>
      </c>
      <c r="N63" s="73">
        <v>0</v>
      </c>
      <c r="O63" s="73">
        <v>0</v>
      </c>
      <c r="P63" s="73">
        <v>0</v>
      </c>
      <c r="Q63" s="73">
        <v>0</v>
      </c>
      <c r="R63" s="50">
        <v>0</v>
      </c>
      <c r="S63" s="50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</row>
    <row r="64" spans="1:29">
      <c r="A64" s="43" t="s">
        <v>537</v>
      </c>
      <c r="B64" s="43" t="s">
        <v>535</v>
      </c>
      <c r="C64" s="72">
        <v>27.66</v>
      </c>
      <c r="D64" s="72">
        <v>37.630000000000003</v>
      </c>
      <c r="E64" s="72">
        <v>53.2</v>
      </c>
      <c r="F64" s="72">
        <v>36</v>
      </c>
      <c r="G64" s="72">
        <v>22</v>
      </c>
      <c r="H64" s="72">
        <v>10</v>
      </c>
      <c r="I64" s="72">
        <v>2.5</v>
      </c>
      <c r="J64" s="72">
        <v>1.5</v>
      </c>
      <c r="K64" s="72">
        <v>0.67300000000000004</v>
      </c>
      <c r="L64" s="72">
        <v>0.61</v>
      </c>
      <c r="M64" s="72">
        <v>0</v>
      </c>
      <c r="N64" s="73">
        <v>0</v>
      </c>
      <c r="O64" s="73">
        <v>0</v>
      </c>
      <c r="P64" s="73">
        <v>0</v>
      </c>
      <c r="Q64" s="73">
        <v>0</v>
      </c>
      <c r="R64" s="50">
        <v>0</v>
      </c>
      <c r="S64" s="50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</row>
    <row r="65" spans="1:30">
      <c r="A65" s="43" t="s">
        <v>541</v>
      </c>
      <c r="B65" s="43" t="s">
        <v>752</v>
      </c>
      <c r="C65" s="72">
        <v>280.68</v>
      </c>
      <c r="D65" s="72">
        <v>628.27</v>
      </c>
      <c r="E65" s="72">
        <v>869.41</v>
      </c>
      <c r="F65" s="72">
        <v>830.37400000000002</v>
      </c>
      <c r="G65" s="72">
        <v>800.61</v>
      </c>
      <c r="H65" s="72">
        <v>805.02</v>
      </c>
      <c r="I65" s="72">
        <v>807.93</v>
      </c>
      <c r="J65" s="72">
        <v>328.01</v>
      </c>
      <c r="K65" s="72">
        <v>333.00200000000001</v>
      </c>
      <c r="M65" s="72">
        <v>262.95600000000002</v>
      </c>
      <c r="N65" s="73">
        <v>196.22</v>
      </c>
      <c r="O65" s="73">
        <v>154.9</v>
      </c>
      <c r="P65" s="73">
        <v>158.31</v>
      </c>
      <c r="Q65" s="73">
        <v>127.58499999999999</v>
      </c>
      <c r="R65" s="50">
        <v>47.98</v>
      </c>
      <c r="S65" s="50">
        <v>47.95</v>
      </c>
      <c r="T65" s="66" t="s">
        <v>685</v>
      </c>
      <c r="U65" s="66" t="s">
        <v>685</v>
      </c>
      <c r="V65" s="66" t="s">
        <v>685</v>
      </c>
      <c r="W65" s="66" t="s">
        <v>685</v>
      </c>
      <c r="X65" s="66" t="s">
        <v>685</v>
      </c>
      <c r="Y65" s="66" t="s">
        <v>685</v>
      </c>
      <c r="Z65" s="66" t="s">
        <v>685</v>
      </c>
      <c r="AA65" s="66">
        <v>0</v>
      </c>
      <c r="AB65" s="66">
        <v>0</v>
      </c>
      <c r="AC65" s="66">
        <v>0</v>
      </c>
    </row>
    <row r="66" spans="1:30">
      <c r="A66" s="43" t="s">
        <v>541</v>
      </c>
      <c r="B66" s="43" t="s">
        <v>663</v>
      </c>
      <c r="C66" s="72">
        <v>8.34</v>
      </c>
      <c r="D66" s="72">
        <v>2.0129999999999999</v>
      </c>
      <c r="E66" s="72">
        <v>2.2000000000000002</v>
      </c>
      <c r="F66" s="72">
        <v>5.5</v>
      </c>
      <c r="G66" s="72">
        <v>6.05</v>
      </c>
      <c r="H66" s="72">
        <v>5.5</v>
      </c>
      <c r="I66" s="72">
        <v>11.68</v>
      </c>
      <c r="J66" s="72">
        <v>13.82</v>
      </c>
      <c r="K66" s="72">
        <v>6.6879999999999997</v>
      </c>
      <c r="M66" s="72">
        <v>0.88</v>
      </c>
      <c r="N66" s="73">
        <v>6.6000000000000003E-2</v>
      </c>
      <c r="O66" s="73">
        <v>6.6000000000000003E-2</v>
      </c>
      <c r="P66" s="73">
        <v>5.5E-2</v>
      </c>
      <c r="Q66" s="73">
        <v>5.5E-2</v>
      </c>
      <c r="R66" s="50">
        <v>0</v>
      </c>
      <c r="S66" s="50">
        <v>0</v>
      </c>
      <c r="T66" s="66" t="s">
        <v>685</v>
      </c>
      <c r="U66" s="66" t="s">
        <v>685</v>
      </c>
      <c r="V66" s="66" t="s">
        <v>685</v>
      </c>
      <c r="W66" s="66" t="s">
        <v>685</v>
      </c>
      <c r="X66" s="66" t="s">
        <v>685</v>
      </c>
      <c r="Y66" s="66" t="s">
        <v>685</v>
      </c>
      <c r="Z66" s="66" t="s">
        <v>685</v>
      </c>
      <c r="AA66" s="66">
        <v>0</v>
      </c>
      <c r="AB66" s="66">
        <v>0</v>
      </c>
      <c r="AC66" s="66">
        <v>0</v>
      </c>
    </row>
    <row r="67" spans="1:30">
      <c r="A67" s="43" t="s">
        <v>541</v>
      </c>
      <c r="B67" s="43" t="s">
        <v>243</v>
      </c>
      <c r="C67" s="72">
        <v>0</v>
      </c>
      <c r="D67" s="72">
        <v>0</v>
      </c>
      <c r="E67" s="72">
        <v>0</v>
      </c>
      <c r="F67" s="72">
        <v>0</v>
      </c>
      <c r="G67" s="72">
        <v>0</v>
      </c>
      <c r="H67" s="72">
        <v>0</v>
      </c>
      <c r="I67" s="72">
        <v>0</v>
      </c>
      <c r="J67" s="72">
        <v>0</v>
      </c>
      <c r="K67" s="72">
        <v>0</v>
      </c>
      <c r="M67" s="72">
        <v>0</v>
      </c>
      <c r="N67" s="73">
        <v>0</v>
      </c>
      <c r="O67" s="73">
        <v>0</v>
      </c>
      <c r="P67" s="73">
        <v>0</v>
      </c>
      <c r="Q67" s="73">
        <v>0</v>
      </c>
      <c r="R67" s="50">
        <v>0</v>
      </c>
      <c r="S67" s="50">
        <v>0</v>
      </c>
      <c r="T67" s="66" t="s">
        <v>685</v>
      </c>
      <c r="U67" s="66" t="s">
        <v>685</v>
      </c>
      <c r="V67" s="66" t="s">
        <v>685</v>
      </c>
      <c r="W67" s="66" t="s">
        <v>685</v>
      </c>
      <c r="X67" s="66" t="s">
        <v>685</v>
      </c>
      <c r="Y67" s="66" t="s">
        <v>685</v>
      </c>
      <c r="Z67" s="66" t="s">
        <v>685</v>
      </c>
      <c r="AA67" s="66">
        <v>0</v>
      </c>
      <c r="AB67" s="66">
        <v>0</v>
      </c>
      <c r="AC67" s="66">
        <v>0</v>
      </c>
    </row>
    <row r="68" spans="1:30">
      <c r="A68" s="43" t="s">
        <v>541</v>
      </c>
      <c r="B68" s="43" t="s">
        <v>95</v>
      </c>
      <c r="C68" s="73">
        <v>2.0795500000000002</v>
      </c>
      <c r="D68" s="73">
        <v>3.42265</v>
      </c>
      <c r="E68" s="73">
        <v>7.5069500000000007</v>
      </c>
      <c r="F68" s="73">
        <v>3.7202000000000002</v>
      </c>
      <c r="G68" s="73">
        <v>7.1483499999999998</v>
      </c>
      <c r="H68" s="73">
        <v>5.2651500000000002</v>
      </c>
      <c r="I68" s="73">
        <v>5.8498000000000001</v>
      </c>
      <c r="J68" s="73">
        <v>7.2748500000000007</v>
      </c>
      <c r="K68" s="73">
        <v>8.6959999999999997</v>
      </c>
      <c r="M68" s="73">
        <v>13.2033</v>
      </c>
      <c r="N68" s="73">
        <v>20.68</v>
      </c>
      <c r="O68" s="73">
        <v>37.18</v>
      </c>
      <c r="P68" s="73">
        <v>64.199950000000001</v>
      </c>
      <c r="Q68" s="73">
        <v>67.747900000000001</v>
      </c>
      <c r="R68" s="50">
        <f>(802.84*0.055)+(196*0.11)+(176.07*0.065)+(12.65*0.02)+(5.79*0.022)</f>
        <v>77.54113000000001</v>
      </c>
      <c r="S68" s="50">
        <f>(1056.52*0.055)+(198*0.11)+(125.52*0.065)+(15.004*0.02)+(3.27*0.022)</f>
        <v>88.419419999999988</v>
      </c>
      <c r="T68" s="66">
        <f>(1053.57*0.055)+(50*0.11)+(44.35*0.065)+(7.05*0.02)</f>
        <v>66.470100000000002</v>
      </c>
      <c r="U68" s="66">
        <f>(1044.04*0.055)+(40*0.11)+(45.08*0.065)+(6.8*0.02)</f>
        <v>64.88839999999999</v>
      </c>
      <c r="V68" s="66">
        <f>(1047.87*0.055)+(25.75*0.065)+(3*0.02)</f>
        <v>59.366599999999998</v>
      </c>
      <c r="W68" s="66">
        <f>(1156.76*0.055)+(6.41*0.065)+(7*0.02)</f>
        <v>64.178449999999998</v>
      </c>
      <c r="X68" s="66">
        <f>(1150.34*0.055)+(6.36*0.065)+(11*0.02)</f>
        <v>63.902099999999997</v>
      </c>
      <c r="Y68" s="66">
        <f>(1141.4*0.055)+(6.36*0.065)+(7*0.02)</f>
        <v>63.330400000000012</v>
      </c>
      <c r="Z68" s="66">
        <f>(857.16*0.055)+(3.18*0.065)+(3.01*0.02)</f>
        <v>47.410699999999999</v>
      </c>
      <c r="AA68" s="66">
        <f>(875.507*0.055)+(9.768*0.065)+(2.5*0.02)</f>
        <v>48.837804999999996</v>
      </c>
      <c r="AB68" s="66">
        <f>(844.968*0.055)+(2.6*0.02)</f>
        <v>46.525239999999997</v>
      </c>
      <c r="AC68" s="66">
        <f>(852.72*0.055)+(2*0.02)</f>
        <v>46.939599999999999</v>
      </c>
    </row>
    <row r="69" spans="1:30">
      <c r="A69" s="43" t="s">
        <v>541</v>
      </c>
      <c r="B69" s="43" t="s">
        <v>825</v>
      </c>
      <c r="Q69" s="73">
        <v>0</v>
      </c>
      <c r="R69" s="50">
        <v>0</v>
      </c>
      <c r="S69" s="50">
        <v>0</v>
      </c>
      <c r="T69" s="50">
        <f>190*0.11</f>
        <v>20.9</v>
      </c>
      <c r="U69" s="50">
        <f>50*0.11</f>
        <v>5.5</v>
      </c>
      <c r="V69" s="66">
        <f>110*0.11</f>
        <v>12.1</v>
      </c>
      <c r="W69" s="66">
        <f>140*0.11</f>
        <v>15.4</v>
      </c>
      <c r="X69" s="66">
        <f>150*0.11</f>
        <v>16.5</v>
      </c>
      <c r="Y69" s="66">
        <f>180*0.11</f>
        <v>19.8</v>
      </c>
      <c r="Z69" s="66">
        <f>196*0.11</f>
        <v>21.56</v>
      </c>
      <c r="AA69" s="66">
        <v>0</v>
      </c>
      <c r="AB69" s="66">
        <f>360*0.11</f>
        <v>39.6</v>
      </c>
      <c r="AC69" s="66">
        <f>440*0.11</f>
        <v>48.4</v>
      </c>
    </row>
    <row r="70" spans="1:30">
      <c r="A70" s="43" t="s">
        <v>541</v>
      </c>
      <c r="B70" s="43" t="s">
        <v>574</v>
      </c>
      <c r="C70" s="72">
        <v>0</v>
      </c>
      <c r="D70" s="72">
        <v>0</v>
      </c>
      <c r="E70" s="72">
        <v>0</v>
      </c>
      <c r="F70" s="72">
        <v>0</v>
      </c>
      <c r="G70" s="72">
        <v>0</v>
      </c>
      <c r="H70" s="72">
        <v>0</v>
      </c>
      <c r="I70" s="72">
        <v>0</v>
      </c>
      <c r="J70" s="72">
        <v>0</v>
      </c>
      <c r="K70" s="72">
        <v>0</v>
      </c>
      <c r="M70" s="72">
        <v>0</v>
      </c>
      <c r="N70" s="73">
        <v>0</v>
      </c>
      <c r="O70" s="73">
        <v>0</v>
      </c>
      <c r="P70" s="73">
        <v>0</v>
      </c>
      <c r="Q70" s="73">
        <v>0</v>
      </c>
      <c r="R70" s="50">
        <v>0</v>
      </c>
      <c r="S70" s="50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</row>
    <row r="71" spans="1:30">
      <c r="A71" s="43" t="s">
        <v>541</v>
      </c>
      <c r="B71" s="43" t="s">
        <v>535</v>
      </c>
      <c r="C71" s="72">
        <v>0.223</v>
      </c>
      <c r="D71" s="72">
        <v>0</v>
      </c>
      <c r="E71" s="72">
        <v>0.65</v>
      </c>
      <c r="F71" s="72">
        <v>1</v>
      </c>
      <c r="G71" s="72">
        <v>1</v>
      </c>
      <c r="H71" s="72">
        <v>0.6</v>
      </c>
      <c r="I71" s="72">
        <v>1.5</v>
      </c>
      <c r="J71" s="72">
        <v>0.95</v>
      </c>
      <c r="K71" s="72">
        <v>0.89200000000000002</v>
      </c>
      <c r="M71" s="72">
        <v>0.5</v>
      </c>
      <c r="N71" s="73">
        <v>0.5</v>
      </c>
      <c r="O71" s="73">
        <v>0.5</v>
      </c>
      <c r="P71" s="73">
        <v>0.5</v>
      </c>
      <c r="Q71" s="73">
        <v>0.5</v>
      </c>
      <c r="R71" s="50">
        <v>0</v>
      </c>
      <c r="S71" s="50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</row>
    <row r="72" spans="1:30">
      <c r="A72" s="43" t="s">
        <v>538</v>
      </c>
      <c r="B72" s="43" t="s">
        <v>752</v>
      </c>
      <c r="C72" s="72">
        <v>24.96</v>
      </c>
      <c r="D72" s="72">
        <v>22.43</v>
      </c>
      <c r="E72" s="72">
        <v>17.190000000000001</v>
      </c>
      <c r="F72" s="72">
        <v>22.49</v>
      </c>
      <c r="G72" s="72">
        <v>16.510000000000002</v>
      </c>
      <c r="H72" s="72">
        <v>8.08</v>
      </c>
      <c r="I72" s="72">
        <v>12.49</v>
      </c>
      <c r="J72" s="72">
        <v>11.13</v>
      </c>
      <c r="K72" s="72">
        <v>8.5640000000000001</v>
      </c>
      <c r="L72" s="72">
        <v>14.05</v>
      </c>
      <c r="M72" s="72">
        <v>6.7220000000000004</v>
      </c>
      <c r="N72" s="73">
        <v>7.41</v>
      </c>
      <c r="O72" s="73">
        <v>1.93</v>
      </c>
      <c r="P72" s="73">
        <v>1.0880000000000001</v>
      </c>
      <c r="Q72" s="73">
        <v>0</v>
      </c>
      <c r="R72" s="50">
        <v>0</v>
      </c>
      <c r="S72" s="50">
        <v>0</v>
      </c>
      <c r="T72" s="66" t="s">
        <v>685</v>
      </c>
      <c r="U72" s="66" t="s">
        <v>685</v>
      </c>
      <c r="V72" s="66" t="s">
        <v>685</v>
      </c>
      <c r="W72" s="66" t="s">
        <v>685</v>
      </c>
      <c r="X72" s="66" t="s">
        <v>685</v>
      </c>
      <c r="Y72" s="66" t="s">
        <v>685</v>
      </c>
      <c r="Z72" s="66" t="s">
        <v>685</v>
      </c>
      <c r="AA72" s="66">
        <v>0</v>
      </c>
      <c r="AB72" s="66">
        <v>0</v>
      </c>
      <c r="AC72" s="66">
        <v>0</v>
      </c>
    </row>
    <row r="73" spans="1:30">
      <c r="A73" s="43" t="s">
        <v>538</v>
      </c>
      <c r="B73" s="43" t="s">
        <v>663</v>
      </c>
      <c r="C73" s="72">
        <v>0</v>
      </c>
      <c r="D73" s="72">
        <v>0</v>
      </c>
      <c r="E73" s="72">
        <v>0</v>
      </c>
      <c r="F73" s="72">
        <v>0</v>
      </c>
      <c r="G73" s="72">
        <v>0</v>
      </c>
      <c r="H73" s="72">
        <v>0</v>
      </c>
      <c r="I73" s="72">
        <v>0</v>
      </c>
      <c r="J73" s="72">
        <v>0</v>
      </c>
      <c r="K73" s="72">
        <v>1.0999999999999999E-2</v>
      </c>
      <c r="L73" s="72">
        <v>0</v>
      </c>
      <c r="M73" s="72">
        <v>0</v>
      </c>
      <c r="N73" s="73">
        <v>0</v>
      </c>
      <c r="O73" s="73">
        <v>0</v>
      </c>
      <c r="P73" s="73">
        <v>0</v>
      </c>
      <c r="Q73" s="73">
        <v>0</v>
      </c>
      <c r="R73" s="50">
        <v>0</v>
      </c>
      <c r="S73" s="50">
        <v>0</v>
      </c>
      <c r="T73" s="66" t="s">
        <v>685</v>
      </c>
      <c r="U73" s="66" t="s">
        <v>685</v>
      </c>
      <c r="V73" s="66" t="s">
        <v>685</v>
      </c>
      <c r="W73" s="66" t="s">
        <v>685</v>
      </c>
      <c r="X73" s="66" t="s">
        <v>685</v>
      </c>
      <c r="Y73" s="66" t="s">
        <v>685</v>
      </c>
      <c r="Z73" s="66" t="s">
        <v>685</v>
      </c>
      <c r="AA73" s="66">
        <v>0</v>
      </c>
      <c r="AB73" s="66">
        <v>0</v>
      </c>
      <c r="AC73" s="66">
        <v>0</v>
      </c>
    </row>
    <row r="74" spans="1:30">
      <c r="A74" s="43" t="s">
        <v>538</v>
      </c>
      <c r="B74" s="43" t="s">
        <v>243</v>
      </c>
      <c r="C74" s="72">
        <v>0</v>
      </c>
      <c r="D74" s="72">
        <v>0</v>
      </c>
      <c r="E74" s="72">
        <v>0</v>
      </c>
      <c r="F74" s="72">
        <v>0</v>
      </c>
      <c r="G74" s="72">
        <v>0</v>
      </c>
      <c r="H74" s="72">
        <v>0</v>
      </c>
      <c r="I74" s="72">
        <v>0</v>
      </c>
      <c r="J74" s="72">
        <v>0</v>
      </c>
      <c r="K74" s="72">
        <v>0</v>
      </c>
      <c r="L74" s="72">
        <v>0</v>
      </c>
      <c r="M74" s="72">
        <v>0</v>
      </c>
      <c r="N74" s="73">
        <v>0</v>
      </c>
      <c r="O74" s="73">
        <v>0</v>
      </c>
      <c r="P74" s="73">
        <v>0</v>
      </c>
      <c r="Q74" s="73">
        <v>0</v>
      </c>
      <c r="R74" s="50">
        <v>0</v>
      </c>
      <c r="S74" s="50">
        <v>0</v>
      </c>
      <c r="T74" s="66" t="s">
        <v>685</v>
      </c>
      <c r="U74" s="66" t="s">
        <v>685</v>
      </c>
      <c r="V74" s="66" t="s">
        <v>685</v>
      </c>
      <c r="W74" s="66" t="s">
        <v>685</v>
      </c>
      <c r="X74" s="66" t="s">
        <v>685</v>
      </c>
      <c r="Y74" s="66" t="s">
        <v>685</v>
      </c>
      <c r="Z74" s="66" t="s">
        <v>685</v>
      </c>
      <c r="AA74" s="66">
        <v>0</v>
      </c>
      <c r="AB74" s="66">
        <v>0</v>
      </c>
      <c r="AC74" s="66">
        <v>0</v>
      </c>
    </row>
    <row r="75" spans="1:30">
      <c r="A75" s="43" t="s">
        <v>538</v>
      </c>
      <c r="B75" s="43" t="s">
        <v>95</v>
      </c>
      <c r="C75" s="73">
        <v>1.2600500000000001</v>
      </c>
      <c r="D75" s="73">
        <v>1.7346999999999999</v>
      </c>
      <c r="E75" s="73">
        <v>1.8436000000000001</v>
      </c>
      <c r="F75" s="73">
        <v>2.6361500000000002</v>
      </c>
      <c r="G75" s="73">
        <v>2.7285499999999998</v>
      </c>
      <c r="H75" s="73">
        <v>1.06535</v>
      </c>
      <c r="I75" s="73">
        <v>1.6978500000000001</v>
      </c>
      <c r="J75" s="73">
        <v>2.2077</v>
      </c>
      <c r="K75" s="73">
        <v>2.9452500000000001</v>
      </c>
      <c r="L75" s="73">
        <v>2.5739999999999998</v>
      </c>
      <c r="M75" s="73">
        <v>0</v>
      </c>
      <c r="N75" s="73">
        <v>2.6031499999999999</v>
      </c>
      <c r="O75" s="73">
        <v>2.8544999999999998</v>
      </c>
      <c r="P75" s="73">
        <v>2.4925999999999999</v>
      </c>
      <c r="Q75" s="73">
        <f>(87.7*0.055)+(3.73*0.065)</f>
        <v>5.06595</v>
      </c>
      <c r="R75" s="50">
        <f>(41.65*0.055)+(0.38*0.065)</f>
        <v>2.3154500000000002</v>
      </c>
      <c r="S75" s="50">
        <f>(47.73*0.055)+(0.37*0.065)</f>
        <v>2.6491999999999996</v>
      </c>
      <c r="T75" s="66">
        <f>(44.84*0.055)+(3.02*0.065)</f>
        <v>2.6625000000000001</v>
      </c>
      <c r="U75" s="66">
        <f>(52.11*0.055)+(0.4*0.065)+(0.03*0.022)</f>
        <v>2.8927099999999997</v>
      </c>
      <c r="V75" s="66">
        <f>-0.54*0.055</f>
        <v>-2.9700000000000001E-2</v>
      </c>
      <c r="W75" s="66">
        <f>(26.09*0.055)+(0.76*0.065)</f>
        <v>1.4843500000000001</v>
      </c>
      <c r="X75" s="66">
        <f>(40.66*0.055)+(0.17*0.065)</f>
        <v>2.24735</v>
      </c>
      <c r="Y75" s="66">
        <f>(32.92*0.055)+(0.63*0.065)</f>
        <v>1.8515500000000003</v>
      </c>
      <c r="Z75" s="66">
        <f>24.92*0.055</f>
        <v>1.3706</v>
      </c>
      <c r="AA75" s="66">
        <f>30.97*0.055</f>
        <v>1.7033499999999999</v>
      </c>
      <c r="AB75" s="66">
        <f>15.89*0.055</f>
        <v>0.87395</v>
      </c>
      <c r="AC75" s="66">
        <f>8.95*0.055</f>
        <v>0.49224999999999997</v>
      </c>
    </row>
    <row r="76" spans="1:30">
      <c r="A76" s="43" t="s">
        <v>538</v>
      </c>
      <c r="B76" s="43" t="s">
        <v>825</v>
      </c>
      <c r="Q76" s="73">
        <v>0</v>
      </c>
      <c r="R76" s="50">
        <v>0</v>
      </c>
      <c r="S76" s="50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</row>
    <row r="77" spans="1:30">
      <c r="A77" s="43" t="s">
        <v>538</v>
      </c>
      <c r="B77" s="43" t="s">
        <v>574</v>
      </c>
      <c r="C77" s="72">
        <v>0</v>
      </c>
      <c r="D77" s="72">
        <v>7.8E-2</v>
      </c>
      <c r="E77" s="72">
        <v>7.8E-2</v>
      </c>
      <c r="F77" s="72">
        <v>7.8E-2</v>
      </c>
      <c r="G77" s="72">
        <v>3.2759999999999998</v>
      </c>
      <c r="H77" s="72">
        <v>0.64200000000000002</v>
      </c>
      <c r="I77" s="72">
        <v>0</v>
      </c>
      <c r="J77" s="72">
        <v>0</v>
      </c>
      <c r="K77" s="72">
        <v>0</v>
      </c>
      <c r="L77" s="72">
        <v>0</v>
      </c>
      <c r="M77" s="72">
        <v>0</v>
      </c>
      <c r="N77" s="73">
        <v>0</v>
      </c>
      <c r="O77" s="73">
        <v>0</v>
      </c>
      <c r="P77" s="73">
        <v>0</v>
      </c>
      <c r="Q77" s="73">
        <v>0</v>
      </c>
      <c r="R77" s="50">
        <v>0</v>
      </c>
      <c r="S77" s="50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</row>
    <row r="78" spans="1:30">
      <c r="A78" s="43" t="s">
        <v>538</v>
      </c>
      <c r="B78" s="43" t="s">
        <v>535</v>
      </c>
      <c r="C78" s="72">
        <v>0</v>
      </c>
      <c r="D78" s="72">
        <v>0</v>
      </c>
      <c r="E78" s="72">
        <v>0</v>
      </c>
      <c r="F78" s="72">
        <v>0</v>
      </c>
      <c r="G78" s="72">
        <v>0</v>
      </c>
      <c r="H78" s="72">
        <v>0</v>
      </c>
      <c r="I78" s="72">
        <v>0</v>
      </c>
      <c r="J78" s="72">
        <v>0</v>
      </c>
      <c r="K78" s="72">
        <v>0</v>
      </c>
      <c r="L78" s="72">
        <v>0</v>
      </c>
      <c r="M78" s="72">
        <v>0</v>
      </c>
      <c r="N78" s="73">
        <v>0</v>
      </c>
      <c r="O78" s="73">
        <v>0</v>
      </c>
      <c r="P78" s="73">
        <v>0</v>
      </c>
      <c r="Q78" s="73">
        <v>0</v>
      </c>
      <c r="R78" s="50">
        <v>0</v>
      </c>
      <c r="S78" s="50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</row>
    <row r="79" spans="1:30">
      <c r="A79" s="43" t="s">
        <v>570</v>
      </c>
      <c r="B79" s="43" t="s">
        <v>752</v>
      </c>
      <c r="H79" s="72">
        <v>15.51</v>
      </c>
      <c r="I79" s="72">
        <v>27.966000000000001</v>
      </c>
      <c r="J79" s="72">
        <v>15.96</v>
      </c>
      <c r="K79" s="72">
        <v>15.05</v>
      </c>
      <c r="L79" s="72">
        <v>12.23</v>
      </c>
      <c r="M79" s="72">
        <v>9.5961999999999996</v>
      </c>
      <c r="N79" s="73">
        <v>3.8942000000000001</v>
      </c>
      <c r="O79" s="73">
        <v>3.8942000000000001</v>
      </c>
      <c r="P79" s="73">
        <v>0</v>
      </c>
      <c r="Q79" s="73">
        <v>0</v>
      </c>
      <c r="R79" s="50">
        <v>0</v>
      </c>
      <c r="S79" s="50">
        <v>0</v>
      </c>
      <c r="T79" s="66" t="s">
        <v>685</v>
      </c>
      <c r="U79" s="66" t="s">
        <v>685</v>
      </c>
      <c r="V79" s="66" t="s">
        <v>685</v>
      </c>
      <c r="W79" s="66" t="s">
        <v>685</v>
      </c>
      <c r="X79" s="66" t="s">
        <v>685</v>
      </c>
      <c r="Y79" s="66" t="s">
        <v>685</v>
      </c>
      <c r="Z79" s="66" t="s">
        <v>685</v>
      </c>
      <c r="AA79" s="66">
        <v>0</v>
      </c>
      <c r="AB79" s="66">
        <v>0</v>
      </c>
      <c r="AC79" s="66">
        <v>0</v>
      </c>
      <c r="AD79" s="66">
        <v>0</v>
      </c>
    </row>
    <row r="80" spans="1:30">
      <c r="A80" s="43" t="s">
        <v>570</v>
      </c>
      <c r="B80" s="43" t="s">
        <v>663</v>
      </c>
      <c r="H80" s="72">
        <v>0</v>
      </c>
      <c r="I80" s="72">
        <v>0</v>
      </c>
      <c r="J80" s="72">
        <v>0</v>
      </c>
      <c r="K80" s="72">
        <v>0</v>
      </c>
      <c r="L80" s="72">
        <v>0</v>
      </c>
      <c r="M80" s="72">
        <v>0</v>
      </c>
      <c r="N80" s="73">
        <v>0</v>
      </c>
      <c r="O80" s="73">
        <v>0</v>
      </c>
      <c r="P80" s="73">
        <v>0</v>
      </c>
      <c r="Q80" s="73">
        <v>0</v>
      </c>
      <c r="R80" s="50">
        <v>0</v>
      </c>
      <c r="S80" s="50">
        <v>0</v>
      </c>
      <c r="T80" s="66" t="s">
        <v>685</v>
      </c>
      <c r="U80" s="66" t="s">
        <v>685</v>
      </c>
      <c r="V80" s="66" t="s">
        <v>685</v>
      </c>
      <c r="W80" s="66" t="s">
        <v>685</v>
      </c>
      <c r="X80" s="66" t="s">
        <v>685</v>
      </c>
      <c r="Y80" s="66" t="s">
        <v>685</v>
      </c>
      <c r="Z80" s="66" t="s">
        <v>685</v>
      </c>
      <c r="AA80" s="66">
        <v>0</v>
      </c>
      <c r="AB80" s="66">
        <v>0</v>
      </c>
      <c r="AC80" s="66">
        <v>0</v>
      </c>
      <c r="AD80" s="66">
        <v>0</v>
      </c>
    </row>
    <row r="81" spans="1:30">
      <c r="A81" s="43" t="s">
        <v>570</v>
      </c>
      <c r="B81" s="43" t="s">
        <v>243</v>
      </c>
      <c r="H81" s="72">
        <v>0</v>
      </c>
      <c r="I81" s="72">
        <v>0</v>
      </c>
      <c r="J81" s="72">
        <v>0</v>
      </c>
      <c r="K81" s="72">
        <v>0</v>
      </c>
      <c r="L81" s="72">
        <v>0</v>
      </c>
      <c r="M81" s="72">
        <v>0</v>
      </c>
      <c r="N81" s="73">
        <v>0</v>
      </c>
      <c r="O81" s="73">
        <v>0</v>
      </c>
      <c r="P81" s="73">
        <v>0</v>
      </c>
      <c r="Q81" s="73">
        <v>0</v>
      </c>
      <c r="R81" s="50">
        <v>0</v>
      </c>
      <c r="S81" s="50">
        <v>0</v>
      </c>
      <c r="T81" s="66" t="s">
        <v>685</v>
      </c>
      <c r="U81" s="66" t="s">
        <v>685</v>
      </c>
      <c r="V81" s="66" t="s">
        <v>685</v>
      </c>
      <c r="W81" s="66" t="s">
        <v>685</v>
      </c>
      <c r="X81" s="66" t="s">
        <v>685</v>
      </c>
      <c r="Y81" s="66" t="s">
        <v>685</v>
      </c>
      <c r="Z81" s="66" t="s">
        <v>685</v>
      </c>
      <c r="AA81" s="66">
        <v>0</v>
      </c>
      <c r="AB81" s="66">
        <v>0</v>
      </c>
      <c r="AC81" s="66">
        <v>0</v>
      </c>
      <c r="AD81" s="66">
        <v>0</v>
      </c>
    </row>
    <row r="82" spans="1:30">
      <c r="A82" s="43" t="s">
        <v>570</v>
      </c>
      <c r="B82" s="43" t="s">
        <v>95</v>
      </c>
      <c r="H82" s="73">
        <v>0.24915000000000001</v>
      </c>
      <c r="I82" s="73">
        <v>0.83325000000000005</v>
      </c>
      <c r="J82" s="73">
        <v>0</v>
      </c>
      <c r="K82" s="73">
        <v>0</v>
      </c>
      <c r="L82" s="73">
        <v>0</v>
      </c>
      <c r="M82" s="73">
        <v>1.9744999999999999E-2</v>
      </c>
      <c r="N82" s="75">
        <v>2.7390000000000001E-2</v>
      </c>
      <c r="O82" s="50">
        <v>2.7390000000000001E-2</v>
      </c>
      <c r="P82" s="73">
        <v>1.8468999999999998</v>
      </c>
      <c r="Q82" s="73">
        <v>2.5140499999999997</v>
      </c>
      <c r="R82" s="50">
        <f>(53.36*0.055)+(1.42*0.11)</f>
        <v>3.0910000000000002</v>
      </c>
      <c r="S82" s="50">
        <f>(34.65*0.055)+(0.32*0.11)</f>
        <v>1.9409499999999997</v>
      </c>
      <c r="T82" s="66">
        <f>(46.42*0.055)+(0.28*0.11)</f>
        <v>2.5839000000000003</v>
      </c>
      <c r="U82" s="66">
        <f>42.45*0.055</f>
        <v>2.3347500000000001</v>
      </c>
      <c r="V82" s="66">
        <f>(40.87*0.055)+(1.52*0.11)</f>
        <v>2.4150499999999999</v>
      </c>
      <c r="W82" s="66">
        <f>(39.19*0.055)+(0.81*0.11)</f>
        <v>2.2445500000000003</v>
      </c>
      <c r="X82" s="66">
        <f>(37.58*0.055)+(0.71*0.11)</f>
        <v>2.145</v>
      </c>
      <c r="Y82" s="66">
        <f>(35.56*0.055)+(0.65*0.11)</f>
        <v>2.0273000000000003</v>
      </c>
      <c r="Z82" s="66">
        <f>(32.56*0.055)+(0.59*0.11)</f>
        <v>1.8557000000000001</v>
      </c>
      <c r="AA82" s="66">
        <f>(29.54*0.055)+(0.53*0.11)</f>
        <v>1.6830000000000001</v>
      </c>
      <c r="AB82" s="66">
        <f>(24.5*0.055)+(0.4*0.11)</f>
        <v>1.3915</v>
      </c>
      <c r="AC82" s="66">
        <f>(9.38*0.055)+(0.03*0.11)</f>
        <v>0.51919999999999999</v>
      </c>
      <c r="AD82" s="66">
        <f>11.12*0.055</f>
        <v>0.61159999999999992</v>
      </c>
    </row>
    <row r="83" spans="1:30">
      <c r="A83" s="43" t="s">
        <v>570</v>
      </c>
      <c r="B83" s="43" t="s">
        <v>825</v>
      </c>
      <c r="Q83" s="73">
        <v>0</v>
      </c>
      <c r="R83" s="50">
        <v>0</v>
      </c>
      <c r="S83" s="50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</row>
    <row r="84" spans="1:30">
      <c r="A84" s="43" t="s">
        <v>570</v>
      </c>
      <c r="B84" s="43" t="s">
        <v>574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3">
        <v>0</v>
      </c>
      <c r="O84" s="73">
        <v>0</v>
      </c>
      <c r="P84" s="73">
        <v>0</v>
      </c>
      <c r="Q84" s="73">
        <v>0</v>
      </c>
      <c r="R84" s="50">
        <v>0</v>
      </c>
      <c r="S84" s="50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</row>
    <row r="85" spans="1:30">
      <c r="A85" s="43" t="s">
        <v>570</v>
      </c>
      <c r="B85" s="43" t="s">
        <v>535</v>
      </c>
      <c r="H85" s="72">
        <v>0</v>
      </c>
      <c r="I85" s="72">
        <v>0</v>
      </c>
      <c r="J85" s="72">
        <v>0</v>
      </c>
      <c r="K85" s="72">
        <v>0</v>
      </c>
      <c r="L85" s="72">
        <v>0</v>
      </c>
      <c r="M85" s="72">
        <v>0</v>
      </c>
      <c r="N85" s="73">
        <v>0</v>
      </c>
      <c r="O85" s="73">
        <v>0</v>
      </c>
      <c r="P85" s="73">
        <v>0</v>
      </c>
      <c r="Q85" s="73">
        <v>0</v>
      </c>
      <c r="R85" s="50">
        <v>0</v>
      </c>
      <c r="S85" s="50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</row>
    <row r="86" spans="1:30">
      <c r="A86" s="43" t="s">
        <v>540</v>
      </c>
      <c r="B86" s="43" t="s">
        <v>752</v>
      </c>
      <c r="C86" s="72">
        <v>35.97</v>
      </c>
      <c r="D86" s="72">
        <v>30.218</v>
      </c>
      <c r="E86" s="72">
        <v>28.49</v>
      </c>
      <c r="F86" s="72">
        <v>54.0867</v>
      </c>
      <c r="G86" s="72">
        <v>56.61</v>
      </c>
      <c r="H86" s="72">
        <v>54.62</v>
      </c>
      <c r="I86" s="72">
        <v>53.9664</v>
      </c>
      <c r="J86" s="72">
        <v>35.5</v>
      </c>
      <c r="K86" s="72">
        <v>17.315000000000001</v>
      </c>
      <c r="M86" s="72">
        <v>10.039999999999999</v>
      </c>
      <c r="N86" s="73">
        <v>14.15</v>
      </c>
      <c r="O86" s="73">
        <v>7.92</v>
      </c>
      <c r="P86" s="73">
        <v>5.2</v>
      </c>
      <c r="Q86" s="73">
        <v>3.5</v>
      </c>
      <c r="R86" s="50">
        <v>0</v>
      </c>
      <c r="S86" s="50">
        <v>0</v>
      </c>
      <c r="T86" s="66" t="s">
        <v>685</v>
      </c>
      <c r="U86" s="66" t="s">
        <v>685</v>
      </c>
      <c r="V86" s="66" t="s">
        <v>685</v>
      </c>
      <c r="W86" s="66" t="s">
        <v>685</v>
      </c>
      <c r="X86" s="66" t="s">
        <v>685</v>
      </c>
      <c r="Y86" s="66" t="s">
        <v>685</v>
      </c>
      <c r="Z86" s="66" t="s">
        <v>685</v>
      </c>
      <c r="AA86" s="66">
        <v>0</v>
      </c>
      <c r="AB86" s="66">
        <v>0</v>
      </c>
      <c r="AC86" s="66">
        <v>0</v>
      </c>
    </row>
    <row r="87" spans="1:30">
      <c r="A87" s="43" t="s">
        <v>540</v>
      </c>
      <c r="B87" s="43" t="s">
        <v>663</v>
      </c>
      <c r="C87" s="72">
        <v>0</v>
      </c>
      <c r="D87" s="72">
        <v>0</v>
      </c>
      <c r="E87" s="72">
        <v>0</v>
      </c>
      <c r="F87" s="72">
        <v>0</v>
      </c>
      <c r="G87" s="72">
        <v>0</v>
      </c>
      <c r="H87" s="72">
        <v>0</v>
      </c>
      <c r="I87" s="72">
        <v>0</v>
      </c>
      <c r="J87" s="72">
        <v>0</v>
      </c>
      <c r="K87" s="72">
        <v>0</v>
      </c>
      <c r="M87" s="72">
        <v>0</v>
      </c>
      <c r="N87" s="73">
        <v>0</v>
      </c>
      <c r="O87" s="73">
        <v>0</v>
      </c>
      <c r="P87" s="73">
        <v>0</v>
      </c>
      <c r="Q87" s="73">
        <v>0</v>
      </c>
      <c r="R87" s="50">
        <v>0</v>
      </c>
      <c r="S87" s="50">
        <v>0</v>
      </c>
      <c r="T87" s="66" t="s">
        <v>685</v>
      </c>
      <c r="U87" s="66" t="s">
        <v>685</v>
      </c>
      <c r="V87" s="66" t="s">
        <v>685</v>
      </c>
      <c r="W87" s="66" t="s">
        <v>685</v>
      </c>
      <c r="X87" s="66" t="s">
        <v>685</v>
      </c>
      <c r="Y87" s="66" t="s">
        <v>685</v>
      </c>
      <c r="Z87" s="66" t="s">
        <v>685</v>
      </c>
      <c r="AA87" s="66">
        <v>0</v>
      </c>
      <c r="AB87" s="66">
        <v>0</v>
      </c>
      <c r="AC87" s="66">
        <v>0</v>
      </c>
    </row>
    <row r="88" spans="1:30">
      <c r="A88" s="43" t="s">
        <v>540</v>
      </c>
      <c r="B88" s="43" t="s">
        <v>243</v>
      </c>
      <c r="C88" s="72">
        <v>0</v>
      </c>
      <c r="D88" s="72">
        <v>0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M88" s="72">
        <v>0</v>
      </c>
      <c r="N88" s="73">
        <v>0</v>
      </c>
      <c r="O88" s="73">
        <v>0</v>
      </c>
      <c r="P88" s="73">
        <v>0</v>
      </c>
      <c r="Q88" s="73">
        <v>0</v>
      </c>
      <c r="R88" s="50">
        <v>0</v>
      </c>
      <c r="S88" s="50">
        <v>0</v>
      </c>
      <c r="T88" s="66" t="s">
        <v>685</v>
      </c>
      <c r="U88" s="66" t="s">
        <v>685</v>
      </c>
      <c r="V88" s="66" t="s">
        <v>685</v>
      </c>
      <c r="W88" s="66" t="s">
        <v>685</v>
      </c>
      <c r="X88" s="66" t="s">
        <v>685</v>
      </c>
      <c r="Y88" s="66" t="s">
        <v>685</v>
      </c>
      <c r="Z88" s="66" t="s">
        <v>685</v>
      </c>
      <c r="AA88" s="66">
        <v>0</v>
      </c>
      <c r="AB88" s="66">
        <v>0</v>
      </c>
      <c r="AC88" s="66">
        <v>0</v>
      </c>
    </row>
    <row r="89" spans="1:30">
      <c r="A89" s="43" t="s">
        <v>540</v>
      </c>
      <c r="B89" s="43" t="s">
        <v>95</v>
      </c>
      <c r="C89" s="73">
        <v>0.65576500000000004</v>
      </c>
      <c r="D89" s="73">
        <v>0.58613499999999996</v>
      </c>
      <c r="E89" s="73">
        <v>0.71389999999999998</v>
      </c>
      <c r="F89" s="73">
        <v>0.65395000000000003</v>
      </c>
      <c r="G89" s="73">
        <v>0.65147500000000003</v>
      </c>
      <c r="H89" s="73">
        <v>0.57975500000000002</v>
      </c>
      <c r="I89" s="73">
        <v>0.46057000000000003</v>
      </c>
      <c r="J89" s="73">
        <v>0.503525</v>
      </c>
      <c r="K89" s="73">
        <v>0.498</v>
      </c>
      <c r="M89" s="73">
        <v>0.33055000000000001</v>
      </c>
      <c r="N89" s="73">
        <v>0.27500000000000002</v>
      </c>
      <c r="O89" s="73">
        <v>0.28875000000000001</v>
      </c>
      <c r="P89" s="73">
        <v>0.80299999999999994</v>
      </c>
      <c r="Q89" s="73">
        <f>429.42*0.055</f>
        <v>23.618100000000002</v>
      </c>
      <c r="R89" s="50">
        <f>435.6*0.055</f>
        <v>23.958000000000002</v>
      </c>
      <c r="S89" s="50">
        <f>431.8*0.055</f>
        <v>23.749000000000002</v>
      </c>
      <c r="T89" s="66">
        <f>423.6*0.055</f>
        <v>23.298000000000002</v>
      </c>
      <c r="U89" s="66">
        <f>402.742*0.055</f>
        <v>22.15081</v>
      </c>
      <c r="V89" s="66">
        <f>364.225*0.055</f>
        <v>20.032375000000002</v>
      </c>
      <c r="W89" s="66">
        <f>350.523*0.055</f>
        <v>19.278765</v>
      </c>
      <c r="X89" s="66">
        <f>310*0.055</f>
        <v>17.05</v>
      </c>
      <c r="Y89" s="66">
        <f>290*0.055</f>
        <v>15.95</v>
      </c>
      <c r="Z89" s="66">
        <f>282*0.055</f>
        <v>15.51</v>
      </c>
      <c r="AA89" s="66">
        <f>(267.7*0.055)+(6.7*0.065)</f>
        <v>15.158999999999999</v>
      </c>
      <c r="AB89" s="66">
        <f>245.23*0.055</f>
        <v>13.48765</v>
      </c>
      <c r="AC89" s="66">
        <f>235*0.055</f>
        <v>12.925000000000001</v>
      </c>
    </row>
    <row r="90" spans="1:30">
      <c r="A90" s="43" t="s">
        <v>540</v>
      </c>
      <c r="B90" s="43" t="s">
        <v>825</v>
      </c>
      <c r="Q90" s="73">
        <v>0</v>
      </c>
      <c r="R90" s="50">
        <v>0</v>
      </c>
      <c r="S90" s="50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</row>
    <row r="91" spans="1:30">
      <c r="A91" s="43" t="s">
        <v>540</v>
      </c>
      <c r="B91" s="43" t="s">
        <v>574</v>
      </c>
      <c r="C91" s="72">
        <v>0</v>
      </c>
      <c r="D91" s="72">
        <v>0</v>
      </c>
      <c r="E91" s="72">
        <v>0</v>
      </c>
      <c r="F91" s="72">
        <v>0</v>
      </c>
      <c r="G91" s="72">
        <v>0</v>
      </c>
      <c r="H91" s="72">
        <v>0</v>
      </c>
      <c r="I91" s="72">
        <v>0</v>
      </c>
      <c r="J91" s="72">
        <v>0</v>
      </c>
      <c r="K91" s="72">
        <v>0</v>
      </c>
      <c r="M91" s="72">
        <v>0</v>
      </c>
      <c r="N91" s="73">
        <v>0</v>
      </c>
      <c r="O91" s="73">
        <v>0</v>
      </c>
      <c r="P91" s="73">
        <v>0</v>
      </c>
      <c r="Q91" s="73">
        <v>0</v>
      </c>
      <c r="R91" s="50">
        <v>0</v>
      </c>
      <c r="S91" s="50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</row>
    <row r="92" spans="1:30">
      <c r="A92" s="43" t="s">
        <v>540</v>
      </c>
      <c r="B92" s="43" t="s">
        <v>535</v>
      </c>
      <c r="C92" s="72">
        <v>0</v>
      </c>
      <c r="D92" s="72">
        <v>0</v>
      </c>
      <c r="E92" s="72">
        <v>0</v>
      </c>
      <c r="F92" s="72">
        <v>0</v>
      </c>
      <c r="G92" s="72">
        <v>0</v>
      </c>
      <c r="H92" s="72">
        <v>0</v>
      </c>
      <c r="I92" s="72">
        <v>0</v>
      </c>
      <c r="J92" s="72">
        <v>0</v>
      </c>
      <c r="K92" s="72">
        <v>0</v>
      </c>
      <c r="M92" s="72">
        <v>0</v>
      </c>
      <c r="N92" s="73">
        <v>0</v>
      </c>
      <c r="O92" s="73">
        <v>0</v>
      </c>
      <c r="P92" s="73">
        <v>0</v>
      </c>
      <c r="Q92" s="73">
        <v>0</v>
      </c>
      <c r="R92" s="50">
        <v>0</v>
      </c>
      <c r="S92" s="50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</row>
    <row r="93" spans="1:30">
      <c r="A93" s="43" t="s">
        <v>512</v>
      </c>
      <c r="B93" s="43" t="s">
        <v>752</v>
      </c>
      <c r="M93" s="72">
        <v>7.0000000000000007E-2</v>
      </c>
      <c r="N93" s="73">
        <f>57/1000</f>
        <v>5.7000000000000002E-2</v>
      </c>
      <c r="O93" s="73">
        <v>0.03</v>
      </c>
      <c r="P93" s="73">
        <v>0</v>
      </c>
      <c r="Q93" s="73">
        <v>0</v>
      </c>
      <c r="R93" s="50">
        <v>0</v>
      </c>
      <c r="S93" s="50">
        <v>0</v>
      </c>
      <c r="T93" s="66" t="s">
        <v>685</v>
      </c>
      <c r="U93" s="66" t="s">
        <v>685</v>
      </c>
      <c r="V93" s="66" t="s">
        <v>685</v>
      </c>
      <c r="W93" s="66" t="s">
        <v>685</v>
      </c>
      <c r="X93" s="66" t="s">
        <v>685</v>
      </c>
      <c r="Y93" s="66" t="s">
        <v>685</v>
      </c>
      <c r="Z93" s="66" t="s">
        <v>685</v>
      </c>
      <c r="AA93" s="66">
        <v>0</v>
      </c>
      <c r="AB93" s="66">
        <v>0</v>
      </c>
      <c r="AC93" s="66">
        <v>0</v>
      </c>
    </row>
    <row r="94" spans="1:30">
      <c r="A94" s="75" t="s">
        <v>512</v>
      </c>
      <c r="B94" s="75" t="s">
        <v>663</v>
      </c>
      <c r="M94" s="72">
        <v>0</v>
      </c>
      <c r="N94" s="73">
        <v>0</v>
      </c>
      <c r="O94" s="73">
        <v>0</v>
      </c>
      <c r="P94" s="73">
        <v>0</v>
      </c>
      <c r="Q94" s="73">
        <v>0</v>
      </c>
      <c r="R94" s="50">
        <v>0</v>
      </c>
      <c r="S94" s="50">
        <v>0</v>
      </c>
      <c r="T94" s="66" t="s">
        <v>685</v>
      </c>
      <c r="U94" s="66" t="s">
        <v>685</v>
      </c>
      <c r="V94" s="66" t="s">
        <v>685</v>
      </c>
      <c r="W94" s="66" t="s">
        <v>685</v>
      </c>
      <c r="X94" s="66" t="s">
        <v>685</v>
      </c>
      <c r="Y94" s="66" t="s">
        <v>685</v>
      </c>
      <c r="Z94" s="66" t="s">
        <v>685</v>
      </c>
      <c r="AA94" s="66">
        <v>0</v>
      </c>
      <c r="AB94" s="66">
        <v>0</v>
      </c>
      <c r="AC94" s="66">
        <v>0</v>
      </c>
    </row>
    <row r="95" spans="1:30">
      <c r="A95" s="43" t="s">
        <v>512</v>
      </c>
      <c r="B95" s="43" t="s">
        <v>243</v>
      </c>
      <c r="M95" s="72">
        <v>0</v>
      </c>
      <c r="N95" s="73">
        <v>0</v>
      </c>
      <c r="O95" s="73">
        <v>0</v>
      </c>
      <c r="P95" s="73">
        <v>0</v>
      </c>
      <c r="Q95" s="73">
        <v>0</v>
      </c>
      <c r="R95" s="50">
        <v>0</v>
      </c>
      <c r="S95" s="50">
        <v>0</v>
      </c>
      <c r="T95" s="66" t="s">
        <v>685</v>
      </c>
      <c r="U95" s="66" t="s">
        <v>685</v>
      </c>
      <c r="V95" s="66" t="s">
        <v>685</v>
      </c>
      <c r="W95" s="66" t="s">
        <v>685</v>
      </c>
      <c r="X95" s="66" t="s">
        <v>685</v>
      </c>
      <c r="Y95" s="66" t="s">
        <v>685</v>
      </c>
      <c r="Z95" s="66" t="s">
        <v>685</v>
      </c>
      <c r="AA95" s="66">
        <v>0</v>
      </c>
      <c r="AB95" s="66">
        <v>0</v>
      </c>
      <c r="AC95" s="66">
        <v>0</v>
      </c>
    </row>
    <row r="96" spans="1:30">
      <c r="A96" s="43" t="s">
        <v>512</v>
      </c>
      <c r="B96" s="43" t="s">
        <v>95</v>
      </c>
      <c r="M96" s="73">
        <v>0</v>
      </c>
      <c r="N96" s="73">
        <v>0</v>
      </c>
      <c r="O96" s="73">
        <v>0</v>
      </c>
      <c r="P96" s="73">
        <v>5.5E-2</v>
      </c>
      <c r="Q96" s="73">
        <f>5.62*0.055</f>
        <v>0.30909999999999999</v>
      </c>
      <c r="R96" s="50">
        <f>5.62*0.055</f>
        <v>0.30909999999999999</v>
      </c>
      <c r="S96" s="50">
        <f>5*0.055</f>
        <v>0.27500000000000002</v>
      </c>
      <c r="T96" s="66">
        <f>5.6*0.055</f>
        <v>0.308</v>
      </c>
      <c r="U96" s="66">
        <f>5.04*0.055</f>
        <v>0.2772</v>
      </c>
      <c r="V96" s="66">
        <f>4.63*0.055</f>
        <v>0.25464999999999999</v>
      </c>
      <c r="W96" s="66">
        <f>3.59*0.055</f>
        <v>0.19744999999999999</v>
      </c>
      <c r="X96" s="66">
        <f>2.5*0.055</f>
        <v>0.13750000000000001</v>
      </c>
      <c r="Y96" s="66">
        <f>1.92*0.055</f>
        <v>0.1056</v>
      </c>
      <c r="Z96" s="66">
        <f>1.5*0.055</f>
        <v>8.2500000000000004E-2</v>
      </c>
      <c r="AA96" s="66">
        <f>1.06*0.055</f>
        <v>5.8300000000000005E-2</v>
      </c>
      <c r="AB96" s="66">
        <f>0.76*0.055</f>
        <v>4.1800000000000004E-2</v>
      </c>
      <c r="AC96" s="66">
        <f>0.62*0.055</f>
        <v>3.4099999999999998E-2</v>
      </c>
    </row>
    <row r="97" spans="1:29">
      <c r="A97" s="43" t="s">
        <v>512</v>
      </c>
      <c r="B97" s="43" t="s">
        <v>825</v>
      </c>
      <c r="Q97" s="73">
        <v>0</v>
      </c>
      <c r="R97" s="50">
        <v>0</v>
      </c>
      <c r="S97" s="50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</row>
    <row r="98" spans="1:29">
      <c r="A98" s="43" t="s">
        <v>512</v>
      </c>
      <c r="B98" s="43" t="s">
        <v>574</v>
      </c>
      <c r="M98" s="72">
        <v>0</v>
      </c>
      <c r="N98" s="73">
        <v>0</v>
      </c>
      <c r="O98" s="73">
        <v>0</v>
      </c>
      <c r="P98" s="73">
        <v>0</v>
      </c>
      <c r="Q98" s="73">
        <v>0</v>
      </c>
      <c r="R98" s="50">
        <v>0</v>
      </c>
      <c r="S98" s="50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</row>
    <row r="99" spans="1:29">
      <c r="A99" s="75" t="s">
        <v>512</v>
      </c>
      <c r="B99" s="75" t="s">
        <v>535</v>
      </c>
      <c r="M99" s="72">
        <v>0</v>
      </c>
      <c r="N99" s="73">
        <v>0</v>
      </c>
      <c r="O99" s="73">
        <v>0</v>
      </c>
      <c r="P99" s="73">
        <v>0</v>
      </c>
      <c r="Q99" s="73">
        <v>0</v>
      </c>
      <c r="R99" s="50">
        <v>0</v>
      </c>
      <c r="S99" s="50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</row>
    <row r="100" spans="1:29">
      <c r="A100" s="43" t="s">
        <v>834</v>
      </c>
      <c r="B100" s="43" t="s">
        <v>752</v>
      </c>
      <c r="C100" s="72">
        <v>81.55</v>
      </c>
      <c r="D100" s="72">
        <v>87.096000000000004</v>
      </c>
      <c r="E100" s="72">
        <v>58.357999999999997</v>
      </c>
      <c r="F100" s="72">
        <v>74.069999999999993</v>
      </c>
      <c r="G100" s="72">
        <v>72.25</v>
      </c>
      <c r="H100" s="72">
        <v>78.823999999999998</v>
      </c>
      <c r="I100" s="72">
        <v>76.709999999999994</v>
      </c>
      <c r="J100" s="72">
        <v>65.477999999999994</v>
      </c>
      <c r="K100" s="72">
        <v>51.966000000000001</v>
      </c>
      <c r="L100" s="72">
        <v>42.366</v>
      </c>
      <c r="M100" s="72">
        <v>26.73</v>
      </c>
      <c r="N100" s="73">
        <v>33.119999999999997</v>
      </c>
      <c r="O100" s="73">
        <v>2.44</v>
      </c>
      <c r="P100" s="73">
        <v>2.56</v>
      </c>
      <c r="Q100" s="73">
        <v>0</v>
      </c>
      <c r="R100" s="50">
        <v>0</v>
      </c>
      <c r="S100" s="50">
        <v>0</v>
      </c>
      <c r="T100" s="66" t="s">
        <v>685</v>
      </c>
      <c r="U100" s="66" t="s">
        <v>685</v>
      </c>
      <c r="V100" s="66">
        <v>0</v>
      </c>
      <c r="W100" s="66">
        <v>0</v>
      </c>
      <c r="X100" s="66" t="s">
        <v>685</v>
      </c>
      <c r="Y100" s="66" t="s">
        <v>685</v>
      </c>
      <c r="Z100" s="66" t="s">
        <v>685</v>
      </c>
      <c r="AA100" s="66">
        <v>0</v>
      </c>
      <c r="AB100" s="66">
        <v>0</v>
      </c>
      <c r="AC100" s="66">
        <v>0</v>
      </c>
    </row>
    <row r="101" spans="1:29">
      <c r="A101" s="43" t="s">
        <v>834</v>
      </c>
      <c r="B101" s="43" t="s">
        <v>663</v>
      </c>
      <c r="C101" s="72">
        <v>0</v>
      </c>
      <c r="D101" s="72">
        <v>3.22</v>
      </c>
      <c r="E101" s="72">
        <v>9.9000000000000005E-2</v>
      </c>
      <c r="F101" s="72">
        <v>0.374</v>
      </c>
      <c r="G101" s="72">
        <v>0.19800000000000001</v>
      </c>
      <c r="H101" s="72">
        <v>0.41799999999999998</v>
      </c>
      <c r="I101" s="72">
        <v>1.9800000000000002E-2</v>
      </c>
      <c r="J101" s="72">
        <v>1.0999999999999999E-2</v>
      </c>
      <c r="K101" s="72">
        <v>0</v>
      </c>
      <c r="L101" s="72">
        <v>0</v>
      </c>
      <c r="M101" s="72">
        <v>0.11</v>
      </c>
      <c r="N101" s="73">
        <v>0.22</v>
      </c>
      <c r="O101" s="73">
        <v>0.22</v>
      </c>
      <c r="P101" s="73">
        <v>2.1999999999999999E-2</v>
      </c>
      <c r="Q101" s="73">
        <f>0.002*1.1</f>
        <v>2.2000000000000001E-3</v>
      </c>
      <c r="R101" s="50">
        <v>0</v>
      </c>
      <c r="S101" s="50">
        <v>0</v>
      </c>
      <c r="T101" s="66" t="s">
        <v>685</v>
      </c>
      <c r="U101" s="66" t="s">
        <v>685</v>
      </c>
      <c r="V101" s="66">
        <v>0</v>
      </c>
      <c r="W101" s="66">
        <v>0</v>
      </c>
      <c r="X101" s="66" t="s">
        <v>685</v>
      </c>
      <c r="Y101" s="66" t="s">
        <v>685</v>
      </c>
      <c r="Z101" s="66" t="s">
        <v>685</v>
      </c>
      <c r="AA101" s="66">
        <v>0</v>
      </c>
      <c r="AB101" s="66">
        <v>0</v>
      </c>
      <c r="AC101" s="66">
        <v>0</v>
      </c>
    </row>
    <row r="102" spans="1:29">
      <c r="A102" s="43" t="s">
        <v>834</v>
      </c>
      <c r="B102" s="43" t="s">
        <v>243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3">
        <v>0</v>
      </c>
      <c r="O102" s="73">
        <v>0</v>
      </c>
      <c r="P102" s="73">
        <v>0</v>
      </c>
      <c r="Q102" s="73">
        <v>0</v>
      </c>
      <c r="R102" s="50">
        <v>0</v>
      </c>
      <c r="S102" s="50">
        <v>0</v>
      </c>
      <c r="T102" s="66" t="s">
        <v>685</v>
      </c>
      <c r="U102" s="66" t="s">
        <v>685</v>
      </c>
      <c r="V102" s="66">
        <v>0</v>
      </c>
      <c r="W102" s="66">
        <v>0</v>
      </c>
      <c r="X102" s="66" t="s">
        <v>685</v>
      </c>
      <c r="Y102" s="66" t="s">
        <v>685</v>
      </c>
      <c r="Z102" s="66" t="s">
        <v>685</v>
      </c>
      <c r="AA102" s="66">
        <v>0</v>
      </c>
      <c r="AB102" s="66">
        <v>0</v>
      </c>
      <c r="AC102" s="66">
        <v>0</v>
      </c>
    </row>
    <row r="103" spans="1:29">
      <c r="A103" s="43" t="s">
        <v>834</v>
      </c>
      <c r="B103" s="43" t="s">
        <v>95</v>
      </c>
      <c r="C103" s="73">
        <v>0.39874999999999999</v>
      </c>
      <c r="D103" s="73">
        <v>4.3158500000000002</v>
      </c>
      <c r="E103" s="73">
        <v>1.9134499999999999</v>
      </c>
      <c r="F103" s="73">
        <v>1.17205</v>
      </c>
      <c r="G103" s="73">
        <v>1.24905</v>
      </c>
      <c r="H103" s="73">
        <v>1.0944999999999998</v>
      </c>
      <c r="I103" s="73">
        <v>2.0009000000000001</v>
      </c>
      <c r="J103" s="73">
        <v>1.56145</v>
      </c>
      <c r="K103" s="73">
        <v>2.9196</v>
      </c>
      <c r="L103" s="73">
        <v>3.3637999999999999</v>
      </c>
      <c r="M103" s="73">
        <v>3.9338199999999999</v>
      </c>
      <c r="N103" s="73">
        <v>2.8393200000000003</v>
      </c>
      <c r="O103" s="73">
        <v>4.0029000000000003</v>
      </c>
      <c r="P103" s="73">
        <v>5.9527000000000001</v>
      </c>
      <c r="Q103" s="73">
        <f>(59.4*0.055)+(3.7*0.065)+(0.2*0.02)+(3*0.022)</f>
        <v>3.5774999999999997</v>
      </c>
      <c r="R103" s="50">
        <f>(118.3*0.055)+(1.4*0.065)+(0.2*0.02)+(0.4*0.022)</f>
        <v>6.6102999999999996</v>
      </c>
      <c r="S103" s="66">
        <f>(102.93*0.055)+(0.5*0.065)+(0.27*0.02)</f>
        <v>5.6990499999999997</v>
      </c>
      <c r="T103" s="66">
        <f>(153.38*0.055)+(5.11*0.065)+(0.73*0.02)+(0.48*0.022)</f>
        <v>8.7932100000000002</v>
      </c>
      <c r="U103" s="66">
        <f>109.98*0.055</f>
        <v>6.0489000000000006</v>
      </c>
      <c r="V103" s="66">
        <f>(32.96*0.055)+(1.04*0.02)</f>
        <v>1.8335999999999999</v>
      </c>
      <c r="W103" s="66">
        <f>(30.52*0.055)+(0.23*0.11)+(0.56*0.065)</f>
        <v>1.7403000000000002</v>
      </c>
      <c r="X103" s="66">
        <f>55.67*0.055</f>
        <v>3.0618500000000002</v>
      </c>
      <c r="Y103" s="66">
        <f>(35.6*0.055)+(0.94*0.11)</f>
        <v>2.0614000000000003</v>
      </c>
      <c r="Z103" s="66">
        <f>(55.28*0.055)+(0.62*0.11)</f>
        <v>3.1086</v>
      </c>
      <c r="AA103" s="66">
        <f>(34.76*0.055)+(0.14*0.11)+(1.45*0.02)</f>
        <v>1.9561999999999999</v>
      </c>
      <c r="AB103" s="66">
        <f>(33.3472*0.055)+(1.3872*0.11)</f>
        <v>1.986688</v>
      </c>
      <c r="AC103" s="66">
        <f>(18.0614*0.055)+(0.9112*0.11)</f>
        <v>1.0936090000000001</v>
      </c>
    </row>
    <row r="104" spans="1:29">
      <c r="A104" s="43" t="s">
        <v>834</v>
      </c>
      <c r="B104" s="43" t="s">
        <v>825</v>
      </c>
      <c r="Q104" s="73">
        <f>7.9*0.11</f>
        <v>0.86899999999999999</v>
      </c>
      <c r="R104" s="50">
        <f>9.8*0.11</f>
        <v>1.0780000000000001</v>
      </c>
      <c r="S104" s="50">
        <f>7.1*0.11</f>
        <v>0.78099999999999992</v>
      </c>
      <c r="T104" s="50">
        <f>7.43*0.11</f>
        <v>0.81730000000000003</v>
      </c>
      <c r="U104" s="66">
        <f>9.3*0.11</f>
        <v>1.0230000000000001</v>
      </c>
      <c r="V104" s="66">
        <f>8.45*0.11</f>
        <v>0.92949999999999988</v>
      </c>
      <c r="W104" s="66">
        <f>2.42*0.11</f>
        <v>0.26619999999999999</v>
      </c>
      <c r="X104" s="66">
        <v>0</v>
      </c>
      <c r="Y104" s="66">
        <f>0.99*0.11</f>
        <v>0.1089</v>
      </c>
      <c r="Z104" s="66">
        <f>0.18*0.11</f>
        <v>1.9799999999999998E-2</v>
      </c>
      <c r="AA104" s="66">
        <f>0.23*0.11</f>
        <v>2.53E-2</v>
      </c>
      <c r="AB104" s="66">
        <f>0.198*0.11</f>
        <v>2.1780000000000001E-2</v>
      </c>
      <c r="AC104" s="66">
        <f>0.308*0.11</f>
        <v>3.388E-2</v>
      </c>
    </row>
    <row r="105" spans="1:29">
      <c r="A105" s="43" t="s">
        <v>834</v>
      </c>
      <c r="B105" s="43" t="s">
        <v>574</v>
      </c>
      <c r="C105" s="72">
        <v>0.3</v>
      </c>
      <c r="D105" s="72">
        <v>0.3</v>
      </c>
      <c r="E105" s="72">
        <v>0.3</v>
      </c>
      <c r="F105" s="72">
        <v>1.52</v>
      </c>
      <c r="G105" s="72">
        <v>3.28</v>
      </c>
      <c r="H105" s="72">
        <v>0.40799999999999997</v>
      </c>
      <c r="I105" s="72">
        <v>1.524</v>
      </c>
      <c r="J105" s="72">
        <v>0.33</v>
      </c>
      <c r="K105" s="72">
        <v>0.186</v>
      </c>
      <c r="L105" s="72">
        <v>0</v>
      </c>
      <c r="M105" s="72">
        <v>0</v>
      </c>
      <c r="N105" s="73">
        <v>0</v>
      </c>
      <c r="O105" s="73">
        <v>0</v>
      </c>
      <c r="P105" s="73">
        <v>0</v>
      </c>
      <c r="Q105" s="73">
        <v>0</v>
      </c>
      <c r="R105" s="50">
        <v>0</v>
      </c>
      <c r="S105" s="50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</row>
    <row r="106" spans="1:29">
      <c r="A106" s="43" t="s">
        <v>834</v>
      </c>
      <c r="B106" s="43" t="s">
        <v>535</v>
      </c>
      <c r="C106" s="72">
        <v>0</v>
      </c>
      <c r="D106" s="72">
        <v>0</v>
      </c>
      <c r="E106" s="72">
        <v>0</v>
      </c>
      <c r="F106" s="72">
        <v>4.0000000000000001E-3</v>
      </c>
      <c r="G106" s="72">
        <v>6.0000000000000001E-3</v>
      </c>
      <c r="H106" s="72">
        <v>0</v>
      </c>
      <c r="I106" s="72">
        <v>0</v>
      </c>
      <c r="J106" s="72">
        <v>0</v>
      </c>
      <c r="K106" s="72">
        <v>0</v>
      </c>
      <c r="L106" s="72">
        <v>0</v>
      </c>
      <c r="M106" s="72">
        <v>0</v>
      </c>
      <c r="N106" s="73">
        <v>0</v>
      </c>
      <c r="O106" s="73">
        <v>0</v>
      </c>
      <c r="P106" s="73">
        <v>0</v>
      </c>
      <c r="Q106" s="73">
        <v>0</v>
      </c>
      <c r="R106" s="50">
        <v>0</v>
      </c>
      <c r="S106" s="50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</row>
    <row r="107" spans="1:29">
      <c r="A107" s="43" t="s">
        <v>543</v>
      </c>
      <c r="B107" s="43" t="s">
        <v>752</v>
      </c>
      <c r="C107" s="72">
        <v>3</v>
      </c>
      <c r="D107" s="72">
        <v>20.55</v>
      </c>
      <c r="E107" s="72">
        <v>48.95</v>
      </c>
      <c r="F107" s="72">
        <v>144.1</v>
      </c>
      <c r="G107" s="72">
        <v>150.6</v>
      </c>
      <c r="H107" s="72">
        <v>175.5</v>
      </c>
      <c r="I107" s="72">
        <v>201.85</v>
      </c>
      <c r="J107" s="72">
        <v>237</v>
      </c>
      <c r="K107" s="72">
        <v>230</v>
      </c>
      <c r="L107" s="72">
        <v>187.9</v>
      </c>
      <c r="M107" s="72">
        <v>50.829000000000001</v>
      </c>
      <c r="N107" s="73">
        <v>32.626399999999997</v>
      </c>
      <c r="O107" s="73">
        <v>22.126000000000001</v>
      </c>
      <c r="P107" s="73">
        <v>8.7639999999999993</v>
      </c>
      <c r="Q107" s="73">
        <v>0</v>
      </c>
      <c r="R107" s="50">
        <v>0</v>
      </c>
      <c r="S107" s="50">
        <f>0.02*0.8</f>
        <v>1.6E-2</v>
      </c>
      <c r="T107" s="66">
        <v>0</v>
      </c>
      <c r="U107" s="66" t="s">
        <v>685</v>
      </c>
      <c r="V107" s="66" t="s">
        <v>685</v>
      </c>
      <c r="W107" s="66" t="s">
        <v>685</v>
      </c>
      <c r="X107" s="66" t="s">
        <v>685</v>
      </c>
      <c r="Y107" s="66" t="s">
        <v>685</v>
      </c>
      <c r="Z107" s="66" t="s">
        <v>685</v>
      </c>
      <c r="AA107" s="66">
        <v>0</v>
      </c>
      <c r="AB107" s="66">
        <v>0</v>
      </c>
      <c r="AC107" s="66">
        <v>0</v>
      </c>
    </row>
    <row r="108" spans="1:29">
      <c r="A108" s="43" t="s">
        <v>543</v>
      </c>
      <c r="B108" s="43" t="s">
        <v>663</v>
      </c>
      <c r="C108" s="72">
        <v>0</v>
      </c>
      <c r="D108" s="72">
        <v>0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3">
        <v>0</v>
      </c>
      <c r="O108" s="73">
        <v>0</v>
      </c>
      <c r="P108" s="73">
        <v>0</v>
      </c>
      <c r="Q108" s="73">
        <v>0</v>
      </c>
      <c r="R108" s="50">
        <v>0</v>
      </c>
      <c r="S108" s="50">
        <v>0</v>
      </c>
      <c r="T108" s="66">
        <v>0</v>
      </c>
      <c r="U108" s="66" t="s">
        <v>685</v>
      </c>
      <c r="V108" s="66" t="s">
        <v>685</v>
      </c>
      <c r="W108" s="66" t="s">
        <v>685</v>
      </c>
      <c r="X108" s="66" t="s">
        <v>685</v>
      </c>
      <c r="Y108" s="66" t="s">
        <v>685</v>
      </c>
      <c r="Z108" s="66" t="s">
        <v>685</v>
      </c>
      <c r="AA108" s="66">
        <v>0</v>
      </c>
      <c r="AB108" s="66">
        <v>0</v>
      </c>
      <c r="AC108" s="66">
        <v>0</v>
      </c>
    </row>
    <row r="109" spans="1:29">
      <c r="A109" s="43" t="s">
        <v>543</v>
      </c>
      <c r="B109" s="43" t="s">
        <v>243</v>
      </c>
      <c r="C109" s="72">
        <v>0</v>
      </c>
      <c r="D109" s="72">
        <v>0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4.1399999999999997</v>
      </c>
      <c r="L109" s="72">
        <v>4.1399999999999997</v>
      </c>
      <c r="M109" s="72">
        <v>0</v>
      </c>
      <c r="N109" s="73">
        <v>0</v>
      </c>
      <c r="O109" s="73">
        <v>0</v>
      </c>
      <c r="P109" s="73">
        <v>0</v>
      </c>
      <c r="Q109" s="73">
        <v>0</v>
      </c>
      <c r="R109" s="50">
        <v>0</v>
      </c>
      <c r="S109" s="50">
        <v>0</v>
      </c>
      <c r="T109" s="66">
        <v>0</v>
      </c>
      <c r="U109" s="66" t="s">
        <v>685</v>
      </c>
      <c r="V109" s="66" t="s">
        <v>685</v>
      </c>
      <c r="W109" s="66" t="s">
        <v>685</v>
      </c>
      <c r="X109" s="66" t="s">
        <v>685</v>
      </c>
      <c r="Y109" s="66" t="s">
        <v>685</v>
      </c>
      <c r="Z109" s="66" t="s">
        <v>685</v>
      </c>
      <c r="AA109" s="66">
        <v>0</v>
      </c>
      <c r="AB109" s="66">
        <v>0</v>
      </c>
      <c r="AC109" s="66">
        <v>0</v>
      </c>
    </row>
    <row r="110" spans="1:29">
      <c r="A110" s="43" t="s">
        <v>543</v>
      </c>
      <c r="B110" s="43" t="s">
        <v>95</v>
      </c>
      <c r="C110" s="73">
        <v>0</v>
      </c>
      <c r="D110" s="73">
        <v>0</v>
      </c>
      <c r="E110" s="73">
        <v>0</v>
      </c>
      <c r="F110" s="73">
        <v>7.6999999999999999E-2</v>
      </c>
      <c r="G110" s="73">
        <v>0.44</v>
      </c>
      <c r="H110" s="73">
        <v>0.99550000000000005</v>
      </c>
      <c r="I110" s="73">
        <v>0.94599999999999995</v>
      </c>
      <c r="J110" s="73">
        <v>0.14850000000000002</v>
      </c>
      <c r="K110" s="73">
        <v>0</v>
      </c>
      <c r="L110" s="73">
        <v>8.2500000000000004E-2</v>
      </c>
      <c r="M110" s="73">
        <v>10.0969</v>
      </c>
      <c r="N110" s="73">
        <v>3.9515850000000001</v>
      </c>
      <c r="O110" s="73">
        <v>5.5462000000000007</v>
      </c>
      <c r="P110" s="73">
        <v>7.527849999999999</v>
      </c>
      <c r="Q110" s="73">
        <v>6.0351499999999998</v>
      </c>
      <c r="R110" s="50">
        <f>((66.74-3.4)*0.055)</f>
        <v>3.4836999999999998</v>
      </c>
      <c r="S110" s="50">
        <f>(60.9*0.055)</f>
        <v>3.3494999999999999</v>
      </c>
      <c r="T110" s="66">
        <f>(35.38*0.055)+(0.77*0.065)</f>
        <v>1.9959500000000001</v>
      </c>
      <c r="U110" s="66">
        <f>(88.73*0.055)+(3.86*0.065)</f>
        <v>5.1310500000000001</v>
      </c>
      <c r="V110" s="66">
        <f>(59.23*0.055)+(1.72*0.065)</f>
        <v>3.3694500000000001</v>
      </c>
      <c r="W110" s="66">
        <f>(37.19*0.055)+(0.94*0.065)</f>
        <v>2.1065499999999999</v>
      </c>
      <c r="X110" s="66">
        <f>(41.53*0.055)+(0.94*0.065)</f>
        <v>2.3452500000000001</v>
      </c>
      <c r="Y110" s="66">
        <f>(41.8*0.055)+(1.14*0.065)</f>
        <v>2.3731</v>
      </c>
      <c r="Z110" s="66">
        <f>(35.38*0.055)+(0.77*0.065)</f>
        <v>1.9959500000000001</v>
      </c>
      <c r="AA110" s="66">
        <f>27.47*0.055</f>
        <v>1.51085</v>
      </c>
      <c r="AB110" s="66">
        <f>(23.976*0.055)+(0.55*0.065)</f>
        <v>1.3544299999999998</v>
      </c>
      <c r="AC110" s="66">
        <v>0</v>
      </c>
    </row>
    <row r="111" spans="1:29">
      <c r="A111" s="43" t="s">
        <v>543</v>
      </c>
      <c r="B111" s="43" t="s">
        <v>825</v>
      </c>
      <c r="Q111" s="73">
        <v>0</v>
      </c>
      <c r="R111" s="50">
        <f>27.3*0.11</f>
        <v>3.0030000000000001</v>
      </c>
      <c r="S111" s="50">
        <f>67.74*0.11</f>
        <v>7.4513999999999996</v>
      </c>
      <c r="T111" s="50">
        <f>64.8*0.11</f>
        <v>7.1280000000000001</v>
      </c>
      <c r="U111" s="50">
        <f>30*0.11</f>
        <v>3.3</v>
      </c>
      <c r="V111" s="66">
        <f>11*0.11</f>
        <v>1.21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</row>
    <row r="112" spans="1:29">
      <c r="A112" s="43" t="s">
        <v>543</v>
      </c>
      <c r="B112" s="43" t="s">
        <v>574</v>
      </c>
      <c r="C112" s="72">
        <v>2.4</v>
      </c>
      <c r="D112" s="72">
        <v>3.6</v>
      </c>
      <c r="E112" s="72">
        <v>3.9</v>
      </c>
      <c r="F112" s="72">
        <v>6.2</v>
      </c>
      <c r="G112" s="72">
        <v>6.2</v>
      </c>
      <c r="H112" s="72">
        <v>6.2</v>
      </c>
      <c r="I112" s="72">
        <v>9.06</v>
      </c>
      <c r="J112" s="72">
        <v>11.79</v>
      </c>
      <c r="K112" s="72">
        <v>9.84</v>
      </c>
      <c r="L112" s="72">
        <v>7.56</v>
      </c>
      <c r="M112" s="72">
        <v>0.77400000000000002</v>
      </c>
      <c r="N112" s="73">
        <v>0</v>
      </c>
      <c r="O112" s="73">
        <v>0</v>
      </c>
      <c r="P112" s="73">
        <v>0</v>
      </c>
      <c r="Q112" s="73">
        <v>0</v>
      </c>
      <c r="R112" s="50">
        <v>0</v>
      </c>
      <c r="S112" s="50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</row>
    <row r="113" spans="1:30">
      <c r="A113" s="43" t="s">
        <v>543</v>
      </c>
      <c r="B113" s="43" t="s">
        <v>535</v>
      </c>
      <c r="C113" s="72">
        <v>0</v>
      </c>
      <c r="D113" s="72">
        <v>0.65</v>
      </c>
      <c r="E113" s="72">
        <v>0.75</v>
      </c>
      <c r="F113" s="72">
        <v>1.5</v>
      </c>
      <c r="G113" s="72">
        <v>1.7</v>
      </c>
      <c r="H113" s="72">
        <v>2</v>
      </c>
      <c r="I113" s="72">
        <v>2.02</v>
      </c>
      <c r="J113" s="72">
        <v>2.2599999999999998</v>
      </c>
      <c r="K113" s="72">
        <v>3.6</v>
      </c>
      <c r="L113" s="72">
        <v>2.44</v>
      </c>
      <c r="M113" s="72">
        <v>0.68400000000000005</v>
      </c>
      <c r="N113" s="73">
        <v>0</v>
      </c>
      <c r="O113" s="73">
        <v>0</v>
      </c>
      <c r="P113" s="73">
        <v>0</v>
      </c>
      <c r="Q113" s="73">
        <v>3.0000000000000001E-3</v>
      </c>
      <c r="R113" s="50">
        <v>0</v>
      </c>
      <c r="S113" s="50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</row>
    <row r="114" spans="1:30">
      <c r="A114" s="43" t="s">
        <v>747</v>
      </c>
      <c r="B114" s="43" t="s">
        <v>752</v>
      </c>
      <c r="C114" s="72">
        <v>8.36</v>
      </c>
      <c r="D114" s="72">
        <v>5.4</v>
      </c>
      <c r="E114" s="72">
        <v>5.4</v>
      </c>
      <c r="F114" s="72">
        <v>2.97</v>
      </c>
      <c r="G114" s="72">
        <v>2.79</v>
      </c>
      <c r="H114" s="72">
        <v>2.2799999999999998</v>
      </c>
      <c r="I114" s="72">
        <v>4.0199999999999996</v>
      </c>
      <c r="J114" s="72">
        <v>3.55</v>
      </c>
      <c r="L114" s="72">
        <v>2.7</v>
      </c>
      <c r="M114" s="72">
        <v>1.94</v>
      </c>
      <c r="N114" s="73">
        <v>0.74</v>
      </c>
      <c r="O114" s="73">
        <v>0.56000000000000005</v>
      </c>
      <c r="P114" s="73">
        <v>0.36</v>
      </c>
      <c r="Q114" s="73">
        <v>0</v>
      </c>
      <c r="R114" s="50">
        <v>0</v>
      </c>
      <c r="S114" s="50">
        <v>0</v>
      </c>
      <c r="T114" s="66" t="s">
        <v>685</v>
      </c>
      <c r="U114" s="66" t="s">
        <v>685</v>
      </c>
      <c r="V114" s="66" t="s">
        <v>685</v>
      </c>
      <c r="W114" s="66" t="s">
        <v>685</v>
      </c>
      <c r="X114" s="66" t="s">
        <v>685</v>
      </c>
      <c r="Y114" s="66" t="s">
        <v>685</v>
      </c>
      <c r="Z114" s="66" t="s">
        <v>685</v>
      </c>
      <c r="AA114" s="66">
        <v>0</v>
      </c>
      <c r="AB114" s="66">
        <v>0</v>
      </c>
      <c r="AC114" s="66">
        <v>0</v>
      </c>
    </row>
    <row r="115" spans="1:30">
      <c r="A115" s="43" t="s">
        <v>747</v>
      </c>
      <c r="B115" s="43" t="s">
        <v>663</v>
      </c>
      <c r="C115" s="72">
        <v>0</v>
      </c>
      <c r="D115" s="72">
        <v>0</v>
      </c>
      <c r="E115" s="72">
        <v>0</v>
      </c>
      <c r="F115" s="72">
        <v>0</v>
      </c>
      <c r="G115" s="72">
        <v>0</v>
      </c>
      <c r="H115" s="72">
        <v>0</v>
      </c>
      <c r="I115" s="72">
        <v>0</v>
      </c>
      <c r="J115" s="72">
        <v>0</v>
      </c>
      <c r="L115" s="72">
        <v>0</v>
      </c>
      <c r="M115" s="72">
        <v>0</v>
      </c>
      <c r="N115" s="73">
        <v>0</v>
      </c>
      <c r="O115" s="73">
        <v>0</v>
      </c>
      <c r="P115" s="73">
        <v>0</v>
      </c>
      <c r="Q115" s="73">
        <v>0</v>
      </c>
      <c r="R115" s="50">
        <v>0</v>
      </c>
      <c r="S115" s="50">
        <v>0</v>
      </c>
      <c r="T115" s="66" t="s">
        <v>685</v>
      </c>
      <c r="U115" s="66" t="s">
        <v>685</v>
      </c>
      <c r="V115" s="66" t="s">
        <v>685</v>
      </c>
      <c r="W115" s="66" t="s">
        <v>685</v>
      </c>
      <c r="X115" s="66" t="s">
        <v>685</v>
      </c>
      <c r="Y115" s="66" t="s">
        <v>685</v>
      </c>
      <c r="Z115" s="66" t="s">
        <v>685</v>
      </c>
      <c r="AA115" s="66">
        <v>0</v>
      </c>
      <c r="AB115" s="66">
        <v>0</v>
      </c>
      <c r="AC115" s="66">
        <v>0</v>
      </c>
    </row>
    <row r="116" spans="1:30">
      <c r="A116" s="43" t="s">
        <v>747</v>
      </c>
      <c r="B116" s="43" t="s">
        <v>243</v>
      </c>
      <c r="C116" s="72">
        <v>6.3</v>
      </c>
      <c r="D116" s="72">
        <v>0.3</v>
      </c>
      <c r="E116" s="72">
        <v>0.3</v>
      </c>
      <c r="F116" s="72">
        <v>5.8</v>
      </c>
      <c r="G116" s="72">
        <v>4.5</v>
      </c>
      <c r="H116" s="72">
        <v>2.2000000000000002</v>
      </c>
      <c r="I116" s="72">
        <v>4.5</v>
      </c>
      <c r="J116" s="72">
        <v>4.2</v>
      </c>
      <c r="L116" s="72">
        <v>0.6</v>
      </c>
      <c r="M116" s="72">
        <v>0.3</v>
      </c>
      <c r="N116" s="73">
        <v>0.3</v>
      </c>
      <c r="O116" s="73">
        <v>0.6</v>
      </c>
      <c r="P116" s="73">
        <v>0.6</v>
      </c>
      <c r="Q116" s="73">
        <v>0</v>
      </c>
      <c r="R116" s="50">
        <v>0</v>
      </c>
      <c r="S116" s="50">
        <v>0</v>
      </c>
      <c r="T116" s="66" t="s">
        <v>685</v>
      </c>
      <c r="U116" s="66" t="s">
        <v>685</v>
      </c>
      <c r="V116" s="66" t="s">
        <v>685</v>
      </c>
      <c r="W116" s="66" t="s">
        <v>685</v>
      </c>
      <c r="X116" s="66" t="s">
        <v>685</v>
      </c>
      <c r="Y116" s="66" t="s">
        <v>685</v>
      </c>
      <c r="Z116" s="66" t="s">
        <v>685</v>
      </c>
      <c r="AA116" s="66">
        <v>0</v>
      </c>
      <c r="AB116" s="66">
        <v>0</v>
      </c>
      <c r="AC116" s="66">
        <v>0</v>
      </c>
    </row>
    <row r="117" spans="1:30">
      <c r="A117" s="43" t="s">
        <v>747</v>
      </c>
      <c r="B117" s="43" t="s">
        <v>95</v>
      </c>
      <c r="C117" s="73">
        <v>0.62150000000000005</v>
      </c>
      <c r="D117" s="73">
        <v>0.8085</v>
      </c>
      <c r="E117" s="73">
        <v>0.90749999999999997</v>
      </c>
      <c r="F117" s="73">
        <v>1.1879999999999999</v>
      </c>
      <c r="G117" s="73">
        <v>1.34585</v>
      </c>
      <c r="H117" s="73">
        <v>1.452</v>
      </c>
      <c r="I117" s="73">
        <v>1.5674999999999999</v>
      </c>
      <c r="J117" s="73">
        <v>1.76</v>
      </c>
      <c r="L117" s="73">
        <v>2.343</v>
      </c>
      <c r="M117" s="73">
        <v>3.0931999999999999</v>
      </c>
      <c r="N117" s="73">
        <v>6.8860000000000001</v>
      </c>
      <c r="O117" s="73">
        <v>9.9109999999999996</v>
      </c>
      <c r="P117" s="73">
        <v>12.661</v>
      </c>
      <c r="Q117" s="73">
        <f>(200*0.055)+(0.1*0.11)</f>
        <v>11.010999999999999</v>
      </c>
      <c r="R117" s="50">
        <f>(200*0.055)+(0.1*0.11)</f>
        <v>11.010999999999999</v>
      </c>
      <c r="S117" s="50">
        <f>(45.44*0.055)+(1.67*0.11)</f>
        <v>2.6829000000000001</v>
      </c>
      <c r="T117" s="66">
        <f>28.7*0.055</f>
        <v>1.5785</v>
      </c>
      <c r="U117" s="66">
        <f>(46.48*0.055)+(1.92*0.11)</f>
        <v>2.7675999999999998</v>
      </c>
      <c r="V117" s="66">
        <f>(190*0.055)+(0.5*0.11)</f>
        <v>10.504999999999999</v>
      </c>
      <c r="W117" s="66">
        <f>(176.3*0.055)+(0.5*0.11)</f>
        <v>9.7515000000000001</v>
      </c>
      <c r="X117" s="66">
        <f>(170.6*0.055)+(0.4*0.11)</f>
        <v>9.4269999999999996</v>
      </c>
      <c r="Y117" s="66">
        <f>156*0.055</f>
        <v>8.58</v>
      </c>
      <c r="Z117" s="66">
        <f>(140.67*0.055)+(0.4*0.11)</f>
        <v>7.7808499999999992</v>
      </c>
      <c r="AA117" s="66">
        <f>(125*0.055)+(0.2*0.11)</f>
        <v>6.8970000000000002</v>
      </c>
      <c r="AB117" s="66">
        <f>98.5*0.055</f>
        <v>5.4175000000000004</v>
      </c>
      <c r="AC117" s="76">
        <f>0.014333*0.055</f>
        <v>7.8831500000000004E-4</v>
      </c>
      <c r="AD117" s="76"/>
    </row>
    <row r="118" spans="1:30">
      <c r="A118" s="43" t="s">
        <v>747</v>
      </c>
      <c r="B118" s="43" t="s">
        <v>825</v>
      </c>
      <c r="Q118" s="73">
        <v>0</v>
      </c>
      <c r="R118" s="50">
        <v>0</v>
      </c>
      <c r="S118" s="50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</row>
    <row r="119" spans="1:30">
      <c r="A119" s="43" t="s">
        <v>747</v>
      </c>
      <c r="B119" s="43" t="s">
        <v>574</v>
      </c>
      <c r="C119" s="72">
        <v>0.36</v>
      </c>
      <c r="D119" s="72">
        <v>0.36</v>
      </c>
      <c r="E119" s="72">
        <v>0.36</v>
      </c>
      <c r="F119" s="72">
        <v>0.42</v>
      </c>
      <c r="G119" s="72">
        <v>0.48</v>
      </c>
      <c r="H119" s="72">
        <v>0.48</v>
      </c>
      <c r="I119" s="72">
        <v>0.6</v>
      </c>
      <c r="J119" s="72">
        <v>0.6</v>
      </c>
      <c r="L119" s="72" t="s">
        <v>685</v>
      </c>
      <c r="M119" s="72">
        <v>0</v>
      </c>
      <c r="N119" s="73">
        <v>0</v>
      </c>
      <c r="O119" s="73">
        <v>0</v>
      </c>
      <c r="P119" s="73">
        <v>0</v>
      </c>
      <c r="Q119" s="73">
        <v>0</v>
      </c>
      <c r="R119" s="50">
        <v>0</v>
      </c>
      <c r="S119" s="50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</row>
    <row r="120" spans="1:30">
      <c r="A120" s="43" t="s">
        <v>747</v>
      </c>
      <c r="B120" s="43" t="s">
        <v>535</v>
      </c>
      <c r="C120" s="72">
        <v>0</v>
      </c>
      <c r="D120" s="72">
        <v>0</v>
      </c>
      <c r="E120" s="72">
        <v>0</v>
      </c>
      <c r="F120" s="72">
        <v>0</v>
      </c>
      <c r="G120" s="72">
        <v>0</v>
      </c>
      <c r="H120" s="72">
        <v>0</v>
      </c>
      <c r="I120" s="72">
        <v>0</v>
      </c>
      <c r="J120" s="72">
        <v>0</v>
      </c>
      <c r="L120" s="72">
        <v>0</v>
      </c>
      <c r="M120" s="72">
        <v>0</v>
      </c>
      <c r="N120" s="73">
        <v>0</v>
      </c>
      <c r="O120" s="73">
        <v>0</v>
      </c>
      <c r="P120" s="73">
        <v>0</v>
      </c>
      <c r="Q120" s="73">
        <v>0</v>
      </c>
      <c r="R120" s="50">
        <v>0</v>
      </c>
      <c r="S120" s="50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</row>
    <row r="121" spans="1:30">
      <c r="A121" s="43" t="s">
        <v>748</v>
      </c>
      <c r="B121" s="43" t="s">
        <v>752</v>
      </c>
      <c r="C121" s="72">
        <v>11638.61</v>
      </c>
      <c r="E121" s="72">
        <v>9817.76</v>
      </c>
      <c r="G121" s="72">
        <v>11571</v>
      </c>
      <c r="H121" s="72">
        <v>7292</v>
      </c>
      <c r="I121" s="72">
        <v>6230.85</v>
      </c>
      <c r="J121" s="72">
        <v>2660.4</v>
      </c>
      <c r="K121" s="72">
        <v>3278.23</v>
      </c>
      <c r="L121" s="72">
        <v>1870.5</v>
      </c>
      <c r="M121" s="72">
        <v>967.31</v>
      </c>
      <c r="N121" s="73">
        <f>378.52-1.693</f>
        <v>376.827</v>
      </c>
      <c r="O121" s="73">
        <v>305.30650000000003</v>
      </c>
      <c r="P121" s="73">
        <f>77.154+147.118+60.076-(0.025*0.8)</f>
        <v>284.32800000000003</v>
      </c>
      <c r="Q121" s="73">
        <v>46.87</v>
      </c>
      <c r="R121" s="50">
        <v>-13.82</v>
      </c>
      <c r="S121" s="50">
        <v>0</v>
      </c>
      <c r="T121" s="66" t="s">
        <v>685</v>
      </c>
      <c r="U121" s="66" t="s">
        <v>685</v>
      </c>
      <c r="V121" s="66" t="s">
        <v>685</v>
      </c>
      <c r="W121" s="66" t="s">
        <v>685</v>
      </c>
      <c r="X121" s="66" t="s">
        <v>685</v>
      </c>
      <c r="Y121" s="66" t="s">
        <v>685</v>
      </c>
      <c r="Z121" s="66" t="s">
        <v>685</v>
      </c>
      <c r="AA121" s="66">
        <v>0</v>
      </c>
      <c r="AB121" s="66">
        <v>0</v>
      </c>
      <c r="AC121" s="66">
        <v>0</v>
      </c>
    </row>
    <row r="122" spans="1:30">
      <c r="A122" s="43" t="s">
        <v>748</v>
      </c>
      <c r="B122" s="43" t="s">
        <v>663</v>
      </c>
      <c r="E122" s="72">
        <v>11672.6</v>
      </c>
      <c r="G122" s="72">
        <v>644.6</v>
      </c>
      <c r="H122" s="72">
        <v>830.5</v>
      </c>
      <c r="I122" s="72">
        <v>163.06</v>
      </c>
      <c r="J122" s="72">
        <v>35.200000000000003</v>
      </c>
      <c r="K122" s="72">
        <v>68.38</v>
      </c>
      <c r="L122" s="72">
        <v>222.06800000000001</v>
      </c>
      <c r="M122" s="72">
        <v>0</v>
      </c>
      <c r="N122" s="73">
        <v>5.3900000000000003E-2</v>
      </c>
      <c r="O122" s="73">
        <v>50.295299999999997</v>
      </c>
      <c r="P122" s="73">
        <v>0</v>
      </c>
      <c r="Q122" s="73">
        <v>0</v>
      </c>
      <c r="R122" s="50">
        <v>0</v>
      </c>
      <c r="S122" s="50">
        <v>0</v>
      </c>
      <c r="T122" s="66" t="s">
        <v>685</v>
      </c>
      <c r="U122" s="66" t="s">
        <v>685</v>
      </c>
      <c r="V122" s="66" t="s">
        <v>685</v>
      </c>
      <c r="W122" s="66" t="s">
        <v>685</v>
      </c>
      <c r="X122" s="66" t="s">
        <v>685</v>
      </c>
      <c r="Y122" s="66" t="s">
        <v>685</v>
      </c>
      <c r="Z122" s="66" t="s">
        <v>685</v>
      </c>
      <c r="AA122" s="66">
        <v>0</v>
      </c>
      <c r="AB122" s="66">
        <v>0</v>
      </c>
      <c r="AC122" s="66">
        <v>0</v>
      </c>
    </row>
    <row r="123" spans="1:30">
      <c r="A123" s="43" t="s">
        <v>748</v>
      </c>
      <c r="B123" s="43" t="s">
        <v>243</v>
      </c>
      <c r="C123" s="72">
        <v>28.96</v>
      </c>
      <c r="E123" s="72">
        <v>20</v>
      </c>
      <c r="G123" s="72">
        <v>20</v>
      </c>
      <c r="H123" s="72">
        <v>1.5</v>
      </c>
      <c r="I123" s="72">
        <v>4.5999999999999996</v>
      </c>
      <c r="J123" s="72">
        <v>20</v>
      </c>
      <c r="K123" s="72">
        <v>5</v>
      </c>
      <c r="L123" s="72">
        <v>9</v>
      </c>
      <c r="M123" s="72" t="s">
        <v>685</v>
      </c>
      <c r="N123" s="73">
        <f>(1*3)+(0.2*10)</f>
        <v>5</v>
      </c>
      <c r="O123" s="73">
        <v>1.581</v>
      </c>
      <c r="P123" s="73">
        <v>0</v>
      </c>
      <c r="Q123" s="73">
        <v>0</v>
      </c>
      <c r="R123" s="50">
        <v>0</v>
      </c>
      <c r="S123" s="50">
        <v>0</v>
      </c>
      <c r="T123" s="66" t="s">
        <v>685</v>
      </c>
      <c r="U123" s="66" t="s">
        <v>685</v>
      </c>
      <c r="V123" s="66" t="s">
        <v>685</v>
      </c>
      <c r="W123" s="66" t="s">
        <v>685</v>
      </c>
      <c r="X123" s="66" t="s">
        <v>685</v>
      </c>
      <c r="Y123" s="66" t="s">
        <v>685</v>
      </c>
      <c r="Z123" s="66" t="s">
        <v>685</v>
      </c>
      <c r="AA123" s="66">
        <f>(4.3*3)+(4.85*10)</f>
        <v>61.4</v>
      </c>
      <c r="AB123" s="66">
        <f>(2.71*3)+(2.42*10)</f>
        <v>32.33</v>
      </c>
      <c r="AC123" s="66">
        <f>(3.76*3)+(2.52*10)</f>
        <v>36.479999999999997</v>
      </c>
    </row>
    <row r="124" spans="1:30">
      <c r="A124" s="43" t="s">
        <v>748</v>
      </c>
      <c r="B124" s="43" t="s">
        <v>95</v>
      </c>
      <c r="E124" s="73">
        <v>374.43479000000002</v>
      </c>
      <c r="G124" s="73">
        <v>476.46499999999997</v>
      </c>
      <c r="H124" s="73">
        <v>522.745</v>
      </c>
      <c r="I124" s="73">
        <v>756.01688000000001</v>
      </c>
      <c r="J124" s="73">
        <v>712.59500000000003</v>
      </c>
      <c r="K124" s="73">
        <v>753.46699999999998</v>
      </c>
      <c r="L124" s="73">
        <v>856.21534999999994</v>
      </c>
      <c r="M124" s="72" t="s">
        <v>685</v>
      </c>
      <c r="N124" s="73">
        <f>((8879.85-0.298)*0.055)+((4180.6-3)*0.11)+(15.13*0.065)+((17.25-3.768)*0.02)+(203.79*0.022)-(0.471*0.04)</f>
        <v>953.62899000000004</v>
      </c>
      <c r="O124" s="73">
        <f>((10308.79-72.804)*0.055)+((5286.41-69.593)*0.11)+(32.98*0.065)+((52.05-5.357)*0.02)+(520.29*0.022)+(0.2*0.07)</f>
        <v>1151.3670400000001</v>
      </c>
      <c r="P124" s="73">
        <f>((10599.75-0.645)*0.055)+((3957.34-24.503)*0.11)+(22.69*0.065)+(20.57*0.02)+(166.54*0.022)+(0.1*0.07)</f>
        <v>1021.1199749999998</v>
      </c>
      <c r="Q124" s="73">
        <f>((13701.23-8.56)*0.055)+((5927.78-24.93)*0.11)+((67.31-0.08)*0.065)+(9.99*0.02)+((386.6-0.88)*0.022)+(0.05*0.007)</f>
        <v>1415.4662900000003</v>
      </c>
      <c r="R124" s="50">
        <f>((15109.37-0.027)*0.055)+(3670.45*0.11)+(105.28*0.065)+(19.84*0.02)+(316.9*0.022)</f>
        <v>1248.9751650000001</v>
      </c>
      <c r="S124" s="50">
        <f>(11408.8*0.055)+(3884.69*0.11)+(68.69*0.065)+(44.31*0.02)+(246.94*0.022)</f>
        <v>1065.5836299999999</v>
      </c>
      <c r="T124" s="66">
        <f>((17020.44-0.4)*0.055)+(4246.02*0.11)+(12.02*0.065)+(170.79*0.02)+(204.83*0.022)</f>
        <v>1411.8677600000001</v>
      </c>
      <c r="U124" s="66">
        <f>(14256.44*0.055)+(3641.42*0.11)+(14.88*0.065)+(164.59*0.022)</f>
        <v>1189.2485799999999</v>
      </c>
      <c r="V124" s="66">
        <f>(14320.78*0.055)+(3373.04*0.11)+(54.06*0.065)+(3*0.02)+(113.2*0.022)</f>
        <v>1164.7415999999998</v>
      </c>
      <c r="W124" s="66">
        <f>(12757.62*0.055)+(2863.05*0.11)+(60.96*0.065)+(238.12*0.022)</f>
        <v>1025.80564</v>
      </c>
      <c r="X124" s="66">
        <f>(11101.86*0.055)+(2371.8*0.11)+(35.74*0.065)+((7.82-10.69)*0.02)+(69.22*0.022)</f>
        <v>875.28883999999994</v>
      </c>
      <c r="Y124" s="66">
        <f>((10204.76-154.29)*0.055)+(2586.9*0.11)+((1.1-21.6)*0.065)+(14.89*0.02)+(42.98*0.022)</f>
        <v>837.24571000000003</v>
      </c>
      <c r="Z124" s="66">
        <f>(8830.72*0.055)+((3095.78-19.59)*0.11)+(2.02*0.065)+((8.99-0.15)*0.02)+(26.21*0.022)</f>
        <v>824.95522000000005</v>
      </c>
      <c r="AA124" s="66">
        <f>(10277.15*0.055)+((2480.75-1.65)*0.11)+(0.35*0.065)+((14.92-0.21)*0.02)+(26.69*0.022)</f>
        <v>838.84838000000002</v>
      </c>
      <c r="AB124" s="66">
        <f>(7652.8*0.055)+((282.48-0.05)*0.11)+(14.89*0.02)+(24.73*0.022)</f>
        <v>452.81315999999998</v>
      </c>
      <c r="AC124" s="66">
        <f>((8375.41-22.88)*0.055)+(280.02*0.11)+(14.89*0.02)+(19.85*0.022)</f>
        <v>490.92585000000003</v>
      </c>
    </row>
    <row r="125" spans="1:30">
      <c r="A125" s="43" t="s">
        <v>748</v>
      </c>
      <c r="B125" s="43" t="s">
        <v>825</v>
      </c>
      <c r="Q125" s="73">
        <v>0</v>
      </c>
      <c r="R125" s="50">
        <f>-(90.83*0.11)</f>
        <v>-9.9913000000000007</v>
      </c>
      <c r="S125" s="50">
        <f>(-174.45*0.11)</f>
        <v>-19.189499999999999</v>
      </c>
      <c r="T125" s="66">
        <f>-(218.2*0.11)</f>
        <v>-24.001999999999999</v>
      </c>
      <c r="U125" s="66">
        <f>(-79.15*0.11)</f>
        <v>-8.7065000000000001</v>
      </c>
      <c r="V125" s="66">
        <f>-42.74*0.11</f>
        <v>-4.7014000000000005</v>
      </c>
      <c r="W125" s="66">
        <f>-7.64*0.11</f>
        <v>-0.84039999999999992</v>
      </c>
      <c r="X125" s="66">
        <f>-0.22*0.11</f>
        <v>-2.4199999999999999E-2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</row>
    <row r="126" spans="1:30">
      <c r="A126" s="43" t="s">
        <v>748</v>
      </c>
      <c r="B126" s="43" t="s">
        <v>574</v>
      </c>
      <c r="E126" s="72">
        <v>1343.28</v>
      </c>
      <c r="G126" s="72">
        <v>420</v>
      </c>
      <c r="H126" s="72">
        <v>0</v>
      </c>
      <c r="I126" s="72">
        <v>257.61599999999999</v>
      </c>
      <c r="J126" s="72">
        <v>238.2</v>
      </c>
      <c r="K126" s="72">
        <v>248.4</v>
      </c>
      <c r="L126" s="72">
        <v>255.15</v>
      </c>
      <c r="M126" s="72">
        <v>259.78800000000001</v>
      </c>
      <c r="N126" s="73">
        <v>0</v>
      </c>
      <c r="O126" s="73">
        <v>0</v>
      </c>
      <c r="P126" s="73">
        <v>0</v>
      </c>
      <c r="Q126" s="73">
        <v>0</v>
      </c>
      <c r="R126" s="50">
        <v>0</v>
      </c>
      <c r="S126" s="50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</row>
    <row r="127" spans="1:30">
      <c r="A127" s="43" t="s">
        <v>748</v>
      </c>
      <c r="B127" s="43" t="s">
        <v>535</v>
      </c>
      <c r="E127" s="72">
        <v>4.4400000000000004</v>
      </c>
      <c r="G127" s="72">
        <v>27.2</v>
      </c>
      <c r="H127" s="72">
        <v>0</v>
      </c>
      <c r="I127" s="72">
        <v>2.8000000000000001E-2</v>
      </c>
      <c r="J127" s="72">
        <v>0</v>
      </c>
      <c r="K127" s="72">
        <v>0</v>
      </c>
      <c r="L127" s="72">
        <v>0</v>
      </c>
      <c r="M127" s="72">
        <v>0</v>
      </c>
      <c r="N127" s="73">
        <v>0</v>
      </c>
      <c r="O127" s="73">
        <v>0</v>
      </c>
      <c r="P127" s="73">
        <v>0</v>
      </c>
      <c r="Q127" s="73">
        <v>0</v>
      </c>
      <c r="R127" s="50">
        <v>0</v>
      </c>
      <c r="S127" s="50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</row>
    <row r="128" spans="1:30">
      <c r="A128" s="43" t="s">
        <v>763</v>
      </c>
      <c r="B128" s="43" t="s">
        <v>752</v>
      </c>
      <c r="I128" s="72">
        <v>31.44</v>
      </c>
      <c r="J128" s="72">
        <v>43.375999999999998</v>
      </c>
      <c r="K128" s="72">
        <v>32.268000000000001</v>
      </c>
      <c r="P128" s="73">
        <v>2.38</v>
      </c>
      <c r="Q128" s="73">
        <f>0.5</f>
        <v>0.5</v>
      </c>
      <c r="R128" s="50">
        <v>0</v>
      </c>
      <c r="S128" s="50">
        <v>0</v>
      </c>
      <c r="T128" s="66" t="s">
        <v>685</v>
      </c>
      <c r="U128" s="66" t="s">
        <v>685</v>
      </c>
      <c r="V128" s="66" t="s">
        <v>685</v>
      </c>
      <c r="W128" s="66" t="s">
        <v>685</v>
      </c>
      <c r="X128" s="66" t="s">
        <v>685</v>
      </c>
      <c r="Y128" s="66" t="s">
        <v>685</v>
      </c>
      <c r="Z128" s="66" t="s">
        <v>685</v>
      </c>
      <c r="AA128" s="66">
        <v>0</v>
      </c>
      <c r="AB128" s="66">
        <v>0</v>
      </c>
      <c r="AC128" s="66">
        <v>0</v>
      </c>
    </row>
    <row r="129" spans="1:30">
      <c r="A129" s="43" t="s">
        <v>763</v>
      </c>
      <c r="B129" s="43" t="s">
        <v>663</v>
      </c>
      <c r="I129" s="72">
        <v>0</v>
      </c>
      <c r="J129" s="72">
        <v>0</v>
      </c>
      <c r="K129" s="72">
        <v>0</v>
      </c>
      <c r="P129" s="73">
        <v>0</v>
      </c>
      <c r="Q129" s="73">
        <v>0</v>
      </c>
      <c r="R129" s="50">
        <v>0</v>
      </c>
      <c r="S129" s="50">
        <v>0</v>
      </c>
      <c r="T129" s="66" t="s">
        <v>685</v>
      </c>
      <c r="U129" s="66" t="s">
        <v>685</v>
      </c>
      <c r="V129" s="66" t="s">
        <v>685</v>
      </c>
      <c r="W129" s="66" t="s">
        <v>685</v>
      </c>
      <c r="X129" s="66" t="s">
        <v>685</v>
      </c>
      <c r="Y129" s="66" t="s">
        <v>685</v>
      </c>
      <c r="Z129" s="66" t="s">
        <v>685</v>
      </c>
      <c r="AA129" s="66">
        <v>0</v>
      </c>
      <c r="AB129" s="66">
        <v>0</v>
      </c>
      <c r="AC129" s="66">
        <v>0</v>
      </c>
    </row>
    <row r="130" spans="1:30">
      <c r="A130" s="43" t="s">
        <v>763</v>
      </c>
      <c r="B130" s="43" t="s">
        <v>243</v>
      </c>
      <c r="I130" s="72">
        <v>0</v>
      </c>
      <c r="J130" s="72">
        <v>0</v>
      </c>
      <c r="K130" s="72">
        <v>0</v>
      </c>
      <c r="P130" s="73">
        <v>0</v>
      </c>
      <c r="Q130" s="73">
        <v>0</v>
      </c>
      <c r="R130" s="50">
        <v>0</v>
      </c>
      <c r="S130" s="50">
        <v>0</v>
      </c>
      <c r="T130" s="66" t="s">
        <v>685</v>
      </c>
      <c r="U130" s="66" t="s">
        <v>685</v>
      </c>
      <c r="V130" s="66" t="s">
        <v>685</v>
      </c>
      <c r="W130" s="66" t="s">
        <v>685</v>
      </c>
      <c r="X130" s="66" t="s">
        <v>685</v>
      </c>
      <c r="Y130" s="66" t="s">
        <v>685</v>
      </c>
      <c r="Z130" s="66" t="s">
        <v>685</v>
      </c>
      <c r="AA130" s="66">
        <f>-3.18*10</f>
        <v>-31.8</v>
      </c>
      <c r="AB130" s="66">
        <v>0</v>
      </c>
      <c r="AC130" s="66">
        <v>0</v>
      </c>
    </row>
    <row r="131" spans="1:30">
      <c r="A131" s="43" t="s">
        <v>763</v>
      </c>
      <c r="B131" s="43" t="s">
        <v>95</v>
      </c>
      <c r="I131" s="73">
        <v>1.6516500000000001</v>
      </c>
      <c r="J131" s="73">
        <v>2.8512000000000004</v>
      </c>
      <c r="K131" s="73">
        <v>1.4338500000000001</v>
      </c>
      <c r="P131" s="73">
        <v>5.1805000000000003</v>
      </c>
      <c r="Q131" s="73">
        <f>(96.69*0.055)+(0.71*0.11)</f>
        <v>5.3960499999999998</v>
      </c>
      <c r="R131" s="50">
        <f>124.55*0.055</f>
        <v>6.85025</v>
      </c>
      <c r="S131" s="50">
        <f>(144.94*0.055)+(0.95*0.11)</f>
        <v>8.0762</v>
      </c>
      <c r="T131" s="66">
        <f>(105.1*0.055)+(1.116*0.11)+(0.8*0.02)</f>
        <v>5.9192600000000004</v>
      </c>
      <c r="U131" s="66">
        <f>77.63*0.055</f>
        <v>4.2696499999999995</v>
      </c>
      <c r="V131" s="66">
        <f>72.75*0.055</f>
        <v>4.0012499999999998</v>
      </c>
      <c r="W131" s="66">
        <f>64.89*0.055</f>
        <v>3.5689500000000001</v>
      </c>
      <c r="X131" s="66">
        <f>68.13*0.055</f>
        <v>3.74715</v>
      </c>
      <c r="Y131" s="66">
        <f>62.69*0.055</f>
        <v>3.4479500000000001</v>
      </c>
      <c r="Z131" s="66">
        <f>61.336*0.055</f>
        <v>3.3734799999999998</v>
      </c>
      <c r="AA131" s="66">
        <f>60.52*0.055</f>
        <v>3.3286000000000002</v>
      </c>
      <c r="AB131" s="66">
        <f>66.64*0.055</f>
        <v>3.6652</v>
      </c>
      <c r="AC131" s="66">
        <f>(68*0.055)+(0.6*0.02)</f>
        <v>3.7520000000000002</v>
      </c>
    </row>
    <row r="132" spans="1:30">
      <c r="A132" s="43" t="s">
        <v>763</v>
      </c>
      <c r="B132" s="43" t="s">
        <v>825</v>
      </c>
      <c r="Q132" s="73">
        <v>0</v>
      </c>
      <c r="R132" s="50">
        <v>0</v>
      </c>
      <c r="S132" s="50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</row>
    <row r="133" spans="1:30">
      <c r="A133" s="43" t="s">
        <v>763</v>
      </c>
      <c r="B133" s="43" t="s">
        <v>574</v>
      </c>
      <c r="I133" s="72">
        <v>0</v>
      </c>
      <c r="J133" s="72">
        <v>0</v>
      </c>
      <c r="K133" s="72">
        <v>0</v>
      </c>
      <c r="P133" s="73">
        <v>0</v>
      </c>
      <c r="Q133" s="73">
        <v>0</v>
      </c>
      <c r="R133" s="50">
        <v>0</v>
      </c>
      <c r="S133" s="50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</row>
    <row r="134" spans="1:30">
      <c r="A134" s="43" t="s">
        <v>763</v>
      </c>
      <c r="B134" s="43" t="s">
        <v>535</v>
      </c>
      <c r="I134" s="72">
        <v>0</v>
      </c>
      <c r="J134" s="72">
        <v>0</v>
      </c>
      <c r="K134" s="72">
        <v>0</v>
      </c>
      <c r="P134" s="73">
        <v>0</v>
      </c>
      <c r="Q134" s="73">
        <v>0</v>
      </c>
      <c r="R134" s="50">
        <v>0</v>
      </c>
      <c r="S134" s="50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</row>
    <row r="135" spans="1:30">
      <c r="A135" s="43" t="s">
        <v>544</v>
      </c>
      <c r="B135" s="43" t="s">
        <v>752</v>
      </c>
      <c r="C135" s="72">
        <v>33.92</v>
      </c>
      <c r="D135" s="72">
        <v>36.15</v>
      </c>
      <c r="E135" s="72">
        <v>34.85</v>
      </c>
      <c r="F135" s="72">
        <v>37</v>
      </c>
      <c r="G135" s="72">
        <v>30.6</v>
      </c>
      <c r="H135" s="72">
        <v>25.4</v>
      </c>
      <c r="I135" s="72">
        <v>19.600000000000001</v>
      </c>
      <c r="J135" s="72">
        <v>16.3</v>
      </c>
      <c r="K135" s="72">
        <v>13.2</v>
      </c>
      <c r="L135" s="72">
        <v>10.5</v>
      </c>
      <c r="M135" s="72">
        <v>7.41</v>
      </c>
      <c r="N135" s="73">
        <v>5.2</v>
      </c>
      <c r="O135" s="73">
        <v>4.2</v>
      </c>
      <c r="P135" s="73">
        <v>0</v>
      </c>
      <c r="Q135" s="73">
        <v>0</v>
      </c>
      <c r="R135" s="50">
        <v>0</v>
      </c>
      <c r="S135" s="50">
        <v>0</v>
      </c>
      <c r="T135" s="66" t="s">
        <v>685</v>
      </c>
      <c r="U135" s="66" t="s">
        <v>685</v>
      </c>
      <c r="V135" s="66" t="s">
        <v>685</v>
      </c>
      <c r="W135" s="66" t="s">
        <v>685</v>
      </c>
      <c r="X135" s="66" t="s">
        <v>685</v>
      </c>
      <c r="Y135" s="66" t="s">
        <v>685</v>
      </c>
      <c r="Z135" s="66" t="s">
        <v>685</v>
      </c>
      <c r="AA135" s="66">
        <v>0</v>
      </c>
      <c r="AB135" s="66">
        <v>0</v>
      </c>
      <c r="AC135" s="66">
        <v>0</v>
      </c>
      <c r="AD135" s="66">
        <v>0</v>
      </c>
    </row>
    <row r="136" spans="1:30">
      <c r="A136" s="43" t="s">
        <v>544</v>
      </c>
      <c r="B136" s="43" t="s">
        <v>663</v>
      </c>
      <c r="C136" s="72">
        <v>0</v>
      </c>
      <c r="D136" s="72">
        <v>0</v>
      </c>
      <c r="E136" s="72">
        <v>0</v>
      </c>
      <c r="F136" s="72">
        <v>0</v>
      </c>
      <c r="G136" s="72">
        <v>0</v>
      </c>
      <c r="H136" s="72">
        <v>0</v>
      </c>
      <c r="I136" s="72">
        <v>0</v>
      </c>
      <c r="J136" s="72">
        <v>0</v>
      </c>
      <c r="K136" s="72">
        <v>0</v>
      </c>
      <c r="L136" s="72">
        <v>0</v>
      </c>
      <c r="M136" s="72">
        <v>0</v>
      </c>
      <c r="N136" s="73">
        <v>0</v>
      </c>
      <c r="O136" s="73">
        <v>0</v>
      </c>
      <c r="P136" s="73">
        <v>0</v>
      </c>
      <c r="Q136" s="73">
        <v>0</v>
      </c>
      <c r="R136" s="50">
        <v>0</v>
      </c>
      <c r="S136" s="50">
        <v>0</v>
      </c>
      <c r="T136" s="66" t="s">
        <v>685</v>
      </c>
      <c r="U136" s="66" t="s">
        <v>685</v>
      </c>
      <c r="V136" s="66" t="s">
        <v>685</v>
      </c>
      <c r="W136" s="66" t="s">
        <v>685</v>
      </c>
      <c r="X136" s="66" t="s">
        <v>685</v>
      </c>
      <c r="Y136" s="66" t="s">
        <v>685</v>
      </c>
      <c r="Z136" s="66" t="s">
        <v>685</v>
      </c>
      <c r="AA136" s="66">
        <v>0</v>
      </c>
      <c r="AB136" s="66">
        <v>0</v>
      </c>
      <c r="AC136" s="66">
        <v>0</v>
      </c>
      <c r="AD136" s="66">
        <v>0</v>
      </c>
    </row>
    <row r="137" spans="1:30">
      <c r="A137" s="43" t="s">
        <v>544</v>
      </c>
      <c r="B137" s="43" t="s">
        <v>243</v>
      </c>
      <c r="C137" s="72">
        <v>0</v>
      </c>
      <c r="D137" s="72">
        <v>0</v>
      </c>
      <c r="E137" s="72">
        <v>0</v>
      </c>
      <c r="F137" s="72">
        <v>0</v>
      </c>
      <c r="G137" s="72">
        <v>0</v>
      </c>
      <c r="H137" s="72">
        <v>0</v>
      </c>
      <c r="I137" s="72">
        <v>0</v>
      </c>
      <c r="J137" s="72">
        <v>0</v>
      </c>
      <c r="K137" s="72">
        <v>0</v>
      </c>
      <c r="L137" s="72">
        <v>0</v>
      </c>
      <c r="M137" s="72">
        <v>0</v>
      </c>
      <c r="N137" s="73">
        <v>0</v>
      </c>
      <c r="O137" s="73">
        <v>0</v>
      </c>
      <c r="P137" s="73">
        <v>0</v>
      </c>
      <c r="Q137" s="73">
        <v>0</v>
      </c>
      <c r="R137" s="50">
        <v>0</v>
      </c>
      <c r="S137" s="50">
        <v>0</v>
      </c>
      <c r="T137" s="66" t="s">
        <v>685</v>
      </c>
      <c r="U137" s="66" t="s">
        <v>685</v>
      </c>
      <c r="V137" s="66" t="s">
        <v>685</v>
      </c>
      <c r="W137" s="66" t="s">
        <v>685</v>
      </c>
      <c r="X137" s="66" t="s">
        <v>685</v>
      </c>
      <c r="Y137" s="66" t="s">
        <v>685</v>
      </c>
      <c r="Z137" s="66" t="s">
        <v>685</v>
      </c>
      <c r="AA137" s="66">
        <v>0</v>
      </c>
      <c r="AB137" s="66">
        <v>0</v>
      </c>
      <c r="AC137" s="66">
        <v>0</v>
      </c>
      <c r="AD137" s="66">
        <v>0</v>
      </c>
    </row>
    <row r="138" spans="1:30">
      <c r="A138" s="43" t="s">
        <v>544</v>
      </c>
      <c r="B138" s="43" t="s">
        <v>95</v>
      </c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23.32</v>
      </c>
      <c r="Q138" s="73">
        <v>26.73</v>
      </c>
      <c r="R138" s="50">
        <f>564.25*0.055</f>
        <v>31.033750000000001</v>
      </c>
      <c r="S138" s="50">
        <f>507.75*0.055</f>
        <v>27.92625</v>
      </c>
      <c r="T138" s="66">
        <f>483.5*0.055</f>
        <v>26.592500000000001</v>
      </c>
      <c r="U138" s="66">
        <f>270.5*0.055</f>
        <v>14.8775</v>
      </c>
      <c r="V138" s="66">
        <f>225*0.055</f>
        <v>12.375</v>
      </c>
      <c r="W138" s="66">
        <f>218*0.055</f>
        <v>11.99</v>
      </c>
      <c r="X138" s="66">
        <f>262*0.055</f>
        <v>14.41</v>
      </c>
      <c r="Y138" s="66">
        <f>236*0.055</f>
        <v>12.98</v>
      </c>
      <c r="Z138" s="66">
        <f>189*0.055</f>
        <v>10.395</v>
      </c>
      <c r="AA138" s="66">
        <f>148*0.055</f>
        <v>8.14</v>
      </c>
      <c r="AB138" s="66">
        <f>115.44*0.055</f>
        <v>6.3491999999999997</v>
      </c>
      <c r="AC138" s="66">
        <f>105*0.055</f>
        <v>5.7750000000000004</v>
      </c>
      <c r="AD138" s="66">
        <f>96.5*0.055</f>
        <v>5.3075000000000001</v>
      </c>
    </row>
    <row r="139" spans="1:30">
      <c r="A139" s="43" t="s">
        <v>544</v>
      </c>
      <c r="B139" s="43" t="s">
        <v>825</v>
      </c>
      <c r="Q139" s="73">
        <v>0</v>
      </c>
      <c r="R139" s="50">
        <v>0</v>
      </c>
      <c r="S139" s="50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</row>
    <row r="140" spans="1:30">
      <c r="A140" s="43" t="s">
        <v>544</v>
      </c>
      <c r="B140" s="43" t="s">
        <v>574</v>
      </c>
      <c r="C140" s="72">
        <v>0</v>
      </c>
      <c r="D140" s="72">
        <v>0</v>
      </c>
      <c r="E140" s="72">
        <v>0</v>
      </c>
      <c r="F140" s="72">
        <v>0</v>
      </c>
      <c r="G140" s="72">
        <v>0</v>
      </c>
      <c r="H140" s="72">
        <v>0</v>
      </c>
      <c r="I140" s="72">
        <v>0</v>
      </c>
      <c r="J140" s="72">
        <v>0</v>
      </c>
      <c r="K140" s="72">
        <v>0</v>
      </c>
      <c r="L140" s="72">
        <v>0</v>
      </c>
      <c r="M140" s="72">
        <v>0</v>
      </c>
      <c r="N140" s="73">
        <v>0</v>
      </c>
      <c r="O140" s="73">
        <v>0</v>
      </c>
      <c r="P140" s="73">
        <v>0</v>
      </c>
      <c r="Q140" s="73">
        <v>0</v>
      </c>
      <c r="R140" s="50">
        <v>0</v>
      </c>
      <c r="S140" s="50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</row>
    <row r="141" spans="1:30">
      <c r="A141" s="43" t="s">
        <v>544</v>
      </c>
      <c r="B141" s="43" t="s">
        <v>535</v>
      </c>
      <c r="C141" s="72">
        <v>0</v>
      </c>
      <c r="D141" s="72">
        <v>0</v>
      </c>
      <c r="E141" s="72">
        <v>0</v>
      </c>
      <c r="F141" s="72">
        <v>0</v>
      </c>
      <c r="G141" s="72">
        <v>0</v>
      </c>
      <c r="H141" s="72">
        <v>0</v>
      </c>
      <c r="I141" s="72">
        <v>0</v>
      </c>
      <c r="J141" s="72">
        <v>0</v>
      </c>
      <c r="K141" s="72">
        <v>0</v>
      </c>
      <c r="L141" s="72">
        <v>0</v>
      </c>
      <c r="M141" s="72">
        <v>0</v>
      </c>
      <c r="N141" s="73">
        <v>0</v>
      </c>
      <c r="O141" s="73">
        <v>0</v>
      </c>
      <c r="P141" s="73">
        <v>0</v>
      </c>
      <c r="Q141" s="73">
        <v>0</v>
      </c>
      <c r="R141" s="50">
        <v>0</v>
      </c>
      <c r="S141" s="50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</row>
    <row r="142" spans="1:30">
      <c r="A142" s="43" t="s">
        <v>539</v>
      </c>
      <c r="B142" s="43" t="s">
        <v>752</v>
      </c>
      <c r="C142" s="72">
        <v>56.2</v>
      </c>
      <c r="D142" s="72">
        <v>58.81</v>
      </c>
      <c r="E142" s="72">
        <v>61.902000000000001</v>
      </c>
      <c r="F142" s="72">
        <v>64.540000000000006</v>
      </c>
      <c r="G142" s="72">
        <v>59.59</v>
      </c>
      <c r="H142" s="72">
        <v>53.84</v>
      </c>
      <c r="I142" s="72">
        <v>46.49</v>
      </c>
      <c r="J142" s="72">
        <v>20.29</v>
      </c>
      <c r="K142" s="72">
        <v>9.16</v>
      </c>
      <c r="L142" s="72">
        <v>3.94</v>
      </c>
      <c r="M142" s="72">
        <v>3.45</v>
      </c>
      <c r="N142" s="73">
        <v>3.45</v>
      </c>
      <c r="O142" s="73">
        <v>3.1</v>
      </c>
      <c r="P142" s="73">
        <v>1.01</v>
      </c>
      <c r="Q142" s="73">
        <v>0.37</v>
      </c>
      <c r="R142" s="50">
        <v>0</v>
      </c>
      <c r="S142" s="50">
        <v>0</v>
      </c>
      <c r="T142" s="66" t="s">
        <v>685</v>
      </c>
      <c r="U142" s="66">
        <v>0</v>
      </c>
      <c r="V142" s="66" t="s">
        <v>685</v>
      </c>
      <c r="W142" s="66" t="s">
        <v>685</v>
      </c>
      <c r="X142" s="66" t="s">
        <v>685</v>
      </c>
      <c r="Y142" s="66" t="s">
        <v>685</v>
      </c>
      <c r="Z142" s="66" t="s">
        <v>685</v>
      </c>
      <c r="AA142" s="66">
        <v>0</v>
      </c>
      <c r="AB142" s="66">
        <v>0</v>
      </c>
      <c r="AC142" s="66">
        <v>0</v>
      </c>
    </row>
    <row r="143" spans="1:30">
      <c r="A143" s="43" t="s">
        <v>539</v>
      </c>
      <c r="B143" s="43" t="s">
        <v>663</v>
      </c>
      <c r="C143" s="72">
        <v>0</v>
      </c>
      <c r="D143" s="72">
        <v>0</v>
      </c>
      <c r="E143" s="72">
        <v>0</v>
      </c>
      <c r="F143" s="72">
        <v>0</v>
      </c>
      <c r="G143" s="72">
        <v>0</v>
      </c>
      <c r="H143" s="72">
        <v>0</v>
      </c>
      <c r="I143" s="72">
        <v>0</v>
      </c>
      <c r="J143" s="72">
        <v>0</v>
      </c>
      <c r="K143" s="72">
        <v>0</v>
      </c>
      <c r="L143" s="72">
        <v>0</v>
      </c>
      <c r="M143" s="72">
        <v>0</v>
      </c>
      <c r="N143" s="73">
        <v>0</v>
      </c>
      <c r="O143" s="73">
        <v>0</v>
      </c>
      <c r="P143" s="73">
        <v>0</v>
      </c>
      <c r="Q143" s="73">
        <v>0</v>
      </c>
      <c r="R143" s="50">
        <v>0</v>
      </c>
      <c r="S143" s="50">
        <v>0</v>
      </c>
      <c r="T143" s="66" t="s">
        <v>685</v>
      </c>
      <c r="U143" s="66">
        <v>0</v>
      </c>
      <c r="V143" s="66" t="s">
        <v>685</v>
      </c>
      <c r="W143" s="66" t="s">
        <v>685</v>
      </c>
      <c r="X143" s="66" t="s">
        <v>685</v>
      </c>
      <c r="Y143" s="66" t="s">
        <v>685</v>
      </c>
      <c r="Z143" s="66" t="s">
        <v>685</v>
      </c>
      <c r="AA143" s="66">
        <v>0</v>
      </c>
      <c r="AB143" s="66">
        <v>0</v>
      </c>
      <c r="AC143" s="66">
        <v>0</v>
      </c>
    </row>
    <row r="144" spans="1:30">
      <c r="A144" s="43" t="s">
        <v>539</v>
      </c>
      <c r="B144" s="43" t="s">
        <v>243</v>
      </c>
      <c r="C144" s="72">
        <v>0</v>
      </c>
      <c r="D144" s="72">
        <v>0</v>
      </c>
      <c r="E144" s="72">
        <v>0</v>
      </c>
      <c r="F144" s="72">
        <v>0</v>
      </c>
      <c r="G144" s="72">
        <v>0</v>
      </c>
      <c r="H144" s="72">
        <v>0</v>
      </c>
      <c r="I144" s="72">
        <v>0</v>
      </c>
      <c r="J144" s="72">
        <v>0</v>
      </c>
      <c r="K144" s="72">
        <v>0</v>
      </c>
      <c r="L144" s="72">
        <v>0</v>
      </c>
      <c r="M144" s="72">
        <v>0</v>
      </c>
      <c r="N144" s="73">
        <v>0</v>
      </c>
      <c r="O144" s="73">
        <v>0</v>
      </c>
      <c r="P144" s="73">
        <v>0</v>
      </c>
      <c r="Q144" s="73">
        <v>0</v>
      </c>
      <c r="R144" s="50">
        <v>0</v>
      </c>
      <c r="S144" s="50">
        <v>0</v>
      </c>
      <c r="T144" s="66" t="s">
        <v>685</v>
      </c>
      <c r="U144" s="66">
        <v>0</v>
      </c>
      <c r="V144" s="66" t="s">
        <v>685</v>
      </c>
      <c r="W144" s="66" t="s">
        <v>685</v>
      </c>
      <c r="X144" s="66" t="s">
        <v>685</v>
      </c>
      <c r="Y144" s="66" t="s">
        <v>685</v>
      </c>
      <c r="Z144" s="66" t="s">
        <v>685</v>
      </c>
      <c r="AA144" s="66">
        <v>0</v>
      </c>
      <c r="AB144" s="66">
        <v>0</v>
      </c>
      <c r="AC144" s="66">
        <v>0</v>
      </c>
    </row>
    <row r="145" spans="1:29">
      <c r="A145" s="43" t="s">
        <v>539</v>
      </c>
      <c r="B145" s="43" t="s">
        <v>95</v>
      </c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1.0207999999999999</v>
      </c>
      <c r="M145" s="73">
        <v>0</v>
      </c>
      <c r="N145" s="73">
        <v>0.8085</v>
      </c>
      <c r="O145" s="73">
        <v>1.2044999999999999</v>
      </c>
      <c r="P145" s="73">
        <v>0</v>
      </c>
      <c r="Q145" s="73">
        <f>124.71*0.055</f>
        <v>6.8590499999999999</v>
      </c>
      <c r="R145" s="50">
        <f>133.69*0.055</f>
        <v>7.3529499999999999</v>
      </c>
      <c r="S145" s="50">
        <f>127*0.055</f>
        <v>6.9850000000000003</v>
      </c>
      <c r="T145" s="66">
        <f>118*0.055</f>
        <v>6.49</v>
      </c>
      <c r="U145" s="66">
        <f>129.2*0.055</f>
        <v>7.105999999999999</v>
      </c>
      <c r="V145" s="66">
        <f>124*0.055</f>
        <v>6.82</v>
      </c>
      <c r="W145" s="66">
        <f>118*0.055</f>
        <v>6.49</v>
      </c>
      <c r="X145" s="66">
        <f>95.236*0.055</f>
        <v>5.2379800000000003</v>
      </c>
      <c r="Y145" s="66">
        <f>82.02*0.055</f>
        <v>4.5110999999999999</v>
      </c>
      <c r="Z145" s="66">
        <f>37*0.055</f>
        <v>2.0350000000000001</v>
      </c>
      <c r="AA145" s="66">
        <f>32.5*0.055</f>
        <v>1.7875000000000001</v>
      </c>
      <c r="AB145" s="66">
        <f>24.3*0.055</f>
        <v>1.3365</v>
      </c>
      <c r="AC145" s="66">
        <f>21.4*0.055</f>
        <v>1.1769999999999998</v>
      </c>
    </row>
    <row r="146" spans="1:29">
      <c r="A146" s="43" t="s">
        <v>539</v>
      </c>
      <c r="B146" s="43" t="s">
        <v>825</v>
      </c>
      <c r="Q146" s="73">
        <v>0</v>
      </c>
      <c r="R146" s="50">
        <v>0</v>
      </c>
      <c r="S146" s="50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</row>
    <row r="147" spans="1:29">
      <c r="A147" s="43" t="s">
        <v>539</v>
      </c>
      <c r="B147" s="43" t="s">
        <v>574</v>
      </c>
      <c r="C147" s="72">
        <v>0</v>
      </c>
      <c r="D147" s="72">
        <v>0</v>
      </c>
      <c r="E147" s="72">
        <v>0</v>
      </c>
      <c r="F147" s="72">
        <v>0</v>
      </c>
      <c r="G147" s="72">
        <v>0</v>
      </c>
      <c r="H147" s="72">
        <v>0</v>
      </c>
      <c r="I147" s="72">
        <v>0</v>
      </c>
      <c r="J147" s="72">
        <v>0</v>
      </c>
      <c r="K147" s="72">
        <v>0</v>
      </c>
      <c r="L147" s="72">
        <v>0</v>
      </c>
      <c r="M147" s="72">
        <v>0</v>
      </c>
      <c r="N147" s="73">
        <v>0</v>
      </c>
      <c r="O147" s="73">
        <v>0</v>
      </c>
      <c r="P147" s="73">
        <v>0</v>
      </c>
      <c r="Q147" s="73">
        <v>0</v>
      </c>
      <c r="R147" s="50">
        <v>0</v>
      </c>
      <c r="S147" s="50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</row>
    <row r="148" spans="1:29">
      <c r="A148" s="43" t="s">
        <v>539</v>
      </c>
      <c r="B148" s="43" t="s">
        <v>535</v>
      </c>
      <c r="C148" s="72">
        <v>0</v>
      </c>
      <c r="D148" s="72">
        <v>0</v>
      </c>
      <c r="E148" s="72">
        <v>0.17</v>
      </c>
      <c r="F148" s="72">
        <v>0.17</v>
      </c>
      <c r="G148" s="72">
        <v>0.14000000000000001</v>
      </c>
      <c r="H148" s="72">
        <v>0.14000000000000001</v>
      </c>
      <c r="I148" s="72">
        <v>0.14000000000000001</v>
      </c>
      <c r="J148" s="72">
        <v>0.14000000000000001</v>
      </c>
      <c r="K148" s="72">
        <v>2.3E-2</v>
      </c>
      <c r="L148" s="72">
        <v>1.4E-2</v>
      </c>
      <c r="M148" s="72">
        <v>2.9000000000000001E-2</v>
      </c>
      <c r="N148" s="73">
        <v>2.8999999999999998E-2</v>
      </c>
      <c r="O148" s="73">
        <v>0</v>
      </c>
      <c r="P148" s="73">
        <v>1.2E-2</v>
      </c>
      <c r="Q148" s="73">
        <v>0</v>
      </c>
      <c r="R148" s="50">
        <v>0</v>
      </c>
      <c r="S148" s="50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</row>
    <row r="149" spans="1:29">
      <c r="A149" s="43" t="s">
        <v>833</v>
      </c>
      <c r="B149" s="68" t="s">
        <v>752</v>
      </c>
      <c r="M149" s="72">
        <v>1.72</v>
      </c>
      <c r="N149" s="73">
        <v>0</v>
      </c>
      <c r="O149" s="73">
        <v>0</v>
      </c>
      <c r="P149" s="73">
        <v>0</v>
      </c>
      <c r="Q149" s="73">
        <v>0</v>
      </c>
      <c r="R149" s="50">
        <v>0</v>
      </c>
      <c r="S149" s="50">
        <v>0</v>
      </c>
      <c r="T149" s="66">
        <v>0</v>
      </c>
      <c r="U149" s="66">
        <v>0</v>
      </c>
      <c r="V149" s="66" t="s">
        <v>685</v>
      </c>
      <c r="W149" s="66" t="s">
        <v>685</v>
      </c>
      <c r="X149" s="66" t="s">
        <v>685</v>
      </c>
      <c r="Y149" s="66" t="s">
        <v>685</v>
      </c>
      <c r="Z149" s="66" t="s">
        <v>685</v>
      </c>
      <c r="AA149" s="66">
        <v>0</v>
      </c>
      <c r="AB149" s="66">
        <v>0</v>
      </c>
      <c r="AC149" s="66">
        <v>0</v>
      </c>
    </row>
    <row r="150" spans="1:29">
      <c r="A150" s="43" t="s">
        <v>833</v>
      </c>
      <c r="B150" s="68" t="s">
        <v>663</v>
      </c>
      <c r="M150" s="72">
        <v>0</v>
      </c>
      <c r="N150" s="73">
        <v>0</v>
      </c>
      <c r="O150" s="73">
        <v>0</v>
      </c>
      <c r="P150" s="73">
        <v>0</v>
      </c>
      <c r="Q150" s="73">
        <v>0</v>
      </c>
      <c r="R150" s="50">
        <v>0</v>
      </c>
      <c r="S150" s="50">
        <v>0</v>
      </c>
      <c r="T150" s="66">
        <v>0</v>
      </c>
      <c r="U150" s="66">
        <v>0</v>
      </c>
      <c r="V150" s="66" t="s">
        <v>685</v>
      </c>
      <c r="W150" s="66" t="s">
        <v>685</v>
      </c>
      <c r="X150" s="66" t="s">
        <v>685</v>
      </c>
      <c r="Y150" s="66" t="s">
        <v>685</v>
      </c>
      <c r="Z150" s="66" t="s">
        <v>685</v>
      </c>
      <c r="AA150" s="66">
        <v>0</v>
      </c>
      <c r="AB150" s="66">
        <v>0</v>
      </c>
      <c r="AC150" s="66">
        <v>0</v>
      </c>
    </row>
    <row r="151" spans="1:29">
      <c r="A151" s="43" t="s">
        <v>833</v>
      </c>
      <c r="B151" s="43" t="s">
        <v>243</v>
      </c>
      <c r="M151" s="72">
        <v>0</v>
      </c>
      <c r="N151" s="73">
        <v>0</v>
      </c>
      <c r="O151" s="73">
        <v>0</v>
      </c>
      <c r="P151" s="73">
        <v>0</v>
      </c>
      <c r="Q151" s="73">
        <v>0</v>
      </c>
      <c r="R151" s="50">
        <v>0</v>
      </c>
      <c r="S151" s="50">
        <v>0</v>
      </c>
      <c r="T151" s="66">
        <v>0</v>
      </c>
      <c r="U151" s="66">
        <v>0</v>
      </c>
      <c r="V151" s="66" t="s">
        <v>685</v>
      </c>
      <c r="W151" s="66" t="s">
        <v>685</v>
      </c>
      <c r="X151" s="66" t="s">
        <v>685</v>
      </c>
      <c r="Y151" s="66" t="s">
        <v>685</v>
      </c>
      <c r="Z151" s="66" t="s">
        <v>685</v>
      </c>
      <c r="AA151" s="66">
        <v>0</v>
      </c>
      <c r="AB151" s="66">
        <v>0</v>
      </c>
      <c r="AC151" s="66">
        <v>0</v>
      </c>
    </row>
    <row r="152" spans="1:29">
      <c r="A152" s="43" t="s">
        <v>833</v>
      </c>
      <c r="B152" s="43" t="s">
        <v>95</v>
      </c>
      <c r="M152" s="73">
        <v>0</v>
      </c>
      <c r="N152" s="73">
        <v>5.3679999999999999E-2</v>
      </c>
      <c r="O152" s="73">
        <v>0.13750000000000001</v>
      </c>
      <c r="P152" s="73">
        <v>0.82499999999999996</v>
      </c>
      <c r="Q152" s="73">
        <f>4.5*0.055</f>
        <v>0.2475</v>
      </c>
      <c r="R152" s="50">
        <f>4.78*0.055</f>
        <v>0.26290000000000002</v>
      </c>
      <c r="S152" s="50">
        <f>5.13*0.055</f>
        <v>0.28215000000000001</v>
      </c>
      <c r="T152" s="66">
        <f>4.2*0.055</f>
        <v>0.23100000000000001</v>
      </c>
      <c r="U152" s="66">
        <f>3.15*0.055</f>
        <v>0.17324999999999999</v>
      </c>
      <c r="V152" s="66">
        <f>3.02*0.055</f>
        <v>0.1661</v>
      </c>
      <c r="W152" s="66">
        <f>2.5*0.055</f>
        <v>0.13750000000000001</v>
      </c>
      <c r="X152" s="66">
        <f>2.3*0.055</f>
        <v>0.1265</v>
      </c>
      <c r="Y152" s="66">
        <f>1.5*0.055</f>
        <v>8.2500000000000004E-2</v>
      </c>
      <c r="Z152" s="66">
        <f>1*0.055</f>
        <v>5.5E-2</v>
      </c>
      <c r="AA152" s="66">
        <f>1*0.055</f>
        <v>5.5E-2</v>
      </c>
      <c r="AB152" s="66">
        <f>0.8*0.055</f>
        <v>4.4000000000000004E-2</v>
      </c>
      <c r="AC152" s="66">
        <f>0.8*0.055</f>
        <v>4.4000000000000004E-2</v>
      </c>
    </row>
    <row r="153" spans="1:29">
      <c r="A153" s="43" t="s">
        <v>833</v>
      </c>
      <c r="B153" s="43" t="s">
        <v>825</v>
      </c>
      <c r="Q153" s="73">
        <v>0</v>
      </c>
      <c r="R153" s="50">
        <v>0</v>
      </c>
      <c r="S153" s="50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</row>
    <row r="154" spans="1:29">
      <c r="A154" s="43" t="s">
        <v>833</v>
      </c>
      <c r="B154" s="43" t="s">
        <v>574</v>
      </c>
      <c r="M154" s="72">
        <v>0</v>
      </c>
      <c r="N154" s="73">
        <v>0</v>
      </c>
      <c r="O154" s="73">
        <v>0</v>
      </c>
      <c r="P154" s="73">
        <v>0</v>
      </c>
      <c r="Q154" s="73">
        <v>0</v>
      </c>
      <c r="R154" s="50">
        <v>0</v>
      </c>
      <c r="S154" s="50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</row>
    <row r="155" spans="1:29">
      <c r="A155" s="43" t="s">
        <v>833</v>
      </c>
      <c r="B155" s="68" t="s">
        <v>535</v>
      </c>
      <c r="M155" s="72">
        <v>0</v>
      </c>
      <c r="N155" s="73">
        <v>0</v>
      </c>
      <c r="O155" s="73">
        <v>0</v>
      </c>
      <c r="P155" s="73">
        <v>0</v>
      </c>
      <c r="Q155" s="73">
        <v>0</v>
      </c>
      <c r="R155" s="50">
        <v>0</v>
      </c>
      <c r="S155" s="50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</row>
    <row r="156" spans="1:29">
      <c r="A156" s="68" t="s">
        <v>769</v>
      </c>
      <c r="B156" s="68" t="s">
        <v>752</v>
      </c>
      <c r="C156" s="72">
        <v>94.23</v>
      </c>
      <c r="D156" s="72">
        <v>94.23</v>
      </c>
      <c r="E156" s="72">
        <v>94.227999999999994</v>
      </c>
      <c r="J156" s="72">
        <v>94.227999999999994</v>
      </c>
      <c r="K156" s="72">
        <v>86.676000000000002</v>
      </c>
      <c r="L156" s="72">
        <v>70.42</v>
      </c>
      <c r="M156" s="72">
        <v>44.518000000000001</v>
      </c>
      <c r="N156" s="73">
        <v>28.457999999999998</v>
      </c>
      <c r="O156" s="73">
        <v>11.596</v>
      </c>
      <c r="P156" s="73">
        <v>1.3779999999999999</v>
      </c>
      <c r="Q156" s="73">
        <v>0</v>
      </c>
      <c r="R156" s="50">
        <v>0</v>
      </c>
      <c r="S156" s="50">
        <v>0</v>
      </c>
      <c r="T156" s="66" t="s">
        <v>685</v>
      </c>
      <c r="U156" s="66" t="s">
        <v>685</v>
      </c>
      <c r="V156" s="66" t="s">
        <v>685</v>
      </c>
      <c r="W156" s="66" t="s">
        <v>685</v>
      </c>
      <c r="X156" s="66" t="s">
        <v>685</v>
      </c>
      <c r="Y156" s="66" t="s">
        <v>685</v>
      </c>
      <c r="Z156" s="66" t="s">
        <v>685</v>
      </c>
      <c r="AA156" s="66">
        <v>0</v>
      </c>
      <c r="AB156" s="66">
        <v>0</v>
      </c>
      <c r="AC156" s="66">
        <v>0</v>
      </c>
    </row>
    <row r="157" spans="1:29">
      <c r="A157" s="68" t="s">
        <v>769</v>
      </c>
      <c r="B157" s="68" t="s">
        <v>663</v>
      </c>
      <c r="C157" s="72">
        <v>0</v>
      </c>
      <c r="D157" s="72">
        <v>0</v>
      </c>
      <c r="E157" s="72">
        <v>0</v>
      </c>
      <c r="J157" s="72">
        <v>0</v>
      </c>
      <c r="K157" s="72">
        <v>0</v>
      </c>
      <c r="L157" s="72">
        <v>0</v>
      </c>
      <c r="M157" s="72">
        <v>0</v>
      </c>
      <c r="N157" s="73">
        <v>0</v>
      </c>
      <c r="O157" s="73">
        <v>0</v>
      </c>
      <c r="P157" s="73">
        <v>0</v>
      </c>
      <c r="Q157" s="73">
        <v>0</v>
      </c>
      <c r="R157" s="50">
        <v>0</v>
      </c>
      <c r="S157" s="50">
        <v>0</v>
      </c>
      <c r="T157" s="66" t="s">
        <v>685</v>
      </c>
      <c r="U157" s="66" t="s">
        <v>685</v>
      </c>
      <c r="V157" s="66" t="s">
        <v>685</v>
      </c>
      <c r="W157" s="66" t="s">
        <v>685</v>
      </c>
      <c r="X157" s="66" t="s">
        <v>685</v>
      </c>
      <c r="Y157" s="66" t="s">
        <v>685</v>
      </c>
      <c r="Z157" s="66" t="s">
        <v>685</v>
      </c>
      <c r="AA157" s="66">
        <v>0</v>
      </c>
      <c r="AB157" s="66">
        <v>0</v>
      </c>
      <c r="AC157" s="66">
        <v>0</v>
      </c>
    </row>
    <row r="158" spans="1:29">
      <c r="A158" s="68" t="s">
        <v>769</v>
      </c>
      <c r="B158" s="43" t="s">
        <v>243</v>
      </c>
      <c r="C158" s="72">
        <v>0</v>
      </c>
      <c r="D158" s="72">
        <v>0</v>
      </c>
      <c r="E158" s="72">
        <v>0</v>
      </c>
      <c r="J158" s="72">
        <v>0</v>
      </c>
      <c r="K158" s="72">
        <v>0</v>
      </c>
      <c r="L158" s="72">
        <v>0</v>
      </c>
      <c r="M158" s="72">
        <v>0</v>
      </c>
      <c r="N158" s="73">
        <v>0</v>
      </c>
      <c r="O158" s="73">
        <v>0</v>
      </c>
      <c r="P158" s="73">
        <v>0</v>
      </c>
      <c r="Q158" s="73">
        <v>0</v>
      </c>
      <c r="R158" s="50">
        <v>0</v>
      </c>
      <c r="S158" s="50">
        <v>0</v>
      </c>
      <c r="T158" s="66" t="s">
        <v>685</v>
      </c>
      <c r="U158" s="66" t="s">
        <v>685</v>
      </c>
      <c r="V158" s="66" t="s">
        <v>685</v>
      </c>
      <c r="W158" s="66" t="s">
        <v>685</v>
      </c>
      <c r="X158" s="66" t="s">
        <v>685</v>
      </c>
      <c r="Y158" s="66" t="s">
        <v>685</v>
      </c>
      <c r="Z158" s="66" t="s">
        <v>685</v>
      </c>
      <c r="AA158" s="66">
        <v>0</v>
      </c>
      <c r="AB158" s="66">
        <v>0</v>
      </c>
      <c r="AC158" s="66">
        <v>0</v>
      </c>
    </row>
    <row r="159" spans="1:29">
      <c r="A159" s="68" t="s">
        <v>769</v>
      </c>
      <c r="B159" s="43" t="s">
        <v>95</v>
      </c>
      <c r="C159" s="73">
        <v>2.2850000000000001</v>
      </c>
      <c r="D159" s="73">
        <v>2.2850000000000001</v>
      </c>
      <c r="E159" s="73">
        <v>2.2850000000000001</v>
      </c>
      <c r="J159" s="73">
        <v>2.2850000000000001</v>
      </c>
      <c r="K159" s="73">
        <v>2.8268</v>
      </c>
      <c r="L159" s="73">
        <v>4.2360999999999995</v>
      </c>
      <c r="M159" s="73">
        <v>6.1886000000000001</v>
      </c>
      <c r="N159" s="73">
        <v>6.00875</v>
      </c>
      <c r="O159" s="73">
        <v>8.01295</v>
      </c>
      <c r="P159" s="73">
        <v>7.8798500000000002</v>
      </c>
      <c r="Q159" s="73">
        <v>17.114350000000002</v>
      </c>
      <c r="R159" s="50">
        <f>233.24*0.055</f>
        <v>12.828200000000001</v>
      </c>
      <c r="S159" s="50">
        <f>249.21*0.055</f>
        <v>13.70655</v>
      </c>
      <c r="T159" s="66">
        <f>183.96*0.055</f>
        <v>10.117800000000001</v>
      </c>
      <c r="U159" s="66">
        <f>172.16*0.055</f>
        <v>9.4687999999999999</v>
      </c>
      <c r="V159" s="66">
        <f>(203.011*0.055)+(1.135*0.02)</f>
        <v>11.188305</v>
      </c>
      <c r="W159" s="66">
        <f>(211.74*0.055)+(2.13*0.02)</f>
        <v>11.6883</v>
      </c>
      <c r="X159" s="66">
        <f>82.13*0.055</f>
        <v>4.51715</v>
      </c>
      <c r="Y159" s="66">
        <f>84.279*0.055</f>
        <v>4.635345</v>
      </c>
      <c r="Z159" s="66">
        <f>(90.53*0.055)</f>
        <v>4.9791499999999997</v>
      </c>
      <c r="AA159" s="66">
        <f>(143.96*0.055)+(8.17*0.02)</f>
        <v>8.0812000000000008</v>
      </c>
      <c r="AB159" s="66">
        <f>120.95*0.055</f>
        <v>6.6522500000000004</v>
      </c>
      <c r="AC159" s="66">
        <f>99.633*0.055</f>
        <v>5.4798149999999994</v>
      </c>
    </row>
    <row r="160" spans="1:29">
      <c r="A160" s="68" t="s">
        <v>769</v>
      </c>
      <c r="B160" s="43" t="s">
        <v>825</v>
      </c>
      <c r="Q160" s="73">
        <v>0</v>
      </c>
      <c r="R160" s="50">
        <v>0</v>
      </c>
      <c r="S160" s="50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f>8.404*0.11</f>
        <v>0.92444000000000004</v>
      </c>
      <c r="Z160" s="66">
        <f>28.64*0.11</f>
        <v>3.1503999999999999</v>
      </c>
      <c r="AA160" s="66">
        <v>0</v>
      </c>
      <c r="AB160" s="66">
        <v>0</v>
      </c>
      <c r="AC160" s="66">
        <v>0</v>
      </c>
    </row>
    <row r="161" spans="1:30">
      <c r="A161" s="68" t="s">
        <v>769</v>
      </c>
      <c r="B161" s="43" t="s">
        <v>574</v>
      </c>
      <c r="C161" s="72">
        <v>0</v>
      </c>
      <c r="D161" s="72">
        <v>0</v>
      </c>
      <c r="E161" s="72">
        <v>0</v>
      </c>
      <c r="J161" s="72">
        <v>0</v>
      </c>
      <c r="K161" s="72">
        <v>0</v>
      </c>
      <c r="L161" s="72">
        <v>0</v>
      </c>
      <c r="M161" s="72">
        <v>0</v>
      </c>
      <c r="N161" s="73">
        <v>0</v>
      </c>
      <c r="O161" s="73">
        <v>0</v>
      </c>
      <c r="P161" s="73">
        <v>0</v>
      </c>
      <c r="Q161" s="73">
        <v>0</v>
      </c>
      <c r="R161" s="50">
        <v>0</v>
      </c>
      <c r="S161" s="50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</row>
    <row r="162" spans="1:30">
      <c r="A162" s="68" t="s">
        <v>769</v>
      </c>
      <c r="B162" s="68" t="s">
        <v>535</v>
      </c>
      <c r="C162" s="72">
        <v>0.47799999999999998</v>
      </c>
      <c r="D162" s="72">
        <v>0.47799999999999998</v>
      </c>
      <c r="E162" s="72">
        <v>0.47799999999999998</v>
      </c>
      <c r="J162" s="72">
        <v>0.47799999999999998</v>
      </c>
      <c r="K162" s="72">
        <v>0.378</v>
      </c>
      <c r="L162" s="72">
        <v>0</v>
      </c>
      <c r="M162" s="72">
        <v>0.13900000000000001</v>
      </c>
      <c r="N162" s="73">
        <v>0.25</v>
      </c>
      <c r="O162" s="73">
        <v>0.27800000000000002</v>
      </c>
      <c r="P162" s="73">
        <v>0</v>
      </c>
      <c r="Q162" s="73">
        <v>0</v>
      </c>
      <c r="R162" s="50">
        <v>0</v>
      </c>
      <c r="S162" s="50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</row>
    <row r="163" spans="1:30">
      <c r="A163" s="43" t="s">
        <v>753</v>
      </c>
      <c r="B163" s="43" t="s">
        <v>752</v>
      </c>
      <c r="C163" s="72">
        <v>230.72</v>
      </c>
      <c r="D163" s="72">
        <v>275.44799999999998</v>
      </c>
      <c r="E163" s="72">
        <v>259.52</v>
      </c>
      <c r="F163" s="72">
        <v>311.8</v>
      </c>
      <c r="G163" s="72">
        <v>361.5</v>
      </c>
      <c r="H163" s="72">
        <v>368.7</v>
      </c>
      <c r="I163" s="72">
        <v>364.1</v>
      </c>
      <c r="J163" s="72">
        <v>226</v>
      </c>
      <c r="K163" s="72">
        <v>220.5</v>
      </c>
      <c r="L163" s="72">
        <v>148.5</v>
      </c>
      <c r="M163" s="72">
        <v>120</v>
      </c>
      <c r="N163" s="73">
        <v>103</v>
      </c>
      <c r="O163" s="73">
        <v>25</v>
      </c>
      <c r="P163" s="73">
        <v>17</v>
      </c>
      <c r="Q163" s="73">
        <v>0</v>
      </c>
      <c r="R163" s="50">
        <v>0</v>
      </c>
      <c r="S163" s="50">
        <v>0</v>
      </c>
      <c r="T163" s="66">
        <v>0</v>
      </c>
      <c r="U163" s="66">
        <v>0</v>
      </c>
      <c r="V163" s="66" t="s">
        <v>685</v>
      </c>
      <c r="W163" s="66" t="s">
        <v>685</v>
      </c>
      <c r="X163" s="66" t="s">
        <v>685</v>
      </c>
      <c r="Y163" s="66" t="s">
        <v>685</v>
      </c>
      <c r="Z163" s="66" t="s">
        <v>685</v>
      </c>
      <c r="AA163" s="66">
        <v>0</v>
      </c>
      <c r="AB163" s="66">
        <v>0</v>
      </c>
      <c r="AC163" s="66">
        <v>0</v>
      </c>
    </row>
    <row r="164" spans="1:30">
      <c r="A164" s="43" t="s">
        <v>753</v>
      </c>
      <c r="B164" s="43" t="s">
        <v>663</v>
      </c>
      <c r="C164" s="72">
        <v>0</v>
      </c>
      <c r="D164" s="72">
        <v>0</v>
      </c>
      <c r="E164" s="72">
        <v>0</v>
      </c>
      <c r="F164" s="72">
        <v>0</v>
      </c>
      <c r="G164" s="72">
        <v>0</v>
      </c>
      <c r="H164" s="72">
        <v>0</v>
      </c>
      <c r="I164" s="72">
        <v>0</v>
      </c>
      <c r="J164" s="72">
        <v>0</v>
      </c>
      <c r="K164" s="72">
        <v>0</v>
      </c>
      <c r="L164" s="72">
        <v>0</v>
      </c>
      <c r="M164" s="72">
        <v>0</v>
      </c>
      <c r="N164" s="73">
        <v>0</v>
      </c>
      <c r="O164" s="73">
        <v>0</v>
      </c>
      <c r="P164" s="73">
        <v>0</v>
      </c>
      <c r="Q164" s="73">
        <v>0</v>
      </c>
      <c r="R164" s="50">
        <v>0</v>
      </c>
      <c r="S164" s="50">
        <v>0</v>
      </c>
      <c r="T164" s="66">
        <v>0</v>
      </c>
      <c r="U164" s="66">
        <v>0</v>
      </c>
      <c r="V164" s="66" t="s">
        <v>685</v>
      </c>
      <c r="W164" s="66" t="s">
        <v>685</v>
      </c>
      <c r="X164" s="66" t="s">
        <v>685</v>
      </c>
      <c r="Y164" s="66" t="s">
        <v>685</v>
      </c>
      <c r="Z164" s="66" t="s">
        <v>685</v>
      </c>
      <c r="AA164" s="66">
        <v>0</v>
      </c>
      <c r="AB164" s="66">
        <v>0</v>
      </c>
      <c r="AC164" s="66">
        <v>0</v>
      </c>
    </row>
    <row r="165" spans="1:30">
      <c r="A165" s="43" t="s">
        <v>753</v>
      </c>
      <c r="B165" s="43" t="s">
        <v>243</v>
      </c>
      <c r="C165" s="72">
        <v>6.5</v>
      </c>
      <c r="D165" s="72">
        <v>0.33</v>
      </c>
      <c r="E165" s="72">
        <v>0.3</v>
      </c>
      <c r="F165" s="72">
        <v>3</v>
      </c>
      <c r="G165" s="72">
        <v>8.1</v>
      </c>
      <c r="H165" s="72">
        <v>63.5</v>
      </c>
      <c r="I165" s="72">
        <v>60.5</v>
      </c>
      <c r="J165" s="72">
        <v>24.3</v>
      </c>
      <c r="K165" s="72">
        <v>1.5</v>
      </c>
      <c r="L165" s="72">
        <v>1.18</v>
      </c>
      <c r="M165" s="72">
        <v>1.1499999999999999</v>
      </c>
      <c r="N165" s="73">
        <v>1.1499999999999999</v>
      </c>
      <c r="O165" s="73">
        <v>0</v>
      </c>
      <c r="P165" s="73">
        <v>1</v>
      </c>
      <c r="Q165" s="73">
        <v>0</v>
      </c>
      <c r="R165" s="50">
        <v>0</v>
      </c>
      <c r="S165" s="50">
        <v>0</v>
      </c>
      <c r="T165" s="66">
        <v>0</v>
      </c>
      <c r="U165" s="66">
        <v>0</v>
      </c>
      <c r="V165" s="66" t="s">
        <v>685</v>
      </c>
      <c r="W165" s="66" t="s">
        <v>685</v>
      </c>
      <c r="X165" s="66" t="s">
        <v>685</v>
      </c>
      <c r="Y165" s="66" t="s">
        <v>685</v>
      </c>
      <c r="Z165" s="66" t="s">
        <v>685</v>
      </c>
      <c r="AA165" s="66">
        <v>0</v>
      </c>
      <c r="AB165" s="66">
        <v>0</v>
      </c>
      <c r="AC165" s="66">
        <v>0</v>
      </c>
    </row>
    <row r="166" spans="1:30">
      <c r="A166" s="43" t="s">
        <v>753</v>
      </c>
      <c r="B166" s="43" t="s">
        <v>95</v>
      </c>
      <c r="C166" s="73">
        <v>5.82395</v>
      </c>
      <c r="D166" s="73">
        <v>2.45905</v>
      </c>
      <c r="E166" s="73">
        <v>1.5279</v>
      </c>
      <c r="F166" s="73">
        <v>1.1880000000000002</v>
      </c>
      <c r="G166" s="73">
        <v>2.3210000000000002</v>
      </c>
      <c r="H166" s="73">
        <v>1.9139999999999999</v>
      </c>
      <c r="I166" s="73">
        <v>1.9139999999999999</v>
      </c>
      <c r="J166" s="73">
        <v>1.2925</v>
      </c>
      <c r="K166" s="73">
        <v>1.2925</v>
      </c>
      <c r="L166" s="73">
        <v>1.2925</v>
      </c>
      <c r="M166" s="73">
        <v>4.4000000000000004</v>
      </c>
      <c r="N166" s="73">
        <v>9.35</v>
      </c>
      <c r="O166" s="73">
        <v>10.175000000000001</v>
      </c>
      <c r="P166" s="73">
        <v>14.8225</v>
      </c>
      <c r="Q166" s="73">
        <f>(1206.6*0.055)+(344.2*0.11)</f>
        <v>104.22499999999999</v>
      </c>
      <c r="R166" s="50">
        <f>(1221.02*0.055)+(56.7*0.11)</f>
        <v>73.39309999999999</v>
      </c>
      <c r="S166" s="50">
        <f>(1228.1*0.055)+(56.7*0.11)</f>
        <v>73.782499999999985</v>
      </c>
      <c r="T166" s="66">
        <f>(1228.1*0.055)+(56.7*0.11)</f>
        <v>73.782499999999985</v>
      </c>
      <c r="U166" s="66">
        <f>(1221*0.055)+(138*0.11)</f>
        <v>82.335000000000008</v>
      </c>
      <c r="V166" s="66">
        <f>(1222.5*0.055)+(9.3*0.11)</f>
        <v>68.260499999999993</v>
      </c>
      <c r="W166" s="66">
        <f>978*0.055</f>
        <v>53.79</v>
      </c>
      <c r="X166" s="66">
        <f>862*0.055</f>
        <v>47.410000000000004</v>
      </c>
      <c r="Y166" s="66">
        <f>692.4*0.055</f>
        <v>38.082000000000001</v>
      </c>
      <c r="Z166" s="66">
        <f>692*0.055</f>
        <v>38.06</v>
      </c>
      <c r="AA166" s="66">
        <f>643.6*0.055</f>
        <v>35.398000000000003</v>
      </c>
      <c r="AB166" s="66">
        <f>591.5*0.055</f>
        <v>32.532499999999999</v>
      </c>
      <c r="AC166" s="66">
        <f>536.4*0.055</f>
        <v>29.501999999999999</v>
      </c>
    </row>
    <row r="167" spans="1:30">
      <c r="A167" s="43" t="s">
        <v>753</v>
      </c>
      <c r="B167" s="43" t="s">
        <v>825</v>
      </c>
      <c r="Q167" s="73">
        <v>0</v>
      </c>
      <c r="R167" s="50">
        <f>88.3*0.11</f>
        <v>9.7129999999999992</v>
      </c>
      <c r="S167" s="50">
        <f>88.3*0.11</f>
        <v>9.7129999999999992</v>
      </c>
      <c r="T167" s="50">
        <f>88.3*0.11</f>
        <v>9.7129999999999992</v>
      </c>
      <c r="U167" s="66">
        <v>0</v>
      </c>
      <c r="V167" s="50">
        <f>11.7*0.11</f>
        <v>1.2869999999999999</v>
      </c>
      <c r="W167" s="50">
        <v>0</v>
      </c>
      <c r="X167" s="50">
        <v>0</v>
      </c>
      <c r="Y167" s="50">
        <v>0</v>
      </c>
      <c r="Z167" s="50">
        <v>0</v>
      </c>
      <c r="AA167" s="50">
        <v>0</v>
      </c>
      <c r="AB167" s="50">
        <v>0</v>
      </c>
      <c r="AC167" s="50">
        <v>0</v>
      </c>
      <c r="AD167" s="50"/>
    </row>
    <row r="168" spans="1:30">
      <c r="A168" s="43" t="s">
        <v>753</v>
      </c>
      <c r="B168" s="43" t="s">
        <v>574</v>
      </c>
      <c r="C168" s="72">
        <v>15.15</v>
      </c>
      <c r="D168" s="72">
        <v>33.19</v>
      </c>
      <c r="E168" s="72">
        <v>12</v>
      </c>
      <c r="F168" s="72">
        <v>7.2</v>
      </c>
      <c r="G168" s="72">
        <v>25.5</v>
      </c>
      <c r="H168" s="72">
        <v>15.3</v>
      </c>
      <c r="I168" s="72">
        <v>15.24</v>
      </c>
      <c r="J168" s="72">
        <v>25.38</v>
      </c>
      <c r="K168" s="72">
        <v>9.9</v>
      </c>
      <c r="L168" s="72">
        <v>9</v>
      </c>
      <c r="M168" s="72">
        <v>9.7200000000000006</v>
      </c>
      <c r="N168" s="73">
        <v>14.478</v>
      </c>
      <c r="O168" s="73">
        <v>5.0999999999999996</v>
      </c>
      <c r="P168" s="73">
        <v>3</v>
      </c>
      <c r="Q168" s="73">
        <v>0</v>
      </c>
      <c r="R168" s="50">
        <v>0</v>
      </c>
      <c r="S168" s="50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</row>
    <row r="169" spans="1:30">
      <c r="A169" s="43" t="s">
        <v>753</v>
      </c>
      <c r="B169" s="43" t="s">
        <v>535</v>
      </c>
      <c r="C169" s="72">
        <v>24.43</v>
      </c>
      <c r="D169" s="72">
        <v>17.100000000000001</v>
      </c>
      <c r="E169" s="72">
        <v>12</v>
      </c>
      <c r="F169" s="72">
        <v>0</v>
      </c>
      <c r="G169" s="72">
        <v>6.25</v>
      </c>
      <c r="H169" s="72">
        <v>0</v>
      </c>
      <c r="I169" s="72">
        <v>0</v>
      </c>
      <c r="J169" s="72">
        <v>0</v>
      </c>
      <c r="K169" s="72">
        <v>0</v>
      </c>
      <c r="L169" s="72">
        <v>0</v>
      </c>
      <c r="M169" s="72">
        <v>5.7</v>
      </c>
      <c r="N169" s="73">
        <v>0.56999999999999995</v>
      </c>
      <c r="O169" s="73">
        <v>0</v>
      </c>
      <c r="P169" s="73">
        <v>0.01</v>
      </c>
      <c r="Q169" s="73">
        <v>0</v>
      </c>
      <c r="R169" s="50">
        <v>0</v>
      </c>
      <c r="S169" s="50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</row>
    <row r="170" spans="1:30">
      <c r="A170" s="43" t="s">
        <v>749</v>
      </c>
      <c r="B170" s="43" t="s">
        <v>752</v>
      </c>
      <c r="C170" s="72">
        <v>26.52</v>
      </c>
      <c r="D170" s="72">
        <v>2.19</v>
      </c>
      <c r="E170" s="72">
        <v>0</v>
      </c>
      <c r="F170" s="72">
        <v>7.024</v>
      </c>
      <c r="G170" s="72">
        <v>10.31</v>
      </c>
      <c r="H170" s="72">
        <v>4.28</v>
      </c>
      <c r="I170" s="72">
        <v>3.964</v>
      </c>
      <c r="J170" s="72">
        <v>4.4320000000000004</v>
      </c>
      <c r="K170" s="72">
        <v>4.1059999999999999</v>
      </c>
      <c r="N170" s="73">
        <v>1.95</v>
      </c>
      <c r="O170" s="73">
        <v>1.3</v>
      </c>
      <c r="P170" s="73">
        <v>0</v>
      </c>
      <c r="Q170" s="73">
        <v>0</v>
      </c>
      <c r="R170" s="50">
        <v>0</v>
      </c>
      <c r="S170" s="50">
        <v>0</v>
      </c>
      <c r="T170" s="66">
        <v>0</v>
      </c>
      <c r="U170" s="66">
        <v>0</v>
      </c>
      <c r="V170" s="66" t="s">
        <v>685</v>
      </c>
      <c r="W170" s="66" t="s">
        <v>685</v>
      </c>
      <c r="X170" s="66" t="s">
        <v>685</v>
      </c>
      <c r="Y170" s="66" t="s">
        <v>685</v>
      </c>
      <c r="Z170" s="66" t="s">
        <v>685</v>
      </c>
      <c r="AA170" s="66" t="s">
        <v>685</v>
      </c>
      <c r="AB170" s="66" t="s">
        <v>685</v>
      </c>
      <c r="AC170" s="66" t="s">
        <v>685</v>
      </c>
    </row>
    <row r="171" spans="1:30">
      <c r="A171" s="43" t="s">
        <v>749</v>
      </c>
      <c r="B171" s="43" t="s">
        <v>663</v>
      </c>
      <c r="C171" s="72">
        <v>0</v>
      </c>
      <c r="D171" s="72">
        <v>0</v>
      </c>
      <c r="E171" s="72">
        <v>0</v>
      </c>
      <c r="F171" s="72">
        <v>0</v>
      </c>
      <c r="G171" s="72">
        <v>0</v>
      </c>
      <c r="H171" s="72">
        <v>0</v>
      </c>
      <c r="I171" s="72">
        <v>0</v>
      </c>
      <c r="J171" s="72">
        <v>0</v>
      </c>
      <c r="K171" s="72">
        <v>0</v>
      </c>
      <c r="N171" s="73">
        <v>0</v>
      </c>
      <c r="O171" s="73">
        <v>0</v>
      </c>
      <c r="P171" s="73">
        <v>0</v>
      </c>
      <c r="Q171" s="73">
        <v>0</v>
      </c>
      <c r="R171" s="50">
        <v>0</v>
      </c>
      <c r="S171" s="50">
        <v>0</v>
      </c>
      <c r="T171" s="66">
        <v>0</v>
      </c>
      <c r="U171" s="66">
        <v>0</v>
      </c>
      <c r="V171" s="66" t="s">
        <v>685</v>
      </c>
      <c r="W171" s="66" t="s">
        <v>685</v>
      </c>
      <c r="X171" s="66" t="s">
        <v>685</v>
      </c>
      <c r="Y171" s="66" t="s">
        <v>685</v>
      </c>
      <c r="Z171" s="66" t="s">
        <v>685</v>
      </c>
      <c r="AA171" s="66" t="s">
        <v>685</v>
      </c>
      <c r="AB171" s="66" t="s">
        <v>685</v>
      </c>
      <c r="AC171" s="66" t="s">
        <v>685</v>
      </c>
    </row>
    <row r="172" spans="1:30">
      <c r="A172" s="43" t="s">
        <v>749</v>
      </c>
      <c r="B172" s="43" t="s">
        <v>243</v>
      </c>
      <c r="C172" s="72">
        <v>0</v>
      </c>
      <c r="D172" s="72">
        <v>0</v>
      </c>
      <c r="E172" s="72">
        <v>0</v>
      </c>
      <c r="F172" s="72">
        <v>0</v>
      </c>
      <c r="G172" s="72">
        <v>0</v>
      </c>
      <c r="H172" s="72">
        <v>0</v>
      </c>
      <c r="I172" s="72">
        <v>0</v>
      </c>
      <c r="J172" s="72">
        <v>0</v>
      </c>
      <c r="K172" s="72">
        <v>0</v>
      </c>
      <c r="N172" s="73">
        <v>0</v>
      </c>
      <c r="O172" s="73">
        <v>0</v>
      </c>
      <c r="P172" s="73">
        <v>0</v>
      </c>
      <c r="Q172" s="73">
        <v>0</v>
      </c>
      <c r="R172" s="50">
        <v>0</v>
      </c>
      <c r="S172" s="50">
        <v>0</v>
      </c>
      <c r="T172" s="66">
        <v>0</v>
      </c>
      <c r="U172" s="66">
        <v>0</v>
      </c>
      <c r="V172" s="66" t="s">
        <v>685</v>
      </c>
      <c r="W172" s="66" t="s">
        <v>685</v>
      </c>
      <c r="X172" s="66" t="s">
        <v>685</v>
      </c>
      <c r="Y172" s="66" t="s">
        <v>685</v>
      </c>
      <c r="Z172" s="66" t="s">
        <v>685</v>
      </c>
      <c r="AA172" s="66" t="s">
        <v>685</v>
      </c>
      <c r="AB172" s="66" t="s">
        <v>685</v>
      </c>
      <c r="AC172" s="66" t="s">
        <v>685</v>
      </c>
    </row>
    <row r="173" spans="1:30">
      <c r="A173" s="43" t="s">
        <v>749</v>
      </c>
      <c r="B173" s="43" t="s">
        <v>95</v>
      </c>
      <c r="C173" s="73">
        <v>0.89814999999999989</v>
      </c>
      <c r="D173" s="73">
        <v>0.11220000000000001</v>
      </c>
      <c r="E173" s="73">
        <v>4.5099999999999994E-2</v>
      </c>
      <c r="F173" s="73">
        <v>0.26069999999999999</v>
      </c>
      <c r="G173" s="73">
        <v>0.3619</v>
      </c>
      <c r="H173" s="73">
        <v>0.1628</v>
      </c>
      <c r="I173" s="73">
        <v>0.15839999999999999</v>
      </c>
      <c r="J173" s="73">
        <v>0.20074999999999998</v>
      </c>
      <c r="K173" s="73">
        <v>0.18809999999999999</v>
      </c>
      <c r="N173" s="73">
        <v>0.253</v>
      </c>
      <c r="O173" s="73">
        <v>0.28049999999999997</v>
      </c>
      <c r="P173" s="73">
        <v>6.6550000000000002</v>
      </c>
      <c r="Q173" s="73">
        <f>216*0.055</f>
        <v>11.88</v>
      </c>
      <c r="R173" s="50">
        <f>219.88*0.055</f>
        <v>12.093399999999999</v>
      </c>
      <c r="S173" s="50">
        <f>218.62*0.055</f>
        <v>12.024100000000001</v>
      </c>
      <c r="T173" s="66">
        <f>215*0.055</f>
        <v>11.824999999999999</v>
      </c>
      <c r="U173" s="66">
        <f>209*0.055</f>
        <v>11.494999999999999</v>
      </c>
      <c r="V173" s="66">
        <f>202*0.055</f>
        <v>11.11</v>
      </c>
      <c r="W173" s="66">
        <f>190*0.055</f>
        <v>10.45</v>
      </c>
      <c r="X173" s="66">
        <f>180*0.055</f>
        <v>9.9</v>
      </c>
      <c r="Y173" s="66">
        <f>180*0.055</f>
        <v>9.9</v>
      </c>
      <c r="Z173" s="66">
        <f>170*0.055</f>
        <v>9.35</v>
      </c>
      <c r="AA173" s="66">
        <f>180*0.055</f>
        <v>9.9</v>
      </c>
      <c r="AB173" s="66">
        <f>160*0.055</f>
        <v>8.8000000000000007</v>
      </c>
      <c r="AC173" s="66">
        <f>110*0.055</f>
        <v>6.05</v>
      </c>
    </row>
    <row r="174" spans="1:30">
      <c r="A174" s="43" t="s">
        <v>749</v>
      </c>
      <c r="B174" s="43" t="s">
        <v>825</v>
      </c>
      <c r="Q174" s="73">
        <v>0</v>
      </c>
      <c r="R174" s="50">
        <v>0</v>
      </c>
      <c r="S174" s="50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</row>
    <row r="175" spans="1:30">
      <c r="A175" s="43" t="s">
        <v>749</v>
      </c>
      <c r="B175" s="43" t="s">
        <v>574</v>
      </c>
      <c r="C175" s="72">
        <v>0</v>
      </c>
      <c r="D175" s="72">
        <v>0</v>
      </c>
      <c r="E175" s="72">
        <v>0</v>
      </c>
      <c r="F175" s="72">
        <v>0</v>
      </c>
      <c r="G175" s="72">
        <v>0</v>
      </c>
      <c r="H175" s="72">
        <v>0</v>
      </c>
      <c r="I175" s="72">
        <v>0</v>
      </c>
      <c r="J175" s="72">
        <v>0</v>
      </c>
      <c r="K175" s="72">
        <v>0</v>
      </c>
      <c r="N175" s="73">
        <v>0</v>
      </c>
      <c r="O175" s="73">
        <v>0</v>
      </c>
      <c r="P175" s="73">
        <v>0</v>
      </c>
      <c r="Q175" s="73">
        <v>0</v>
      </c>
      <c r="R175" s="50">
        <v>0</v>
      </c>
      <c r="S175" s="50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</row>
    <row r="176" spans="1:30">
      <c r="A176" s="43" t="s">
        <v>749</v>
      </c>
      <c r="B176" s="43" t="s">
        <v>535</v>
      </c>
      <c r="C176" s="72">
        <v>0</v>
      </c>
      <c r="D176" s="72">
        <v>0</v>
      </c>
      <c r="E176" s="72">
        <v>0</v>
      </c>
      <c r="F176" s="72">
        <v>0</v>
      </c>
      <c r="G176" s="72">
        <v>0</v>
      </c>
      <c r="H176" s="72">
        <v>0</v>
      </c>
      <c r="I176" s="72">
        <v>0</v>
      </c>
      <c r="J176" s="72">
        <v>0</v>
      </c>
      <c r="K176" s="72">
        <v>0</v>
      </c>
      <c r="N176" s="73">
        <v>0</v>
      </c>
      <c r="O176" s="73">
        <v>0</v>
      </c>
      <c r="P176" s="73">
        <v>0</v>
      </c>
      <c r="Q176" s="73">
        <v>0</v>
      </c>
      <c r="R176" s="50">
        <v>0</v>
      </c>
      <c r="S176" s="50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</row>
    <row r="177" spans="1:30">
      <c r="A177" s="43" t="s">
        <v>750</v>
      </c>
      <c r="B177" s="43" t="s">
        <v>752</v>
      </c>
      <c r="G177" s="72">
        <v>37.479999999999997</v>
      </c>
      <c r="H177" s="72">
        <v>36.5</v>
      </c>
      <c r="K177" s="72">
        <v>22.78</v>
      </c>
      <c r="L177" s="72">
        <v>14.24</v>
      </c>
      <c r="M177" s="72">
        <v>10.72</v>
      </c>
      <c r="N177" s="73">
        <v>9.2200000000000006</v>
      </c>
      <c r="O177" s="73">
        <v>5.0599999999999996</v>
      </c>
      <c r="Q177" s="73">
        <v>0.89600000000000002</v>
      </c>
      <c r="R177" s="50">
        <v>0</v>
      </c>
      <c r="S177" s="50">
        <v>0</v>
      </c>
      <c r="T177" s="66">
        <v>0</v>
      </c>
      <c r="U177" s="66">
        <v>0</v>
      </c>
      <c r="V177" s="66" t="s">
        <v>685</v>
      </c>
      <c r="W177" s="66" t="s">
        <v>685</v>
      </c>
      <c r="X177" s="66" t="s">
        <v>685</v>
      </c>
      <c r="Y177" s="66" t="s">
        <v>685</v>
      </c>
      <c r="Z177" s="66" t="s">
        <v>685</v>
      </c>
      <c r="AA177" s="66">
        <v>0</v>
      </c>
      <c r="AB177" s="66">
        <v>0</v>
      </c>
      <c r="AC177" s="66">
        <v>0</v>
      </c>
      <c r="AD177" s="66">
        <v>0</v>
      </c>
    </row>
    <row r="178" spans="1:30">
      <c r="A178" s="43" t="s">
        <v>750</v>
      </c>
      <c r="B178" s="43" t="s">
        <v>663</v>
      </c>
      <c r="G178" s="72">
        <v>0</v>
      </c>
      <c r="H178" s="72">
        <v>0</v>
      </c>
      <c r="K178" s="72">
        <v>0</v>
      </c>
      <c r="L178" s="72">
        <v>0</v>
      </c>
      <c r="M178" s="72">
        <v>0</v>
      </c>
      <c r="N178" s="73">
        <v>0</v>
      </c>
      <c r="O178" s="73">
        <v>0</v>
      </c>
      <c r="Q178" s="73">
        <v>0</v>
      </c>
      <c r="R178" s="50">
        <v>0</v>
      </c>
      <c r="S178" s="50">
        <v>0</v>
      </c>
      <c r="T178" s="66">
        <v>0</v>
      </c>
      <c r="U178" s="66">
        <v>0</v>
      </c>
      <c r="V178" s="66" t="s">
        <v>685</v>
      </c>
      <c r="W178" s="66" t="s">
        <v>685</v>
      </c>
      <c r="X178" s="66" t="s">
        <v>685</v>
      </c>
      <c r="Y178" s="66" t="s">
        <v>685</v>
      </c>
      <c r="Z178" s="66" t="s">
        <v>685</v>
      </c>
      <c r="AA178" s="66">
        <v>0</v>
      </c>
      <c r="AB178" s="66">
        <v>0</v>
      </c>
      <c r="AC178" s="66">
        <v>0</v>
      </c>
      <c r="AD178" s="66">
        <v>0</v>
      </c>
    </row>
    <row r="179" spans="1:30">
      <c r="A179" s="43" t="s">
        <v>750</v>
      </c>
      <c r="B179" s="43" t="s">
        <v>243</v>
      </c>
      <c r="G179" s="72">
        <v>0</v>
      </c>
      <c r="H179" s="72">
        <v>0</v>
      </c>
      <c r="K179" s="72">
        <v>0</v>
      </c>
      <c r="L179" s="72">
        <v>0</v>
      </c>
      <c r="M179" s="72">
        <v>0</v>
      </c>
      <c r="N179" s="73">
        <v>0</v>
      </c>
      <c r="O179" s="73">
        <v>0</v>
      </c>
      <c r="Q179" s="73">
        <v>0</v>
      </c>
      <c r="R179" s="50">
        <v>0</v>
      </c>
      <c r="S179" s="50">
        <v>0</v>
      </c>
      <c r="T179" s="66">
        <v>0</v>
      </c>
      <c r="U179" s="66">
        <v>0</v>
      </c>
      <c r="V179" s="66" t="s">
        <v>685</v>
      </c>
      <c r="W179" s="66" t="s">
        <v>685</v>
      </c>
      <c r="X179" s="66" t="s">
        <v>685</v>
      </c>
      <c r="Y179" s="66" t="s">
        <v>685</v>
      </c>
      <c r="Z179" s="66" t="s">
        <v>685</v>
      </c>
      <c r="AA179" s="66">
        <v>0</v>
      </c>
      <c r="AB179" s="66">
        <v>0</v>
      </c>
      <c r="AC179" s="66">
        <v>0</v>
      </c>
      <c r="AD179" s="66">
        <v>0</v>
      </c>
    </row>
    <row r="180" spans="1:30">
      <c r="A180" s="43" t="s">
        <v>750</v>
      </c>
      <c r="B180" s="43" t="s">
        <v>95</v>
      </c>
      <c r="G180" s="73">
        <v>7.1500000000000008E-2</v>
      </c>
      <c r="H180" s="73">
        <v>9.35E-2</v>
      </c>
      <c r="K180" s="73">
        <v>0.14960000000000001</v>
      </c>
      <c r="L180" s="73">
        <v>0.23980000000000001</v>
      </c>
      <c r="M180" s="73">
        <v>0.2717</v>
      </c>
      <c r="N180" s="75">
        <v>2.2000000000000002E-2</v>
      </c>
      <c r="O180" s="73">
        <v>5.5E-2</v>
      </c>
      <c r="Q180" s="73">
        <f>513.9*0.055</f>
        <v>28.264499999999998</v>
      </c>
      <c r="R180" s="50">
        <f>112.4*0.055</f>
        <v>6.1820000000000004</v>
      </c>
      <c r="S180" s="50">
        <f>309.12*0.055</f>
        <v>17.0016</v>
      </c>
      <c r="T180" s="66">
        <f>300*0.055</f>
        <v>16.5</v>
      </c>
      <c r="U180" s="66">
        <f>276.4*0.055</f>
        <v>15.201999999999998</v>
      </c>
      <c r="V180" s="66">
        <f>265.8*0.055</f>
        <v>14.619000000000002</v>
      </c>
      <c r="W180" s="66">
        <f>258.2*0.055</f>
        <v>14.200999999999999</v>
      </c>
      <c r="X180" s="66">
        <f>255*0.055</f>
        <v>14.025</v>
      </c>
      <c r="Y180" s="66">
        <f>216*0.055</f>
        <v>11.88</v>
      </c>
      <c r="Z180" s="66">
        <f>188.7*0.055</f>
        <v>10.378499999999999</v>
      </c>
      <c r="AA180" s="66">
        <f>185.4*0.055</f>
        <v>10.197000000000001</v>
      </c>
      <c r="AB180" s="66">
        <f>184.2*0.055</f>
        <v>10.131</v>
      </c>
      <c r="AC180" s="66">
        <f>183.6*0.055</f>
        <v>10.097999999999999</v>
      </c>
      <c r="AD180" s="66">
        <f>180.1*0.055</f>
        <v>9.9055</v>
      </c>
    </row>
    <row r="181" spans="1:30">
      <c r="A181" s="43" t="s">
        <v>750</v>
      </c>
      <c r="B181" s="43" t="s">
        <v>825</v>
      </c>
      <c r="Q181" s="73">
        <v>0</v>
      </c>
      <c r="R181" s="50">
        <v>0</v>
      </c>
      <c r="S181" s="50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</row>
    <row r="182" spans="1:30">
      <c r="A182" s="43" t="s">
        <v>750</v>
      </c>
      <c r="B182" s="43" t="s">
        <v>574</v>
      </c>
      <c r="G182" s="72">
        <v>0</v>
      </c>
      <c r="H182" s="72">
        <v>0</v>
      </c>
      <c r="K182" s="72">
        <v>0</v>
      </c>
      <c r="L182" s="72">
        <v>0</v>
      </c>
      <c r="M182" s="72">
        <v>0</v>
      </c>
      <c r="N182" s="73">
        <v>0</v>
      </c>
      <c r="O182" s="73">
        <v>0</v>
      </c>
      <c r="Q182" s="73">
        <v>0</v>
      </c>
      <c r="R182" s="50">
        <v>0</v>
      </c>
      <c r="S182" s="50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</row>
    <row r="183" spans="1:30">
      <c r="A183" s="43" t="s">
        <v>750</v>
      </c>
      <c r="B183" s="43" t="s">
        <v>535</v>
      </c>
      <c r="G183" s="72">
        <v>0</v>
      </c>
      <c r="H183" s="72">
        <v>0</v>
      </c>
      <c r="K183" s="72">
        <v>0</v>
      </c>
      <c r="L183" s="72">
        <v>0</v>
      </c>
      <c r="M183" s="72">
        <v>0</v>
      </c>
      <c r="N183" s="73">
        <v>0</v>
      </c>
      <c r="O183" s="73">
        <v>0</v>
      </c>
      <c r="Q183" s="73">
        <v>0</v>
      </c>
      <c r="R183" s="50">
        <v>0</v>
      </c>
      <c r="S183" s="50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</row>
    <row r="184" spans="1:30">
      <c r="A184" s="43" t="s">
        <v>751</v>
      </c>
      <c r="B184" s="43" t="s">
        <v>752</v>
      </c>
      <c r="C184" s="72">
        <v>933.47799999999995</v>
      </c>
      <c r="D184" s="72">
        <v>878.226</v>
      </c>
      <c r="E184" s="72">
        <v>674.47</v>
      </c>
      <c r="F184" s="72">
        <v>737.9</v>
      </c>
      <c r="G184" s="72">
        <v>657.52</v>
      </c>
      <c r="H184" s="72">
        <v>575.96</v>
      </c>
      <c r="I184" s="72">
        <v>470.23</v>
      </c>
      <c r="J184" s="72">
        <v>369.68</v>
      </c>
      <c r="K184" s="72">
        <v>424.46</v>
      </c>
      <c r="L184" s="72">
        <v>230.78</v>
      </c>
      <c r="M184" s="72">
        <v>221.524</v>
      </c>
      <c r="N184" s="73">
        <v>181.84399999999999</v>
      </c>
      <c r="O184" s="73">
        <v>19.231999999999999</v>
      </c>
      <c r="P184" s="73">
        <v>47.87406</v>
      </c>
      <c r="Q184" s="73">
        <f>21.76-0.01</f>
        <v>21.75</v>
      </c>
      <c r="R184" s="50">
        <v>0</v>
      </c>
      <c r="S184" s="50">
        <v>0</v>
      </c>
      <c r="T184" s="66">
        <v>0</v>
      </c>
      <c r="U184" s="66" t="s">
        <v>685</v>
      </c>
      <c r="V184" s="66" t="s">
        <v>685</v>
      </c>
      <c r="W184" s="66" t="s">
        <v>685</v>
      </c>
      <c r="X184" s="66" t="s">
        <v>685</v>
      </c>
      <c r="Y184" s="66" t="s">
        <v>685</v>
      </c>
      <c r="Z184" s="66" t="s">
        <v>685</v>
      </c>
      <c r="AA184" s="66">
        <v>0</v>
      </c>
      <c r="AB184" s="66">
        <v>0</v>
      </c>
      <c r="AC184" s="66">
        <v>0</v>
      </c>
    </row>
    <row r="185" spans="1:30">
      <c r="A185" s="43" t="s">
        <v>751</v>
      </c>
      <c r="B185" s="43" t="s">
        <v>663</v>
      </c>
      <c r="C185" s="72">
        <v>5.665</v>
      </c>
      <c r="D185" s="72">
        <v>2.42</v>
      </c>
      <c r="E185" s="72">
        <v>1.4850000000000001</v>
      </c>
      <c r="F185" s="72">
        <v>0.72599999999999998</v>
      </c>
      <c r="G185" s="72">
        <v>0.95</v>
      </c>
      <c r="H185" s="72">
        <v>0.21</v>
      </c>
      <c r="I185" s="72">
        <v>1.254</v>
      </c>
      <c r="J185" s="72">
        <v>0.39600000000000002</v>
      </c>
      <c r="K185" s="72">
        <v>0.83599999999999997</v>
      </c>
      <c r="L185" s="72">
        <v>5.0490000000000004</v>
      </c>
      <c r="M185" s="72">
        <v>0</v>
      </c>
      <c r="N185" s="73">
        <v>-9.9000000000000032E-2</v>
      </c>
      <c r="O185" s="73">
        <v>0.69299999999999995</v>
      </c>
      <c r="P185" s="73">
        <v>0</v>
      </c>
      <c r="Q185" s="73">
        <v>0</v>
      </c>
      <c r="R185" s="50">
        <v>0</v>
      </c>
      <c r="S185" s="50">
        <v>0</v>
      </c>
      <c r="T185" s="66">
        <v>0</v>
      </c>
      <c r="U185" s="66" t="s">
        <v>685</v>
      </c>
      <c r="V185" s="66" t="s">
        <v>685</v>
      </c>
      <c r="W185" s="66" t="s">
        <v>685</v>
      </c>
      <c r="X185" s="66" t="s">
        <v>685</v>
      </c>
      <c r="Y185" s="66" t="s">
        <v>685</v>
      </c>
      <c r="Z185" s="66" t="s">
        <v>685</v>
      </c>
      <c r="AA185" s="66">
        <v>0</v>
      </c>
      <c r="AB185" s="66">
        <v>0</v>
      </c>
      <c r="AC185" s="66">
        <v>0</v>
      </c>
    </row>
    <row r="186" spans="1:30">
      <c r="A186" s="43" t="s">
        <v>751</v>
      </c>
      <c r="B186" s="43" t="s">
        <v>243</v>
      </c>
      <c r="C186" s="72">
        <v>9.75</v>
      </c>
      <c r="D186" s="72">
        <v>15.75</v>
      </c>
      <c r="E186" s="72">
        <v>0</v>
      </c>
      <c r="F186" s="72">
        <v>0</v>
      </c>
      <c r="G186" s="72">
        <v>0</v>
      </c>
      <c r="H186" s="72">
        <v>0</v>
      </c>
      <c r="I186" s="72">
        <v>0.9</v>
      </c>
      <c r="J186" s="72">
        <v>0</v>
      </c>
      <c r="K186" s="72">
        <v>0</v>
      </c>
      <c r="L186" s="72">
        <v>0</v>
      </c>
      <c r="M186" s="72">
        <v>1.17</v>
      </c>
      <c r="N186" s="73">
        <v>0</v>
      </c>
      <c r="O186" s="73">
        <v>0</v>
      </c>
      <c r="P186" s="73">
        <v>0</v>
      </c>
      <c r="Q186" s="73">
        <v>0</v>
      </c>
      <c r="R186" s="50">
        <v>0</v>
      </c>
      <c r="S186" s="50">
        <v>0</v>
      </c>
      <c r="T186" s="66">
        <v>0</v>
      </c>
      <c r="U186" s="66" t="s">
        <v>685</v>
      </c>
      <c r="V186" s="66" t="s">
        <v>685</v>
      </c>
      <c r="W186" s="66" t="s">
        <v>685</v>
      </c>
      <c r="X186" s="66" t="s">
        <v>685</v>
      </c>
      <c r="Y186" s="66" t="s">
        <v>685</v>
      </c>
      <c r="Z186" s="66" t="s">
        <v>685</v>
      </c>
      <c r="AA186" s="66">
        <v>0</v>
      </c>
      <c r="AB186" s="66">
        <v>0</v>
      </c>
      <c r="AC186" s="66">
        <v>0</v>
      </c>
    </row>
    <row r="187" spans="1:30">
      <c r="A187" s="43" t="s">
        <v>751</v>
      </c>
      <c r="B187" s="43" t="s">
        <v>95</v>
      </c>
      <c r="C187" s="73">
        <v>26.825150000000001</v>
      </c>
      <c r="D187" s="73">
        <v>21.86965</v>
      </c>
      <c r="E187" s="73">
        <v>39.516950000000001</v>
      </c>
      <c r="F187" s="73">
        <v>45.632400000000004</v>
      </c>
      <c r="G187" s="73">
        <v>41.616849999999999</v>
      </c>
      <c r="H187" s="73">
        <v>58.721849999999996</v>
      </c>
      <c r="I187" s="73">
        <v>52.473100000000002</v>
      </c>
      <c r="J187" s="73">
        <v>52.6327</v>
      </c>
      <c r="K187" s="73">
        <v>36.989400000000003</v>
      </c>
      <c r="L187" s="73">
        <v>70.0655</v>
      </c>
      <c r="M187" s="73">
        <v>73.701340000000002</v>
      </c>
      <c r="N187" s="73">
        <v>79.569180000000003</v>
      </c>
      <c r="O187" s="73">
        <v>78.774290000000008</v>
      </c>
      <c r="P187" s="73">
        <v>91.699284000000006</v>
      </c>
      <c r="Q187" s="73">
        <f>((925.76-5.11)*0.055)+(219.68*0.11)+((8.88-2.87)*0.065)+(0.37*0.02)+((0.53-0.14)*0.022)</f>
        <v>75.207179999999994</v>
      </c>
      <c r="R187" s="50">
        <f>((797.79-0.07)*0.055)+((496.6-2)*0.11)+(13.32*0.065)+(2.45*0.02)+(0.65*0.022)+(8.4*0.07)</f>
        <v>99.797699999999992</v>
      </c>
      <c r="S187" s="50">
        <f>((1048.68-3.4)*0.055)+((459.84-0.14)*0.11)+(8.85*0.065)+(2.53*0.02)+(0.41*0.022)+(4.5*0.07)</f>
        <v>109.00727000000001</v>
      </c>
      <c r="T187" s="66">
        <f>((864.99-0.14)*0.055)+(514.73*0.11)+(15.72*0.065)+(6.05*0.02)+(0.31*0.022)+(6.3*0.07)</f>
        <v>105.77767</v>
      </c>
      <c r="U187" s="66">
        <f>(606.96*0.055)+(383.66*0.11)+(2.86*0.065)+(1.54*0.02)+(0.07*0.022)+(2.7*0.07)</f>
        <v>75.992640000000009</v>
      </c>
      <c r="V187" s="66">
        <f>(758.56*0.055)+(292.34*0.11)+(3.98*0.065)+(2*0.02)+(0.68*0.022)+(0.6*0.07)</f>
        <v>74.233860000000007</v>
      </c>
      <c r="W187" s="66">
        <f>((666.52-5.46)*0.055)+(282.36*0.11)+(2.23*0.065)+(2.26*0.02)+(1.09*0.022)</f>
        <v>67.632029999999986</v>
      </c>
      <c r="X187" s="66">
        <f>(915.63*0.055)+(116.98*0.11)+(0.28*0.065)+(3.77*0.02)+(0.27*0.022)</f>
        <v>63.326990000000009</v>
      </c>
      <c r="Y187" s="66">
        <f>(710.09*0.055)+(244.74*0.11)+(3.24*0.065)+(0.91*0.02)</f>
        <v>66.205150000000003</v>
      </c>
      <c r="Z187" s="66">
        <f>(570.73*0.055)+(59.32*0.11)+(0.93*0.065)+(10.34*0.02)</f>
        <v>38.182600000000008</v>
      </c>
      <c r="AA187" s="66">
        <f>(436.56354*0.055)+((73.8768-1)*0.11)+(1.70724*0.065)+(2.7064*0.02)+(0.565*0.022)</f>
        <v>32.204971300000004</v>
      </c>
      <c r="AB187" s="66">
        <f>(490.716*0.055)+(0.33456*0.065)-(0.5448*0.02)</f>
        <v>27.000230400000003</v>
      </c>
      <c r="AC187" s="66">
        <f>(268.586*0.055)+(0.952*0.022)+((0.6-0.758)*0.02)</f>
        <v>14.790014000000001</v>
      </c>
    </row>
    <row r="188" spans="1:30">
      <c r="A188" s="43" t="s">
        <v>751</v>
      </c>
      <c r="B188" s="43" t="s">
        <v>825</v>
      </c>
      <c r="Q188" s="73">
        <v>0</v>
      </c>
      <c r="R188" s="50">
        <f>((63.82-89.8)*0.11)</f>
        <v>-2.8577999999999997</v>
      </c>
      <c r="S188" s="50">
        <f>((78.1-101.4)*0.11)</f>
        <v>-2.5630000000000011</v>
      </c>
      <c r="T188" s="66">
        <f>((98.92-159.31)*0.11)</f>
        <v>-6.6429</v>
      </c>
      <c r="U188" s="66">
        <f>((301.85-77.25)*0.11)</f>
        <v>24.706000000000003</v>
      </c>
      <c r="V188" s="66">
        <f>((58.44-61.68)*0.11)</f>
        <v>-0.35640000000000022</v>
      </c>
      <c r="W188" s="66">
        <f>(56.69-53.54)*0.11</f>
        <v>0.34649999999999986</v>
      </c>
      <c r="X188" s="66">
        <f>(63.24-3.73)*0.11</f>
        <v>6.5461000000000009</v>
      </c>
      <c r="Y188" s="66">
        <f>(40.33-11.47)*0.11</f>
        <v>3.1745999999999999</v>
      </c>
      <c r="Z188" s="66">
        <f>(51.87-19.36)*0.11</f>
        <v>3.5760999999999998</v>
      </c>
      <c r="AA188" s="66">
        <f>(38.8473-11.2681)*0.11</f>
        <v>3.0337119999999995</v>
      </c>
      <c r="AB188" s="66">
        <v>0</v>
      </c>
      <c r="AC188" s="66">
        <v>0</v>
      </c>
    </row>
    <row r="189" spans="1:30">
      <c r="A189" s="43" t="s">
        <v>751</v>
      </c>
      <c r="B189" s="43" t="s">
        <v>574</v>
      </c>
      <c r="C189" s="72">
        <v>176.77799999999999</v>
      </c>
      <c r="D189" s="72">
        <v>236.15</v>
      </c>
      <c r="E189" s="72">
        <v>174.96</v>
      </c>
      <c r="F189" s="72">
        <v>322.14</v>
      </c>
      <c r="G189" s="72">
        <v>131.13999999999999</v>
      </c>
      <c r="H189" s="72">
        <v>0</v>
      </c>
      <c r="I189" s="72">
        <v>298.75</v>
      </c>
      <c r="J189" s="72">
        <v>165.24600000000001</v>
      </c>
      <c r="K189" s="72">
        <v>274.3</v>
      </c>
      <c r="L189" s="72">
        <v>262.77600000000001</v>
      </c>
      <c r="M189" s="72">
        <v>0</v>
      </c>
      <c r="N189" s="73">
        <v>169.614</v>
      </c>
      <c r="O189" s="73">
        <v>169.02</v>
      </c>
      <c r="P189" s="73">
        <v>164.67071999999999</v>
      </c>
      <c r="Q189" s="73">
        <f>275.26*0.6</f>
        <v>165.15599999999998</v>
      </c>
      <c r="R189" s="50">
        <f>269.76*0.6</f>
        <v>161.85599999999999</v>
      </c>
      <c r="S189" s="50">
        <f>277.52*0.6</f>
        <v>166.51199999999997</v>
      </c>
      <c r="T189" s="66">
        <f>277.62*0.6</f>
        <v>166.572</v>
      </c>
      <c r="U189" s="66">
        <f>276.51*0.6</f>
        <v>165.90599999999998</v>
      </c>
      <c r="V189" s="66">
        <f>277.57*0.6</f>
        <v>166.542</v>
      </c>
      <c r="W189" s="66">
        <v>0</v>
      </c>
      <c r="X189" s="66">
        <v>0</v>
      </c>
      <c r="Y189" s="66">
        <v>0</v>
      </c>
      <c r="Z189" s="66">
        <v>0</v>
      </c>
      <c r="AA189" s="66">
        <v>0</v>
      </c>
      <c r="AB189" s="66">
        <v>0</v>
      </c>
      <c r="AC189" s="66">
        <v>0</v>
      </c>
    </row>
    <row r="190" spans="1:30">
      <c r="A190" s="43" t="s">
        <v>751</v>
      </c>
      <c r="B190" s="43" t="s">
        <v>535</v>
      </c>
      <c r="C190" s="72">
        <v>9.7769999999999992</v>
      </c>
      <c r="D190" s="72">
        <v>10.59</v>
      </c>
      <c r="E190" s="72">
        <v>2.2999999999999998</v>
      </c>
      <c r="F190" s="72">
        <v>7.14</v>
      </c>
      <c r="G190" s="72">
        <v>8.7100000000000009</v>
      </c>
      <c r="H190" s="72">
        <v>3.48</v>
      </c>
      <c r="I190" s="72">
        <v>5.2249999999999996</v>
      </c>
      <c r="J190" s="72">
        <v>3.484</v>
      </c>
      <c r="K190" s="72">
        <v>6.9669999999999996</v>
      </c>
      <c r="L190" s="72">
        <v>3.605</v>
      </c>
      <c r="M190" s="72">
        <v>5.2249999999999996</v>
      </c>
      <c r="N190" s="73">
        <v>4.4630000000000001</v>
      </c>
      <c r="O190" s="73">
        <v>3.484</v>
      </c>
      <c r="P190" s="73">
        <v>0</v>
      </c>
      <c r="Q190" s="73">
        <v>0</v>
      </c>
      <c r="R190" s="50">
        <v>0</v>
      </c>
      <c r="S190" s="50">
        <v>0</v>
      </c>
      <c r="T190" s="66">
        <v>0</v>
      </c>
      <c r="U190" s="66">
        <v>0</v>
      </c>
      <c r="V190" s="66">
        <v>0</v>
      </c>
      <c r="W190" s="66">
        <v>0</v>
      </c>
      <c r="X190" s="66">
        <v>0</v>
      </c>
      <c r="Y190" s="66">
        <v>0</v>
      </c>
      <c r="Z190" s="66">
        <v>0</v>
      </c>
      <c r="AA190" s="66">
        <v>0</v>
      </c>
      <c r="AB190" s="66">
        <v>0</v>
      </c>
      <c r="AC190" s="66">
        <v>0</v>
      </c>
    </row>
    <row r="191" spans="1:30" ht="12.6" customHeight="1">
      <c r="A191" s="43" t="s">
        <v>564</v>
      </c>
      <c r="B191" s="43" t="s">
        <v>752</v>
      </c>
      <c r="C191" s="72">
        <v>72554.600000000006</v>
      </c>
      <c r="G191" s="72">
        <v>42983.4</v>
      </c>
      <c r="H191" s="72">
        <v>39124.269999999997</v>
      </c>
      <c r="I191" s="72">
        <v>33924.5</v>
      </c>
      <c r="J191" s="72">
        <v>30995.599999999999</v>
      </c>
      <c r="K191" s="72">
        <v>22863.75</v>
      </c>
      <c r="L191" s="72">
        <v>17899.693200000002</v>
      </c>
      <c r="M191" s="72">
        <v>13121.1</v>
      </c>
      <c r="N191" s="73">
        <v>12378.833000000001</v>
      </c>
      <c r="O191" s="73">
        <v>5822.0929999999998</v>
      </c>
      <c r="P191" s="73">
        <v>437.81</v>
      </c>
      <c r="Q191" s="73">
        <v>370.30200000000002</v>
      </c>
      <c r="R191" s="50">
        <f>(275.38+905.21-54-158)</f>
        <v>968.59000000000015</v>
      </c>
      <c r="S191" s="50">
        <f>597.89</f>
        <v>597.89</v>
      </c>
      <c r="T191" s="66" t="s">
        <v>685</v>
      </c>
      <c r="U191" s="66" t="s">
        <v>685</v>
      </c>
      <c r="V191" s="66" t="s">
        <v>685</v>
      </c>
      <c r="W191" s="66" t="s">
        <v>685</v>
      </c>
      <c r="X191" s="66" t="s">
        <v>685</v>
      </c>
      <c r="Y191" s="66" t="s">
        <v>685</v>
      </c>
      <c r="Z191" s="66" t="s">
        <v>685</v>
      </c>
      <c r="AA191" s="66">
        <v>0</v>
      </c>
      <c r="AB191" s="66">
        <v>0</v>
      </c>
      <c r="AC191" s="66">
        <v>0</v>
      </c>
    </row>
    <row r="192" spans="1:30">
      <c r="A192" s="43" t="s">
        <v>564</v>
      </c>
      <c r="B192" s="43" t="s">
        <v>663</v>
      </c>
      <c r="C192" s="72">
        <v>504.9</v>
      </c>
      <c r="G192" s="72">
        <v>91562.9</v>
      </c>
      <c r="H192" s="72">
        <v>81646.399999999994</v>
      </c>
      <c r="I192" s="72">
        <v>64150.9</v>
      </c>
      <c r="J192" s="72">
        <v>80225.070000000007</v>
      </c>
      <c r="K192" s="72">
        <v>20019.89</v>
      </c>
      <c r="L192" s="72">
        <v>3885.761</v>
      </c>
      <c r="M192" s="72">
        <v>1060.3296</v>
      </c>
      <c r="N192" s="73">
        <v>890.59300000000007</v>
      </c>
      <c r="O192" s="73">
        <v>265.10000000000002</v>
      </c>
      <c r="P192" s="73">
        <v>219.17500000000001</v>
      </c>
      <c r="Q192" s="73">
        <f>78.92*1.1</f>
        <v>86.812000000000012</v>
      </c>
      <c r="R192" s="50">
        <f>436.2*1.1</f>
        <v>479.82000000000005</v>
      </c>
      <c r="S192" s="50">
        <f>415.06*1.1</f>
        <v>456.56600000000003</v>
      </c>
      <c r="T192" s="66" t="s">
        <v>685</v>
      </c>
      <c r="U192" s="66" t="s">
        <v>685</v>
      </c>
      <c r="V192" s="66" t="s">
        <v>685</v>
      </c>
      <c r="W192" s="66" t="s">
        <v>685</v>
      </c>
      <c r="X192" s="66" t="s">
        <v>685</v>
      </c>
      <c r="Y192" s="66" t="s">
        <v>685</v>
      </c>
      <c r="Z192" s="66" t="s">
        <v>685</v>
      </c>
      <c r="AA192" s="66">
        <f>322.27*1.1</f>
        <v>354.49700000000001</v>
      </c>
      <c r="AB192" s="66">
        <v>0</v>
      </c>
      <c r="AC192" s="66">
        <f>299.65*1.1</f>
        <v>329.61500000000001</v>
      </c>
    </row>
    <row r="193" spans="1:29">
      <c r="A193" s="43" t="s">
        <v>564</v>
      </c>
      <c r="B193" s="43" t="s">
        <v>243</v>
      </c>
      <c r="C193" s="72">
        <v>28650</v>
      </c>
      <c r="G193" s="72">
        <v>18602</v>
      </c>
      <c r="H193" s="72">
        <v>14720</v>
      </c>
      <c r="I193" s="72">
        <v>10297.5</v>
      </c>
      <c r="J193" s="72">
        <v>6604.18</v>
      </c>
      <c r="K193" s="72">
        <v>4959.1499999999996</v>
      </c>
      <c r="L193" s="72">
        <v>2238.9299999999998</v>
      </c>
      <c r="M193" s="72">
        <v>4446.51</v>
      </c>
      <c r="N193" s="73">
        <v>160.96</v>
      </c>
      <c r="O193" s="73">
        <v>594.5</v>
      </c>
      <c r="P193" s="73">
        <v>977.3</v>
      </c>
      <c r="Q193" s="73">
        <f>98.59*10</f>
        <v>985.90000000000009</v>
      </c>
      <c r="R193" s="50">
        <v>0</v>
      </c>
      <c r="S193" s="50">
        <v>0</v>
      </c>
      <c r="T193" s="66" t="s">
        <v>685</v>
      </c>
      <c r="U193" s="66" t="s">
        <v>685</v>
      </c>
      <c r="V193" s="66" t="s">
        <v>685</v>
      </c>
      <c r="W193" s="66" t="s">
        <v>685</v>
      </c>
      <c r="X193" s="66" t="s">
        <v>685</v>
      </c>
      <c r="Y193" s="66" t="s">
        <v>685</v>
      </c>
      <c r="Z193" s="66" t="s">
        <v>685</v>
      </c>
      <c r="AA193" s="66">
        <v>0</v>
      </c>
      <c r="AB193" s="66">
        <v>0</v>
      </c>
      <c r="AC193" s="66">
        <v>0</v>
      </c>
    </row>
    <row r="194" spans="1:29">
      <c r="A194" s="43" t="s">
        <v>564</v>
      </c>
      <c r="B194" s="43" t="s">
        <v>95</v>
      </c>
      <c r="C194" s="73">
        <v>982.68499999999995</v>
      </c>
      <c r="G194" s="73">
        <v>4404.62</v>
      </c>
      <c r="H194" s="73">
        <v>4591.95</v>
      </c>
      <c r="I194" s="73">
        <v>5216.09</v>
      </c>
      <c r="J194" s="73">
        <v>10522.434999999999</v>
      </c>
      <c r="K194" s="73">
        <v>7269.2206000000006</v>
      </c>
      <c r="L194" s="73">
        <v>9976.6820200000002</v>
      </c>
      <c r="M194" s="73">
        <v>11167.194360000001</v>
      </c>
      <c r="N194" s="73">
        <v>15931.599935999999</v>
      </c>
      <c r="O194" s="73">
        <v>17033.972470000001</v>
      </c>
      <c r="P194" s="73">
        <v>16367.977314</v>
      </c>
      <c r="Q194" s="73">
        <v>17997.095795000001</v>
      </c>
      <c r="R194" s="50">
        <f>((311356.78+132.23-94037.07)*0.055)+((98857.06-42176.27)*0.11)+((30449.2-7012.82)*0.065)+((2819.18+98.59-2203.11)*0.02)+((401.01-415.21)*0.022)+(55.8*0.025)</f>
        <v>19733.484100000001</v>
      </c>
      <c r="S194" s="50">
        <f>((326691.83-112882.85)*0.055)+((111922.3-43600.15+10.1)*0.11)+((27073.76-4832.44)*0.065)+((119.92+3082.82-2430.71)*0.02)+((232.63-215.84)*0.022)+(59.53*0.025)+(0.04*0.033)</f>
        <v>20739.026750000001</v>
      </c>
      <c r="T194" s="66">
        <f>((26.06+364550.21-127113.63)*0.055)+((117131.32-53267.38)*0.11)+((22159.25-6884.97)*0.065)+((98.68+1687.43-1007.46)*0.02)+((221.26-226.97)*0.022)+(16.22*0.025)+(19.83*0.033)</f>
        <v>21094.814070000004</v>
      </c>
      <c r="U194" s="66">
        <f>((7.21+288493.07-93490.99)*0.055)+((87123.91-36113.58)*0.11)+((16954.46-4099.42)*0.065)+((88.34+2079.21-1156.58)*0.02)+((208.62-88.73)*0.022)+(28.73*0.025)</f>
        <v>17195.800080000005</v>
      </c>
      <c r="V194" s="66">
        <f>((7.905-109635.6+299950.13)*0.055)+((86911.31-35063.532)*0.11)+((16566.05-6647.639)*0.065)+((87.885-1012.72+1930.61)*0.02)+((315.25-219.021)*0.022)+(33.225*0.025)</f>
        <v>16838.749383000002</v>
      </c>
      <c r="W194" s="66">
        <f>((243474.14-89501.37)*0.055)+((65876.85-27292.5)*0.11)+((18835.6-7219.18)*0.065)+((65.01+1750.43-915.53)*0.02)+((76.31-122.63)*0.022)+(15.4*0.033)</f>
        <v>13485.335510000003</v>
      </c>
      <c r="X194" s="66">
        <f>((256123.01-87426.62)*0.055)+((66165.38-27021.23)*0.11)+((17085.31-7613.87)*0.065)+((65.02+1737.27-859.45)*0.02)+((152.02-84.86)*0.022)+(37.98*0.025)</f>
        <v>14221.085370000001</v>
      </c>
      <c r="Y194" s="66">
        <f>((244479.2-71496.55)*0.055)+((64334.49-24295.73)*0.11)+((17161.96-6909.53)*0.065)+((73.55+1504.25-586.51)*0.02)+((112.94-118.65)*0.022)+(38.38*0.025)</f>
        <v>14605.376980000001</v>
      </c>
      <c r="Z194" s="66">
        <f>((247938.28-69276.47)*0.055)+((57464.81-19408.07)*0.11)+((11634.85-6267.88)*0.065)+((73.91+1947.42-1030.76)*0.02)+((58.01-63.33)*0.022)+(17.15*0.025)+(20.97*0.033)</f>
        <v>14382.309120000002</v>
      </c>
      <c r="AA194" s="66">
        <f>((247244.85-73583.3)*0.055)+((55468.72-17020.2)*0.11)+((12553.85-6054.3)*0.065)+((73.91+2206.7-1323.03)*0.02)+((163.34-125.63)*0.022)+(0.26*0.025)+(0.31*0.033)</f>
        <v>14223.191150000001</v>
      </c>
      <c r="AB194" s="66">
        <f>((200766.82-67316.5)*0.055)+((42030.06-13053.65)*0.11)+((6435.29-4285.93)*0.065)+((73.96+1899.62-1105.4)*0.02)+((52.93-76.13)*0.022)</f>
        <v>10683.7343</v>
      </c>
      <c r="AC194" s="66">
        <f>((182073.24-54352.69)*0.055)+((32228.59-6953.09)*0.11)+((7226.54-2649.94)*0.065)+((1978.13-1031.83)*0.02)+((9.52-41.17)*0.022)</f>
        <v>10120.643949999998</v>
      </c>
    </row>
    <row r="195" spans="1:29">
      <c r="A195" s="43" t="s">
        <v>564</v>
      </c>
      <c r="B195" s="43" t="s">
        <v>825</v>
      </c>
      <c r="Q195" s="73">
        <v>0</v>
      </c>
      <c r="R195" s="50">
        <v>0</v>
      </c>
      <c r="S195" s="50">
        <v>0</v>
      </c>
      <c r="T195" s="66">
        <v>0</v>
      </c>
      <c r="U195" s="66">
        <v>0</v>
      </c>
      <c r="V195" s="66">
        <v>0</v>
      </c>
      <c r="W195" s="66">
        <v>0</v>
      </c>
      <c r="X195" s="66">
        <v>0</v>
      </c>
      <c r="Y195" s="66">
        <v>0</v>
      </c>
      <c r="Z195" s="66">
        <v>0</v>
      </c>
      <c r="AA195" s="66">
        <v>0</v>
      </c>
      <c r="AB195" s="66">
        <v>0</v>
      </c>
      <c r="AC195" s="66">
        <v>0</v>
      </c>
    </row>
    <row r="196" spans="1:29">
      <c r="A196" s="43" t="s">
        <v>564</v>
      </c>
      <c r="B196" s="43" t="s">
        <v>574</v>
      </c>
      <c r="C196" s="72">
        <v>537</v>
      </c>
      <c r="G196" s="72">
        <v>2018.4</v>
      </c>
      <c r="H196" s="72">
        <v>2100</v>
      </c>
      <c r="I196" s="72">
        <v>1538.4</v>
      </c>
      <c r="J196" s="72">
        <v>1087.8</v>
      </c>
      <c r="K196" s="72">
        <v>1008</v>
      </c>
      <c r="L196" s="72">
        <v>311.8374</v>
      </c>
      <c r="M196" s="72">
        <v>620.16780000000006</v>
      </c>
      <c r="N196" s="73">
        <v>310.041</v>
      </c>
      <c r="O196" s="73">
        <v>313.53599999999994</v>
      </c>
      <c r="P196" s="73">
        <v>371.25540000000001</v>
      </c>
      <c r="Q196" s="73">
        <f>403.135*0.6</f>
        <v>241.88099999999997</v>
      </c>
      <c r="R196" s="50">
        <f>336.2*0.6</f>
        <v>201.72</v>
      </c>
      <c r="S196" s="50">
        <f>291.33*0.6</f>
        <v>174.79799999999997</v>
      </c>
      <c r="T196" s="66">
        <f>249.73*0.6</f>
        <v>149.83799999999999</v>
      </c>
      <c r="U196" s="66">
        <f>166.6*0.6</f>
        <v>99.96</v>
      </c>
      <c r="V196" s="66">
        <f>83.31*0.6</f>
        <v>49.985999999999997</v>
      </c>
      <c r="W196" s="66">
        <f>113.91*0.6</f>
        <v>68.345999999999989</v>
      </c>
      <c r="X196" s="66">
        <f>99.7*0.6</f>
        <v>59.82</v>
      </c>
      <c r="Y196" s="66">
        <f>92.92*0.6</f>
        <v>55.752000000000002</v>
      </c>
      <c r="Z196" s="66">
        <f>87.18*0.6</f>
        <v>52.308</v>
      </c>
      <c r="AA196" s="66">
        <v>0</v>
      </c>
      <c r="AB196" s="66">
        <v>0</v>
      </c>
      <c r="AC196" s="66">
        <v>0</v>
      </c>
    </row>
    <row r="197" spans="1:29">
      <c r="A197" s="43" t="s">
        <v>564</v>
      </c>
      <c r="B197" s="43" t="s">
        <v>535</v>
      </c>
      <c r="C197" s="72">
        <v>190.7</v>
      </c>
      <c r="G197" s="72">
        <v>647.1</v>
      </c>
      <c r="H197" s="72">
        <v>757.6</v>
      </c>
      <c r="I197" s="72">
        <v>399.1</v>
      </c>
      <c r="J197" s="72">
        <v>380.68</v>
      </c>
      <c r="K197" s="72">
        <v>336.83</v>
      </c>
      <c r="L197" s="72">
        <v>370.19569999999999</v>
      </c>
      <c r="M197" s="72">
        <v>186.59</v>
      </c>
      <c r="N197" s="73">
        <v>279.91800000000001</v>
      </c>
      <c r="O197" s="73">
        <v>251.07599999999999</v>
      </c>
      <c r="P197" s="73">
        <v>168.25200000000001</v>
      </c>
      <c r="Q197" s="73">
        <f>(57.72+778.16)*0.1</f>
        <v>83.588000000000008</v>
      </c>
      <c r="R197" s="50">
        <v>0</v>
      </c>
      <c r="S197" s="50">
        <v>0</v>
      </c>
      <c r="T197" s="66">
        <v>0</v>
      </c>
      <c r="U197" s="66">
        <v>0</v>
      </c>
      <c r="V197" s="66">
        <v>0</v>
      </c>
      <c r="W197" s="66">
        <v>0</v>
      </c>
      <c r="X197" s="66">
        <v>0</v>
      </c>
      <c r="Y197" s="66">
        <v>0</v>
      </c>
      <c r="Z197" s="66">
        <v>0</v>
      </c>
      <c r="AA197" s="66">
        <v>0</v>
      </c>
      <c r="AB197" s="66">
        <v>0</v>
      </c>
      <c r="AC197" s="66">
        <v>0</v>
      </c>
    </row>
    <row r="198" spans="1:29">
      <c r="A198" s="43" t="s">
        <v>755</v>
      </c>
      <c r="B198" s="43" t="s">
        <v>752</v>
      </c>
      <c r="C198" s="72">
        <v>2174</v>
      </c>
      <c r="D198" s="72">
        <v>2321</v>
      </c>
      <c r="E198" s="72">
        <v>2168.58</v>
      </c>
      <c r="F198" s="72">
        <v>1258.24</v>
      </c>
      <c r="G198" s="72">
        <v>986.14</v>
      </c>
      <c r="H198" s="72">
        <v>1149.3499999999999</v>
      </c>
      <c r="I198" s="72">
        <v>1064.8399999999999</v>
      </c>
      <c r="J198" s="72">
        <v>1037.04</v>
      </c>
      <c r="K198" s="72">
        <v>1058.1099999999999</v>
      </c>
      <c r="L198" s="72">
        <v>898.5</v>
      </c>
      <c r="M198" s="72">
        <v>556.88599999999997</v>
      </c>
      <c r="N198" s="73">
        <v>661.72199999999998</v>
      </c>
      <c r="O198" s="73">
        <v>263.108</v>
      </c>
      <c r="P198" s="73">
        <v>207.98400000000001</v>
      </c>
      <c r="Q198" s="73">
        <v>110.62</v>
      </c>
      <c r="R198" s="50">
        <v>0</v>
      </c>
      <c r="S198" s="50">
        <v>0</v>
      </c>
      <c r="T198" s="66" t="s">
        <v>685</v>
      </c>
      <c r="U198" s="66" t="s">
        <v>685</v>
      </c>
      <c r="V198" s="66" t="s">
        <v>685</v>
      </c>
      <c r="W198" s="66" t="s">
        <v>685</v>
      </c>
      <c r="X198" s="66" t="s">
        <v>685</v>
      </c>
      <c r="Y198" s="66" t="s">
        <v>685</v>
      </c>
      <c r="Z198" s="66" t="s">
        <v>685</v>
      </c>
      <c r="AA198" s="66">
        <v>0</v>
      </c>
      <c r="AB198" s="66">
        <v>0</v>
      </c>
      <c r="AC198" s="66">
        <v>0</v>
      </c>
    </row>
    <row r="199" spans="1:29">
      <c r="A199" s="43" t="s">
        <v>755</v>
      </c>
      <c r="B199" s="43" t="s">
        <v>663</v>
      </c>
      <c r="C199" s="72">
        <v>0</v>
      </c>
      <c r="D199" s="72">
        <v>0</v>
      </c>
      <c r="E199" s="72">
        <v>21.02</v>
      </c>
      <c r="F199" s="72">
        <v>6.8090000000000002</v>
      </c>
      <c r="G199" s="72">
        <v>10.97</v>
      </c>
      <c r="H199" s="72">
        <v>0.57199999999999995</v>
      </c>
      <c r="I199" s="72">
        <v>13.365</v>
      </c>
      <c r="J199" s="72">
        <v>0.92400000000000004</v>
      </c>
      <c r="K199" s="72">
        <v>1.375</v>
      </c>
      <c r="L199" s="72">
        <v>0.79200000000000004</v>
      </c>
      <c r="M199" s="72">
        <v>0.253</v>
      </c>
      <c r="N199" s="73">
        <v>0.59400000000000008</v>
      </c>
      <c r="O199" s="73">
        <v>0.60499999999999998</v>
      </c>
      <c r="P199" s="73">
        <v>0.60499999999999998</v>
      </c>
      <c r="Q199" s="73">
        <v>0.60499999999999998</v>
      </c>
      <c r="R199" s="50">
        <v>0</v>
      </c>
      <c r="S199" s="50">
        <v>0</v>
      </c>
      <c r="T199" s="66" t="s">
        <v>685</v>
      </c>
      <c r="U199" s="66" t="s">
        <v>685</v>
      </c>
      <c r="V199" s="66" t="s">
        <v>685</v>
      </c>
      <c r="W199" s="66" t="s">
        <v>685</v>
      </c>
      <c r="X199" s="66" t="s">
        <v>685</v>
      </c>
      <c r="Y199" s="66" t="s">
        <v>685</v>
      </c>
      <c r="Z199" s="66" t="s">
        <v>685</v>
      </c>
      <c r="AA199" s="66">
        <v>0</v>
      </c>
      <c r="AB199" s="66">
        <v>0</v>
      </c>
      <c r="AC199" s="66">
        <v>0</v>
      </c>
    </row>
    <row r="200" spans="1:29">
      <c r="A200" s="43" t="s">
        <v>755</v>
      </c>
      <c r="B200" s="43" t="s">
        <v>243</v>
      </c>
      <c r="C200" s="72">
        <v>0</v>
      </c>
      <c r="D200" s="72">
        <v>271</v>
      </c>
      <c r="E200" s="72">
        <v>0</v>
      </c>
      <c r="F200" s="72">
        <v>0</v>
      </c>
      <c r="G200" s="72">
        <v>0</v>
      </c>
      <c r="H200" s="72">
        <v>5.9</v>
      </c>
      <c r="I200" s="72">
        <v>0</v>
      </c>
      <c r="J200" s="72">
        <v>4.4000000000000004</v>
      </c>
      <c r="K200" s="72">
        <v>0</v>
      </c>
      <c r="L200" s="72">
        <v>0</v>
      </c>
      <c r="M200" s="72">
        <v>0</v>
      </c>
      <c r="N200" s="73">
        <v>0</v>
      </c>
      <c r="O200" s="73">
        <v>0</v>
      </c>
      <c r="P200" s="73">
        <v>0</v>
      </c>
      <c r="Q200" s="73">
        <v>-77.400000000000006</v>
      </c>
      <c r="R200" s="50">
        <v>0</v>
      </c>
      <c r="S200" s="50">
        <v>0</v>
      </c>
      <c r="T200" s="66" t="s">
        <v>685</v>
      </c>
      <c r="U200" s="66" t="s">
        <v>685</v>
      </c>
      <c r="V200" s="66" t="s">
        <v>685</v>
      </c>
      <c r="W200" s="66" t="s">
        <v>685</v>
      </c>
      <c r="X200" s="66" t="s">
        <v>685</v>
      </c>
      <c r="Y200" s="66" t="s">
        <v>685</v>
      </c>
      <c r="Z200" s="66" t="s">
        <v>685</v>
      </c>
      <c r="AA200" s="66">
        <v>0</v>
      </c>
      <c r="AB200" s="66">
        <v>0</v>
      </c>
      <c r="AC200" s="66">
        <v>0</v>
      </c>
    </row>
    <row r="201" spans="1:29">
      <c r="A201" s="43" t="s">
        <v>755</v>
      </c>
      <c r="B201" s="43" t="s">
        <v>95</v>
      </c>
      <c r="C201" s="73">
        <v>0</v>
      </c>
      <c r="D201" s="73">
        <v>0</v>
      </c>
      <c r="E201" s="73">
        <v>0</v>
      </c>
      <c r="F201" s="73">
        <v>0</v>
      </c>
      <c r="G201" s="73">
        <v>0</v>
      </c>
      <c r="H201" s="73">
        <v>0</v>
      </c>
      <c r="I201" s="73">
        <v>97.683850000000007</v>
      </c>
      <c r="J201" s="73">
        <v>89.936399999999992</v>
      </c>
      <c r="K201" s="73">
        <v>105.0624</v>
      </c>
      <c r="L201" s="73">
        <v>123.73495</v>
      </c>
      <c r="M201" s="73">
        <v>152.0787</v>
      </c>
      <c r="N201" s="73">
        <v>160.58665000000002</v>
      </c>
      <c r="O201" s="73">
        <v>206.17250999999999</v>
      </c>
      <c r="P201" s="73">
        <v>206.23837999999998</v>
      </c>
      <c r="Q201" s="73">
        <v>209.66900000000001</v>
      </c>
      <c r="R201" s="50">
        <f>((1238.46-12.27)*0.055)+((1556.55-1.1)*0.11)+(9.61*0.065)+(114.4*0.02)+(0.68*0.022)</f>
        <v>241.46756000000002</v>
      </c>
      <c r="S201" s="50">
        <f>((894.13-51.05)*0.055)+((1530.63-0.8)*0.11)+(14.52*0.065)+(88.93*0.02)+(1.19*0.022)</f>
        <v>217.39928000000006</v>
      </c>
      <c r="T201" s="66">
        <f>((1594.56-12.28)*0.055)+((1771.74-0.11)*0.11)+(18.93*0.065)+(117.41*0.02)+(0.89*0.022)</f>
        <v>285.50293000000005</v>
      </c>
      <c r="U201" s="66">
        <f>((1053.4-0.0028)*0.055)+(1045.95*0.11)+(9.77*0.065)+(104.3*0.02)+(1.34*0.022)</f>
        <v>175.74187600000005</v>
      </c>
      <c r="V201" s="66">
        <f>(1226.16*0.055)+(784.22*0.11)+(4.35*0.065)+(103.58*0.02)+(0.7*0.022)</f>
        <v>156.07274999999998</v>
      </c>
      <c r="W201" s="66">
        <f>(1081.536*0.055)+(938.406*0.11)+(0.1*0.065)+(93.907*0.02)+(0.4*0.022)</f>
        <v>164.60257999999999</v>
      </c>
      <c r="X201" s="66">
        <f>(947.44*0.055)+(753.64*0.11)+(78.81*0.02)</f>
        <v>136.58580000000001</v>
      </c>
      <c r="Y201" s="66">
        <f>(806.21*0.055)+(944.75*0.11)+(1.25*0.065)+(8.31*0.02)</f>
        <v>148.51150000000001</v>
      </c>
      <c r="Z201" s="66">
        <f>(769.29*0.055)+(319.91*0.11)+(32.5*0.02)</f>
        <v>78.151049999999998</v>
      </c>
      <c r="AA201" s="66">
        <f>(765.23*0.055)+(345.27*0.11)+(10.5*0.02)</f>
        <v>80.277349999999998</v>
      </c>
      <c r="AB201" s="66">
        <f>(391.66*0.055)+(376.1264*0.11)+(14.5878*0.02)</f>
        <v>63.206960000000002</v>
      </c>
      <c r="AC201" s="66">
        <f>(460.71*0.055)+(2.5*0.02)</f>
        <v>25.389050000000001</v>
      </c>
    </row>
    <row r="202" spans="1:29">
      <c r="A202" s="43" t="s">
        <v>755</v>
      </c>
      <c r="B202" s="43" t="s">
        <v>825</v>
      </c>
      <c r="Q202" s="73">
        <v>0</v>
      </c>
      <c r="R202" s="50">
        <v>0</v>
      </c>
      <c r="S202" s="50">
        <f>28.22*0.11</f>
        <v>3.1042000000000001</v>
      </c>
      <c r="T202" s="66">
        <v>0</v>
      </c>
      <c r="U202" s="50">
        <f>8.27*0.11</f>
        <v>0.90969999999999995</v>
      </c>
      <c r="V202" s="66">
        <f>0.03*0.11</f>
        <v>3.3E-3</v>
      </c>
      <c r="W202" s="66">
        <f>6.3*0.11</f>
        <v>0.69299999999999995</v>
      </c>
      <c r="X202" s="66">
        <f>7.94*0.11</f>
        <v>0.87340000000000007</v>
      </c>
      <c r="Y202" s="66">
        <f>7.75*0.11</f>
        <v>0.85250000000000004</v>
      </c>
      <c r="Z202" s="66">
        <f>12.37*0.11</f>
        <v>1.3607</v>
      </c>
      <c r="AA202" s="66">
        <f>3.36*0.11</f>
        <v>0.36959999999999998</v>
      </c>
      <c r="AB202" s="66">
        <f>0.79*0.11</f>
        <v>8.6900000000000005E-2</v>
      </c>
      <c r="AC202" s="66">
        <v>0</v>
      </c>
    </row>
    <row r="203" spans="1:29">
      <c r="A203" s="43" t="s">
        <v>755</v>
      </c>
      <c r="B203" s="43" t="s">
        <v>574</v>
      </c>
      <c r="C203" s="72">
        <v>205.8</v>
      </c>
      <c r="D203" s="72">
        <v>234.6</v>
      </c>
      <c r="E203" s="72">
        <v>0</v>
      </c>
      <c r="F203" s="72">
        <v>0</v>
      </c>
      <c r="G203" s="72">
        <v>0</v>
      </c>
      <c r="H203" s="72">
        <v>0</v>
      </c>
      <c r="I203" s="72">
        <v>0</v>
      </c>
      <c r="J203" s="72">
        <v>0</v>
      </c>
      <c r="K203" s="72">
        <v>0</v>
      </c>
      <c r="L203" s="72">
        <v>7.2119999999999997</v>
      </c>
      <c r="M203" s="72">
        <v>0</v>
      </c>
      <c r="N203" s="73">
        <v>0</v>
      </c>
      <c r="O203" s="73">
        <v>0</v>
      </c>
      <c r="P203" s="73">
        <v>0</v>
      </c>
      <c r="Q203" s="73">
        <v>0</v>
      </c>
      <c r="R203" s="50">
        <v>0</v>
      </c>
      <c r="S203" s="50">
        <v>0</v>
      </c>
      <c r="T203" s="66">
        <v>0</v>
      </c>
      <c r="U203" s="66">
        <v>0</v>
      </c>
      <c r="V203" s="66">
        <v>0</v>
      </c>
      <c r="W203" s="66">
        <v>0</v>
      </c>
      <c r="X203" s="66">
        <v>0</v>
      </c>
      <c r="Y203" s="66">
        <v>0</v>
      </c>
      <c r="Z203" s="66">
        <v>0</v>
      </c>
      <c r="AA203" s="66">
        <v>0</v>
      </c>
      <c r="AB203" s="66">
        <v>0</v>
      </c>
      <c r="AC203" s="66">
        <v>0</v>
      </c>
    </row>
    <row r="204" spans="1:29">
      <c r="A204" s="43" t="s">
        <v>755</v>
      </c>
      <c r="B204" s="43" t="s">
        <v>535</v>
      </c>
      <c r="C204" s="72">
        <v>10</v>
      </c>
      <c r="D204" s="72">
        <v>8</v>
      </c>
      <c r="E204" s="72">
        <v>5.6769999999999996</v>
      </c>
      <c r="F204" s="72">
        <v>1.867</v>
      </c>
      <c r="G204" s="72">
        <v>2E-3</v>
      </c>
      <c r="H204" s="72">
        <v>1E-3</v>
      </c>
      <c r="I204" s="72">
        <v>1E-3</v>
      </c>
      <c r="J204" s="72">
        <v>0</v>
      </c>
      <c r="K204" s="72">
        <v>1E-3</v>
      </c>
      <c r="L204" s="72">
        <v>0</v>
      </c>
      <c r="M204" s="72">
        <v>0</v>
      </c>
      <c r="N204" s="73">
        <v>0</v>
      </c>
      <c r="O204" s="73">
        <v>0</v>
      </c>
      <c r="P204" s="73">
        <v>0</v>
      </c>
      <c r="Q204" s="73">
        <v>0</v>
      </c>
      <c r="R204" s="50">
        <v>0</v>
      </c>
      <c r="S204" s="50">
        <v>0</v>
      </c>
      <c r="T204" s="66">
        <f>0.01*0.1</f>
        <v>1E-3</v>
      </c>
      <c r="U204" s="66">
        <f>0.00009*0.1</f>
        <v>9.0000000000000002E-6</v>
      </c>
      <c r="V204" s="66">
        <v>0</v>
      </c>
      <c r="W204" s="66">
        <v>0</v>
      </c>
      <c r="X204" s="66">
        <v>0</v>
      </c>
      <c r="Y204" s="66">
        <v>0</v>
      </c>
      <c r="Z204" s="66">
        <v>0</v>
      </c>
      <c r="AA204" s="66">
        <v>0</v>
      </c>
      <c r="AB204" s="66">
        <v>0</v>
      </c>
      <c r="AC204" s="66">
        <v>0</v>
      </c>
    </row>
    <row r="205" spans="1:29">
      <c r="A205" s="43" t="s">
        <v>754</v>
      </c>
      <c r="B205" s="43" t="s">
        <v>752</v>
      </c>
      <c r="E205" s="72">
        <v>2.85</v>
      </c>
      <c r="F205" s="72">
        <v>3.6</v>
      </c>
      <c r="G205" s="72">
        <v>2.4500000000000002</v>
      </c>
      <c r="K205" s="72">
        <v>1.1399999999999999</v>
      </c>
      <c r="M205" s="72">
        <v>0.94399999999999995</v>
      </c>
      <c r="O205" s="73">
        <v>0.3</v>
      </c>
      <c r="P205" s="73">
        <v>0</v>
      </c>
      <c r="Q205" s="73">
        <v>0</v>
      </c>
      <c r="R205" s="50">
        <v>0</v>
      </c>
      <c r="S205" s="50">
        <v>0</v>
      </c>
      <c r="T205" s="66" t="s">
        <v>685</v>
      </c>
      <c r="U205" s="66" t="s">
        <v>685</v>
      </c>
      <c r="V205" s="66" t="s">
        <v>685</v>
      </c>
      <c r="W205" s="66" t="s">
        <v>685</v>
      </c>
      <c r="X205" s="66" t="s">
        <v>685</v>
      </c>
      <c r="Y205" s="66" t="s">
        <v>685</v>
      </c>
      <c r="Z205" s="66" t="s">
        <v>685</v>
      </c>
      <c r="AA205" s="66">
        <v>0</v>
      </c>
      <c r="AB205" s="66">
        <v>0</v>
      </c>
      <c r="AC205" s="66">
        <v>0</v>
      </c>
    </row>
    <row r="206" spans="1:29">
      <c r="A206" s="43" t="s">
        <v>754</v>
      </c>
      <c r="B206" s="43" t="s">
        <v>663</v>
      </c>
      <c r="E206" s="72">
        <v>0</v>
      </c>
      <c r="F206" s="72">
        <v>0</v>
      </c>
      <c r="G206" s="72">
        <v>0</v>
      </c>
      <c r="K206" s="72">
        <v>0</v>
      </c>
      <c r="M206" s="72">
        <v>0</v>
      </c>
      <c r="O206" s="73">
        <v>0</v>
      </c>
      <c r="P206" s="73">
        <v>0</v>
      </c>
      <c r="Q206" s="73">
        <v>0</v>
      </c>
      <c r="R206" s="50">
        <v>0</v>
      </c>
      <c r="S206" s="50">
        <v>0</v>
      </c>
      <c r="T206" s="66" t="s">
        <v>685</v>
      </c>
      <c r="U206" s="66" t="s">
        <v>685</v>
      </c>
      <c r="V206" s="66" t="s">
        <v>685</v>
      </c>
      <c r="W206" s="66" t="s">
        <v>685</v>
      </c>
      <c r="X206" s="66" t="s">
        <v>685</v>
      </c>
      <c r="Y206" s="66" t="s">
        <v>685</v>
      </c>
      <c r="Z206" s="66" t="s">
        <v>685</v>
      </c>
      <c r="AA206" s="66">
        <v>0</v>
      </c>
      <c r="AB206" s="66">
        <v>0</v>
      </c>
      <c r="AC206" s="66">
        <v>0</v>
      </c>
    </row>
    <row r="207" spans="1:29">
      <c r="A207" s="43" t="s">
        <v>754</v>
      </c>
      <c r="B207" s="43" t="s">
        <v>243</v>
      </c>
      <c r="E207" s="72">
        <v>0</v>
      </c>
      <c r="F207" s="72">
        <v>0</v>
      </c>
      <c r="G207" s="72">
        <v>0</v>
      </c>
      <c r="K207" s="72">
        <v>0</v>
      </c>
      <c r="M207" s="72">
        <v>0</v>
      </c>
      <c r="O207" s="73">
        <v>0</v>
      </c>
      <c r="P207" s="73">
        <v>0</v>
      </c>
      <c r="Q207" s="73">
        <v>0</v>
      </c>
      <c r="R207" s="50">
        <v>0</v>
      </c>
      <c r="S207" s="50">
        <v>0</v>
      </c>
      <c r="T207" s="66" t="s">
        <v>685</v>
      </c>
      <c r="U207" s="66" t="s">
        <v>685</v>
      </c>
      <c r="V207" s="66" t="s">
        <v>685</v>
      </c>
      <c r="W207" s="66" t="s">
        <v>685</v>
      </c>
      <c r="X207" s="66" t="s">
        <v>685</v>
      </c>
      <c r="Y207" s="66" t="s">
        <v>685</v>
      </c>
      <c r="Z207" s="66" t="s">
        <v>685</v>
      </c>
      <c r="AA207" s="66">
        <v>0</v>
      </c>
      <c r="AB207" s="66">
        <v>0</v>
      </c>
      <c r="AC207" s="66">
        <v>0</v>
      </c>
    </row>
    <row r="208" spans="1:29">
      <c r="A208" s="43" t="s">
        <v>754</v>
      </c>
      <c r="B208" s="43" t="s">
        <v>95</v>
      </c>
      <c r="E208" s="73">
        <v>0</v>
      </c>
      <c r="F208" s="73">
        <v>0</v>
      </c>
      <c r="G208" s="73">
        <v>6.5890000000000004E-2</v>
      </c>
      <c r="K208" s="73">
        <v>6.8750000000000006E-2</v>
      </c>
      <c r="M208" s="73">
        <v>9.4600000000000004E-2</v>
      </c>
      <c r="O208" s="73">
        <v>0</v>
      </c>
      <c r="P208" s="73">
        <v>0.17599999999999999</v>
      </c>
      <c r="Q208" s="73">
        <f>2.5*0.055</f>
        <v>0.13750000000000001</v>
      </c>
      <c r="R208" s="50">
        <f>2.46*0.055</f>
        <v>0.1353</v>
      </c>
      <c r="S208" s="50">
        <f>2.1*0.055</f>
        <v>0.11550000000000001</v>
      </c>
      <c r="T208" s="50">
        <f>1.98*0.055</f>
        <v>0.1089</v>
      </c>
      <c r="U208" s="66">
        <f>2.108*0.055</f>
        <v>0.11594</v>
      </c>
      <c r="V208" s="66">
        <f>1.9*0.055</f>
        <v>0.1045</v>
      </c>
      <c r="W208" s="66">
        <f>1.8*0.055</f>
        <v>9.9000000000000005E-2</v>
      </c>
      <c r="X208" s="66">
        <f>1.56*0.055</f>
        <v>8.5800000000000001E-2</v>
      </c>
      <c r="Y208" s="66">
        <f>1.21*0.055</f>
        <v>6.6549999999999998E-2</v>
      </c>
      <c r="Z208" s="66">
        <f>1*0.055</f>
        <v>5.5E-2</v>
      </c>
      <c r="AA208" s="66">
        <f>0.92*0.055</f>
        <v>5.0599999999999999E-2</v>
      </c>
      <c r="AB208" s="66">
        <f>0.85*0.055</f>
        <v>4.675E-2</v>
      </c>
      <c r="AC208" s="66">
        <f>0.7*0.055</f>
        <v>3.85E-2</v>
      </c>
    </row>
    <row r="209" spans="1:29">
      <c r="A209" s="43" t="s">
        <v>754</v>
      </c>
      <c r="B209" s="43" t="s">
        <v>825</v>
      </c>
      <c r="Q209" s="73">
        <v>0</v>
      </c>
      <c r="R209" s="50">
        <v>0</v>
      </c>
      <c r="S209" s="50">
        <v>0</v>
      </c>
      <c r="T209" s="66">
        <v>0</v>
      </c>
      <c r="U209" s="66">
        <v>0</v>
      </c>
      <c r="V209" s="66">
        <v>0</v>
      </c>
      <c r="W209" s="66">
        <v>0</v>
      </c>
      <c r="X209" s="66">
        <v>0</v>
      </c>
      <c r="Y209" s="66">
        <v>0</v>
      </c>
      <c r="Z209" s="66">
        <v>0</v>
      </c>
      <c r="AA209" s="66">
        <v>0</v>
      </c>
      <c r="AB209" s="66">
        <v>0</v>
      </c>
      <c r="AC209" s="66">
        <v>0</v>
      </c>
    </row>
    <row r="210" spans="1:29">
      <c r="A210" s="43" t="s">
        <v>754</v>
      </c>
      <c r="B210" s="43" t="s">
        <v>574</v>
      </c>
      <c r="E210" s="72">
        <v>0</v>
      </c>
      <c r="F210" s="72">
        <v>0</v>
      </c>
      <c r="G210" s="72">
        <v>0</v>
      </c>
      <c r="K210" s="72">
        <v>0</v>
      </c>
      <c r="M210" s="72">
        <v>0</v>
      </c>
      <c r="O210" s="73">
        <v>0</v>
      </c>
      <c r="P210" s="73">
        <v>0</v>
      </c>
      <c r="Q210" s="73">
        <v>0</v>
      </c>
      <c r="R210" s="50">
        <v>0</v>
      </c>
      <c r="S210" s="50">
        <v>0</v>
      </c>
      <c r="T210" s="50">
        <v>0</v>
      </c>
      <c r="U210" s="66">
        <v>0</v>
      </c>
      <c r="V210" s="66">
        <v>0</v>
      </c>
      <c r="W210" s="66">
        <v>0</v>
      </c>
      <c r="X210" s="66">
        <v>0</v>
      </c>
      <c r="Y210" s="66">
        <v>0</v>
      </c>
      <c r="Z210" s="66">
        <v>0</v>
      </c>
      <c r="AA210" s="66">
        <v>0</v>
      </c>
      <c r="AB210" s="66">
        <v>0</v>
      </c>
      <c r="AC210" s="66">
        <v>0</v>
      </c>
    </row>
    <row r="211" spans="1:29">
      <c r="A211" s="43" t="s">
        <v>754</v>
      </c>
      <c r="B211" s="43" t="s">
        <v>535</v>
      </c>
      <c r="E211" s="72">
        <v>0</v>
      </c>
      <c r="F211" s="72">
        <v>0</v>
      </c>
      <c r="G211" s="72">
        <v>0</v>
      </c>
      <c r="K211" s="72">
        <v>0</v>
      </c>
      <c r="M211" s="72">
        <v>0</v>
      </c>
      <c r="O211" s="73">
        <v>0</v>
      </c>
      <c r="P211" s="73">
        <v>0</v>
      </c>
      <c r="Q211" s="73">
        <v>0</v>
      </c>
      <c r="R211" s="50">
        <v>0</v>
      </c>
      <c r="S211" s="50">
        <v>0</v>
      </c>
      <c r="T211" s="50">
        <v>0</v>
      </c>
      <c r="U211" s="66">
        <v>0</v>
      </c>
      <c r="V211" s="66">
        <v>0</v>
      </c>
      <c r="W211" s="66">
        <v>0</v>
      </c>
      <c r="X211" s="66">
        <v>0</v>
      </c>
      <c r="Y211" s="66">
        <v>0</v>
      </c>
      <c r="Z211" s="66">
        <v>0</v>
      </c>
      <c r="AA211" s="66">
        <v>0</v>
      </c>
      <c r="AB211" s="66">
        <v>0</v>
      </c>
      <c r="AC211" s="66">
        <v>0</v>
      </c>
    </row>
    <row r="212" spans="1:29">
      <c r="A212" s="43" t="s">
        <v>553</v>
      </c>
      <c r="B212" s="43" t="s">
        <v>752</v>
      </c>
      <c r="C212" s="72">
        <v>8.5399999999999991</v>
      </c>
      <c r="D212" s="72">
        <v>12.88</v>
      </c>
      <c r="E212" s="72">
        <v>8.98</v>
      </c>
      <c r="F212" s="72">
        <v>12.76</v>
      </c>
      <c r="G212" s="72">
        <v>7.53</v>
      </c>
      <c r="H212" s="72">
        <v>11.15</v>
      </c>
      <c r="I212" s="72">
        <v>2.472</v>
      </c>
      <c r="J212" s="72">
        <v>5.45</v>
      </c>
      <c r="K212" s="72">
        <v>7.0460000000000003</v>
      </c>
      <c r="L212" s="72">
        <v>4.62</v>
      </c>
      <c r="M212" s="72">
        <v>3.7080000000000002</v>
      </c>
      <c r="N212" s="73">
        <v>3.28</v>
      </c>
      <c r="O212" s="73">
        <v>1.526</v>
      </c>
      <c r="P212" s="73">
        <v>1.3560000000000001</v>
      </c>
      <c r="Q212" s="73">
        <v>0.21</v>
      </c>
      <c r="R212" s="50">
        <v>0</v>
      </c>
      <c r="S212" s="50">
        <v>0</v>
      </c>
      <c r="T212" s="66" t="s">
        <v>685</v>
      </c>
      <c r="U212" s="66" t="s">
        <v>685</v>
      </c>
      <c r="V212" s="66" t="s">
        <v>685</v>
      </c>
      <c r="W212" s="66" t="s">
        <v>685</v>
      </c>
      <c r="X212" s="66" t="s">
        <v>685</v>
      </c>
      <c r="Y212" s="66" t="s">
        <v>685</v>
      </c>
      <c r="Z212" s="66" t="s">
        <v>685</v>
      </c>
      <c r="AA212" s="66">
        <v>0</v>
      </c>
      <c r="AB212" s="66">
        <v>0</v>
      </c>
      <c r="AC212" s="66">
        <v>0</v>
      </c>
    </row>
    <row r="213" spans="1:29">
      <c r="A213" s="43" t="s">
        <v>553</v>
      </c>
      <c r="B213" s="43" t="s">
        <v>663</v>
      </c>
      <c r="C213" s="72">
        <v>0</v>
      </c>
      <c r="D213" s="72">
        <v>0.27500000000000002</v>
      </c>
      <c r="E213" s="72">
        <v>0</v>
      </c>
      <c r="F213" s="72">
        <v>0</v>
      </c>
      <c r="G213" s="72">
        <v>2.5999999999999999E-2</v>
      </c>
      <c r="H213" s="72">
        <v>1.76</v>
      </c>
      <c r="I213" s="72">
        <v>0</v>
      </c>
      <c r="J213" s="72">
        <v>0</v>
      </c>
      <c r="K213" s="72">
        <v>0</v>
      </c>
      <c r="L213" s="72">
        <v>0</v>
      </c>
      <c r="M213" s="72">
        <v>0</v>
      </c>
      <c r="N213" s="73">
        <v>0</v>
      </c>
      <c r="O213" s="73">
        <v>0</v>
      </c>
      <c r="P213" s="73">
        <v>0</v>
      </c>
      <c r="Q213" s="73">
        <v>0</v>
      </c>
      <c r="R213" s="50">
        <v>0</v>
      </c>
      <c r="S213" s="50">
        <v>0</v>
      </c>
      <c r="T213" s="66" t="s">
        <v>685</v>
      </c>
      <c r="U213" s="66" t="s">
        <v>685</v>
      </c>
      <c r="V213" s="66" t="s">
        <v>685</v>
      </c>
      <c r="W213" s="66" t="s">
        <v>685</v>
      </c>
      <c r="X213" s="66" t="s">
        <v>685</v>
      </c>
      <c r="Y213" s="66" t="s">
        <v>685</v>
      </c>
      <c r="Z213" s="66" t="s">
        <v>685</v>
      </c>
      <c r="AA213" s="66">
        <v>0</v>
      </c>
      <c r="AB213" s="66">
        <v>0</v>
      </c>
      <c r="AC213" s="66">
        <v>0</v>
      </c>
    </row>
    <row r="214" spans="1:29">
      <c r="A214" s="43" t="s">
        <v>553</v>
      </c>
      <c r="B214" s="43" t="s">
        <v>243</v>
      </c>
      <c r="C214" s="72">
        <v>5</v>
      </c>
      <c r="D214" s="72">
        <v>5</v>
      </c>
      <c r="E214" s="72">
        <v>5</v>
      </c>
      <c r="F214" s="72">
        <v>5</v>
      </c>
      <c r="G214" s="72">
        <v>5</v>
      </c>
      <c r="H214" s="72">
        <v>8</v>
      </c>
      <c r="I214" s="72">
        <v>8</v>
      </c>
      <c r="J214" s="72">
        <v>0</v>
      </c>
      <c r="K214" s="72">
        <v>0</v>
      </c>
      <c r="L214" s="72">
        <v>0</v>
      </c>
      <c r="M214" s="72">
        <v>0</v>
      </c>
      <c r="N214" s="73">
        <v>0</v>
      </c>
      <c r="O214" s="73">
        <v>0</v>
      </c>
      <c r="P214" s="73">
        <v>0</v>
      </c>
      <c r="Q214" s="73">
        <v>0</v>
      </c>
      <c r="R214" s="50">
        <v>0</v>
      </c>
      <c r="S214" s="50">
        <v>0</v>
      </c>
      <c r="T214" s="66" t="s">
        <v>685</v>
      </c>
      <c r="U214" s="66" t="s">
        <v>685</v>
      </c>
      <c r="V214" s="66" t="s">
        <v>685</v>
      </c>
      <c r="W214" s="66" t="s">
        <v>685</v>
      </c>
      <c r="X214" s="66" t="s">
        <v>685</v>
      </c>
      <c r="Y214" s="66" t="s">
        <v>685</v>
      </c>
      <c r="Z214" s="66" t="s">
        <v>685</v>
      </c>
      <c r="AA214" s="66">
        <v>0</v>
      </c>
      <c r="AB214" s="66">
        <v>0</v>
      </c>
      <c r="AC214" s="66">
        <v>0</v>
      </c>
    </row>
    <row r="215" spans="1:29">
      <c r="A215" s="43" t="s">
        <v>553</v>
      </c>
      <c r="B215" s="43" t="s">
        <v>95</v>
      </c>
      <c r="C215" s="73">
        <v>0.86899999999999999</v>
      </c>
      <c r="D215" s="73">
        <v>0.70400000000000007</v>
      </c>
      <c r="E215" s="73">
        <v>0.73150000000000004</v>
      </c>
      <c r="F215" s="73">
        <v>1.925</v>
      </c>
      <c r="G215" s="73">
        <v>0.48400000000000004</v>
      </c>
      <c r="H215" s="73">
        <v>0.92290000000000005</v>
      </c>
      <c r="I215" s="73">
        <v>1.0279500000000001</v>
      </c>
      <c r="J215" s="73">
        <v>1.5069999999999999</v>
      </c>
      <c r="K215" s="73">
        <v>1.69235</v>
      </c>
      <c r="L215" s="73">
        <v>0.20020000000000002</v>
      </c>
      <c r="M215" s="73">
        <v>0.44</v>
      </c>
      <c r="N215" s="73">
        <v>0.45650000000000002</v>
      </c>
      <c r="O215" s="73">
        <v>0.35749999999999998</v>
      </c>
      <c r="P215" s="73">
        <v>0.59289999999999998</v>
      </c>
      <c r="Q215" s="73">
        <v>0</v>
      </c>
      <c r="R215" s="50">
        <f>192.8*0.055</f>
        <v>10.604000000000001</v>
      </c>
      <c r="S215" s="50">
        <f>192.8*0.055</f>
        <v>10.604000000000001</v>
      </c>
      <c r="T215" s="66">
        <f>179.4*0.055</f>
        <v>9.8670000000000009</v>
      </c>
      <c r="U215" s="66">
        <f>170*0.055</f>
        <v>9.35</v>
      </c>
      <c r="V215" s="66">
        <f>158.5*0.055</f>
        <v>8.7174999999999994</v>
      </c>
      <c r="W215" s="66">
        <f>148.2*0.055</f>
        <v>8.1509999999999998</v>
      </c>
      <c r="X215" s="66">
        <f>144.1*0.055</f>
        <v>7.9254999999999995</v>
      </c>
      <c r="Y215" s="66">
        <f>139.3*0.055</f>
        <v>7.6615000000000011</v>
      </c>
      <c r="Z215" s="66">
        <f>131.4*0.055</f>
        <v>7.2270000000000003</v>
      </c>
      <c r="AA215" s="66">
        <f>125.2*0.055</f>
        <v>6.8860000000000001</v>
      </c>
      <c r="AB215" s="66">
        <f>116.25*0.055</f>
        <v>6.3937499999999998</v>
      </c>
      <c r="AC215" s="66">
        <f>112.6*0.055</f>
        <v>6.1929999999999996</v>
      </c>
    </row>
    <row r="216" spans="1:29">
      <c r="A216" s="43" t="s">
        <v>553</v>
      </c>
      <c r="B216" s="43" t="s">
        <v>825</v>
      </c>
      <c r="Q216" s="73">
        <v>0</v>
      </c>
      <c r="R216" s="50">
        <v>0</v>
      </c>
      <c r="S216" s="50">
        <v>0</v>
      </c>
      <c r="T216" s="66">
        <v>0</v>
      </c>
      <c r="U216" s="66">
        <v>0</v>
      </c>
      <c r="V216" s="66">
        <v>0</v>
      </c>
      <c r="W216" s="66">
        <v>0</v>
      </c>
      <c r="X216" s="66">
        <v>0</v>
      </c>
      <c r="Y216" s="66">
        <v>0</v>
      </c>
      <c r="Z216" s="66">
        <v>0</v>
      </c>
      <c r="AA216" s="66">
        <v>0</v>
      </c>
      <c r="AB216" s="66">
        <v>0</v>
      </c>
      <c r="AC216" s="66">
        <v>0</v>
      </c>
    </row>
    <row r="217" spans="1:29">
      <c r="A217" s="43" t="s">
        <v>553</v>
      </c>
      <c r="B217" s="43" t="s">
        <v>574</v>
      </c>
      <c r="C217" s="72">
        <v>0</v>
      </c>
      <c r="D217" s="72">
        <v>0</v>
      </c>
      <c r="E217" s="72">
        <v>1.32</v>
      </c>
      <c r="F217" s="72">
        <v>2.2799999999999998</v>
      </c>
      <c r="G217" s="72">
        <v>0.84</v>
      </c>
      <c r="H217" s="72">
        <v>2.89</v>
      </c>
      <c r="I217" s="72">
        <v>0</v>
      </c>
      <c r="J217" s="72">
        <v>6.0000000000000001E-3</v>
      </c>
      <c r="K217" s="72">
        <v>1.248</v>
      </c>
      <c r="L217" s="72">
        <v>0</v>
      </c>
      <c r="M217" s="72">
        <v>0</v>
      </c>
      <c r="N217" s="73">
        <v>0</v>
      </c>
      <c r="O217" s="73">
        <v>0</v>
      </c>
      <c r="P217" s="73">
        <v>0</v>
      </c>
      <c r="Q217" s="73">
        <v>0</v>
      </c>
      <c r="R217" s="50">
        <v>0</v>
      </c>
      <c r="S217" s="50">
        <v>0</v>
      </c>
      <c r="T217" s="66">
        <v>0</v>
      </c>
      <c r="U217" s="66">
        <v>0</v>
      </c>
      <c r="V217" s="66">
        <v>0</v>
      </c>
      <c r="W217" s="66">
        <v>0</v>
      </c>
      <c r="X217" s="66">
        <v>0</v>
      </c>
      <c r="Y217" s="66">
        <v>0</v>
      </c>
      <c r="Z217" s="66">
        <v>0</v>
      </c>
      <c r="AA217" s="66">
        <v>0</v>
      </c>
      <c r="AB217" s="66">
        <v>0</v>
      </c>
      <c r="AC217" s="66">
        <v>0</v>
      </c>
    </row>
    <row r="218" spans="1:29">
      <c r="A218" s="43" t="s">
        <v>553</v>
      </c>
      <c r="B218" s="43" t="s">
        <v>535</v>
      </c>
      <c r="C218" s="72">
        <v>1.74</v>
      </c>
      <c r="D218" s="72">
        <v>0</v>
      </c>
      <c r="E218" s="72">
        <v>0</v>
      </c>
      <c r="F218" s="72">
        <v>0</v>
      </c>
      <c r="G218" s="72">
        <v>9.4999999999999998E-3</v>
      </c>
      <c r="H218" s="72">
        <v>0.95399999999999996</v>
      </c>
      <c r="I218" s="72">
        <v>0</v>
      </c>
      <c r="J218" s="72">
        <v>8.0000000000000002E-3</v>
      </c>
      <c r="K218" s="72">
        <v>0</v>
      </c>
      <c r="L218" s="72">
        <v>0</v>
      </c>
      <c r="M218" s="72">
        <v>0</v>
      </c>
      <c r="N218" s="73">
        <v>0</v>
      </c>
      <c r="O218" s="73">
        <v>0</v>
      </c>
      <c r="P218" s="73">
        <v>0</v>
      </c>
      <c r="Q218" s="73">
        <v>0</v>
      </c>
      <c r="R218" s="50">
        <v>0</v>
      </c>
      <c r="S218" s="50">
        <v>0</v>
      </c>
      <c r="T218" s="66">
        <v>0</v>
      </c>
      <c r="U218" s="66">
        <v>0</v>
      </c>
      <c r="V218" s="66">
        <v>0</v>
      </c>
      <c r="W218" s="66">
        <v>0</v>
      </c>
      <c r="X218" s="66">
        <v>0</v>
      </c>
      <c r="Y218" s="66">
        <v>0</v>
      </c>
      <c r="Z218" s="66">
        <v>0</v>
      </c>
      <c r="AA218" s="66">
        <v>0</v>
      </c>
      <c r="AB218" s="66">
        <v>0</v>
      </c>
      <c r="AC218" s="66">
        <v>0</v>
      </c>
    </row>
    <row r="219" spans="1:29">
      <c r="A219" s="69" t="s">
        <v>508</v>
      </c>
      <c r="B219" s="69" t="s">
        <v>752</v>
      </c>
      <c r="L219" s="72">
        <v>0</v>
      </c>
      <c r="M219" s="72">
        <v>0.03</v>
      </c>
      <c r="N219" s="73">
        <v>0</v>
      </c>
      <c r="O219" s="73">
        <v>0</v>
      </c>
      <c r="P219" s="73">
        <v>0</v>
      </c>
      <c r="Q219" s="73">
        <v>0</v>
      </c>
      <c r="R219" s="50">
        <v>0</v>
      </c>
      <c r="S219" s="50">
        <v>0</v>
      </c>
      <c r="T219" s="66" t="s">
        <v>685</v>
      </c>
      <c r="U219" s="66" t="s">
        <v>685</v>
      </c>
      <c r="V219" s="66" t="s">
        <v>685</v>
      </c>
      <c r="W219" s="66" t="s">
        <v>685</v>
      </c>
      <c r="X219" s="66" t="s">
        <v>685</v>
      </c>
      <c r="Y219" s="66" t="s">
        <v>685</v>
      </c>
      <c r="Z219" s="66" t="s">
        <v>685</v>
      </c>
      <c r="AA219" s="66">
        <v>0</v>
      </c>
      <c r="AB219" s="66">
        <v>0</v>
      </c>
      <c r="AC219" s="66">
        <v>0</v>
      </c>
    </row>
    <row r="220" spans="1:29">
      <c r="A220" s="69" t="s">
        <v>508</v>
      </c>
      <c r="B220" s="69" t="s">
        <v>663</v>
      </c>
      <c r="L220" s="72">
        <v>0</v>
      </c>
      <c r="M220" s="72">
        <v>0</v>
      </c>
      <c r="N220" s="73">
        <v>0</v>
      </c>
      <c r="O220" s="73">
        <v>0</v>
      </c>
      <c r="P220" s="73">
        <v>0</v>
      </c>
      <c r="Q220" s="73">
        <v>0</v>
      </c>
      <c r="R220" s="50">
        <v>0</v>
      </c>
      <c r="S220" s="50">
        <v>0</v>
      </c>
      <c r="T220" s="66" t="s">
        <v>685</v>
      </c>
      <c r="U220" s="66" t="s">
        <v>685</v>
      </c>
      <c r="V220" s="66" t="s">
        <v>685</v>
      </c>
      <c r="W220" s="66" t="s">
        <v>685</v>
      </c>
      <c r="X220" s="66" t="s">
        <v>685</v>
      </c>
      <c r="Y220" s="66" t="s">
        <v>685</v>
      </c>
      <c r="Z220" s="66" t="s">
        <v>685</v>
      </c>
      <c r="AA220" s="66">
        <v>0</v>
      </c>
      <c r="AB220" s="66">
        <v>0</v>
      </c>
      <c r="AC220" s="66">
        <v>0</v>
      </c>
    </row>
    <row r="221" spans="1:29">
      <c r="A221" s="69" t="s">
        <v>508</v>
      </c>
      <c r="B221" s="43" t="s">
        <v>243</v>
      </c>
      <c r="L221" s="72">
        <v>0</v>
      </c>
      <c r="M221" s="72">
        <v>0</v>
      </c>
      <c r="N221" s="73">
        <v>0</v>
      </c>
      <c r="O221" s="73">
        <v>0</v>
      </c>
      <c r="P221" s="73">
        <v>0</v>
      </c>
      <c r="Q221" s="73">
        <v>0</v>
      </c>
      <c r="R221" s="50">
        <v>0</v>
      </c>
      <c r="S221" s="50">
        <v>0</v>
      </c>
      <c r="T221" s="66" t="s">
        <v>685</v>
      </c>
      <c r="U221" s="66" t="s">
        <v>685</v>
      </c>
      <c r="V221" s="66" t="s">
        <v>685</v>
      </c>
      <c r="W221" s="66" t="s">
        <v>685</v>
      </c>
      <c r="X221" s="66" t="s">
        <v>685</v>
      </c>
      <c r="Y221" s="66" t="s">
        <v>685</v>
      </c>
      <c r="Z221" s="66" t="s">
        <v>685</v>
      </c>
      <c r="AA221" s="66">
        <v>0</v>
      </c>
      <c r="AB221" s="66">
        <v>0</v>
      </c>
      <c r="AC221" s="66">
        <v>0</v>
      </c>
    </row>
    <row r="222" spans="1:29">
      <c r="A222" s="43" t="s">
        <v>508</v>
      </c>
      <c r="B222" s="43" t="s">
        <v>95</v>
      </c>
      <c r="L222" s="73">
        <v>3.3000000000000002E-2</v>
      </c>
      <c r="M222" s="73">
        <v>4.1250000000000002E-2</v>
      </c>
      <c r="N222" s="75">
        <v>4.4550000000000006E-2</v>
      </c>
      <c r="O222" s="73">
        <v>6.0500000000000005E-2</v>
      </c>
      <c r="P222" s="73">
        <v>1.6500000000000001E-2</v>
      </c>
      <c r="Q222" s="73">
        <f>0.57*0.055</f>
        <v>3.1349999999999996E-2</v>
      </c>
      <c r="R222" s="50">
        <f>0.32*0.055</f>
        <v>1.7600000000000001E-2</v>
      </c>
      <c r="S222" s="50">
        <f>(1*0.055)+(0.02*0.065)</f>
        <v>5.6300000000000003E-2</v>
      </c>
      <c r="T222" s="66">
        <f>0.75*0.055</f>
        <v>4.1250000000000002E-2</v>
      </c>
      <c r="U222" s="66">
        <f>0.367*0.055</f>
        <v>2.0184999999999998E-2</v>
      </c>
      <c r="V222" s="66">
        <f>0.0272*0.055</f>
        <v>1.4959999999999999E-3</v>
      </c>
      <c r="W222" s="66">
        <v>0</v>
      </c>
      <c r="X222" s="66">
        <v>0</v>
      </c>
      <c r="Y222" s="66">
        <v>0</v>
      </c>
      <c r="Z222" s="66">
        <v>0</v>
      </c>
      <c r="AA222" s="66">
        <v>0</v>
      </c>
      <c r="AB222" s="66">
        <v>0</v>
      </c>
      <c r="AC222" s="66">
        <v>0</v>
      </c>
    </row>
    <row r="223" spans="1:29">
      <c r="A223" s="43" t="s">
        <v>508</v>
      </c>
      <c r="B223" s="43" t="s">
        <v>825</v>
      </c>
      <c r="Q223" s="73">
        <v>0</v>
      </c>
      <c r="R223" s="50">
        <v>0</v>
      </c>
      <c r="S223" s="50">
        <v>0</v>
      </c>
      <c r="T223" s="66">
        <v>0</v>
      </c>
      <c r="U223" s="66">
        <v>0</v>
      </c>
      <c r="V223" s="66">
        <v>0</v>
      </c>
      <c r="W223" s="66">
        <v>0</v>
      </c>
      <c r="X223" s="66">
        <v>0</v>
      </c>
      <c r="Y223" s="66">
        <v>0</v>
      </c>
      <c r="Z223" s="66">
        <v>0</v>
      </c>
      <c r="AA223" s="66">
        <v>0</v>
      </c>
      <c r="AB223" s="66">
        <v>0</v>
      </c>
      <c r="AC223" s="66">
        <v>0</v>
      </c>
    </row>
    <row r="224" spans="1:29">
      <c r="A224" s="69" t="s">
        <v>508</v>
      </c>
      <c r="B224" s="43" t="s">
        <v>574</v>
      </c>
      <c r="L224" s="72">
        <v>0</v>
      </c>
      <c r="M224" s="72">
        <v>0</v>
      </c>
      <c r="N224" s="73">
        <v>0</v>
      </c>
      <c r="O224" s="73">
        <v>0</v>
      </c>
      <c r="P224" s="73">
        <v>0</v>
      </c>
      <c r="Q224" s="73">
        <v>0</v>
      </c>
      <c r="R224" s="50">
        <v>0</v>
      </c>
      <c r="S224" s="50">
        <v>0</v>
      </c>
      <c r="T224" s="66">
        <v>0</v>
      </c>
      <c r="U224" s="66">
        <v>0</v>
      </c>
      <c r="V224" s="66">
        <v>0</v>
      </c>
      <c r="W224" s="66">
        <v>0</v>
      </c>
      <c r="X224" s="66">
        <v>0</v>
      </c>
      <c r="Y224" s="66">
        <v>0</v>
      </c>
      <c r="Z224" s="66">
        <v>0</v>
      </c>
      <c r="AA224" s="66">
        <v>0</v>
      </c>
      <c r="AB224" s="66">
        <v>0</v>
      </c>
      <c r="AC224" s="66">
        <v>0</v>
      </c>
    </row>
    <row r="225" spans="1:29">
      <c r="A225" s="69" t="s">
        <v>508</v>
      </c>
      <c r="B225" s="69" t="s">
        <v>535</v>
      </c>
      <c r="L225" s="72">
        <v>0</v>
      </c>
      <c r="M225" s="72">
        <v>0</v>
      </c>
      <c r="N225" s="73">
        <v>0</v>
      </c>
      <c r="O225" s="73">
        <v>0</v>
      </c>
      <c r="P225" s="73">
        <v>0</v>
      </c>
      <c r="Q225" s="73">
        <v>0</v>
      </c>
      <c r="R225" s="50">
        <v>0</v>
      </c>
      <c r="S225" s="50">
        <v>0</v>
      </c>
      <c r="T225" s="66">
        <v>0</v>
      </c>
      <c r="U225" s="66">
        <v>0</v>
      </c>
      <c r="V225" s="66">
        <v>0</v>
      </c>
      <c r="W225" s="66">
        <v>0</v>
      </c>
      <c r="X225" s="66">
        <v>0</v>
      </c>
      <c r="Y225" s="66">
        <v>0</v>
      </c>
      <c r="Z225" s="66">
        <v>0</v>
      </c>
      <c r="AA225" s="66">
        <v>0</v>
      </c>
      <c r="AB225" s="66">
        <v>0</v>
      </c>
      <c r="AC225" s="66">
        <v>0</v>
      </c>
    </row>
    <row r="226" spans="1:29">
      <c r="A226" s="43" t="s">
        <v>756</v>
      </c>
      <c r="B226" s="43" t="s">
        <v>752</v>
      </c>
      <c r="C226" s="72">
        <v>158.54</v>
      </c>
      <c r="D226" s="72">
        <v>497.2</v>
      </c>
      <c r="E226" s="72">
        <v>92.2</v>
      </c>
      <c r="G226" s="72">
        <v>85.26</v>
      </c>
      <c r="H226" s="72">
        <v>105.94</v>
      </c>
      <c r="I226" s="72">
        <v>144.56</v>
      </c>
      <c r="J226" s="72">
        <v>137.32</v>
      </c>
      <c r="K226" s="72">
        <v>142.524</v>
      </c>
      <c r="L226" s="72">
        <v>111.502</v>
      </c>
      <c r="M226" s="72">
        <v>96.146000000000001</v>
      </c>
      <c r="N226" s="73">
        <v>55.65</v>
      </c>
      <c r="O226" s="73">
        <v>27.9</v>
      </c>
      <c r="P226" s="73">
        <v>13.94</v>
      </c>
      <c r="Q226" s="73">
        <v>6.72</v>
      </c>
      <c r="R226" s="50">
        <v>0</v>
      </c>
      <c r="S226" s="50">
        <v>0</v>
      </c>
      <c r="T226" s="66" t="s">
        <v>685</v>
      </c>
      <c r="U226" s="66" t="s">
        <v>685</v>
      </c>
      <c r="V226" s="66" t="s">
        <v>685</v>
      </c>
      <c r="W226" s="66" t="s">
        <v>685</v>
      </c>
      <c r="X226" s="66" t="s">
        <v>685</v>
      </c>
      <c r="Y226" s="66" t="s">
        <v>685</v>
      </c>
      <c r="Z226" s="66" t="s">
        <v>685</v>
      </c>
      <c r="AA226" s="66">
        <v>0</v>
      </c>
      <c r="AB226" s="66">
        <v>0</v>
      </c>
      <c r="AC226" s="66">
        <v>0</v>
      </c>
    </row>
    <row r="227" spans="1:29">
      <c r="A227" s="43" t="s">
        <v>756</v>
      </c>
      <c r="B227" s="43" t="s">
        <v>663</v>
      </c>
      <c r="C227" s="72">
        <v>0.55000000000000004</v>
      </c>
      <c r="D227" s="72">
        <v>0.22</v>
      </c>
      <c r="E227" s="72">
        <v>0</v>
      </c>
      <c r="G227" s="72">
        <v>0</v>
      </c>
      <c r="H227" s="72">
        <v>0</v>
      </c>
      <c r="I227" s="72">
        <v>0</v>
      </c>
      <c r="J227" s="72">
        <v>0</v>
      </c>
      <c r="K227" s="72">
        <v>0</v>
      </c>
      <c r="L227" s="72">
        <v>0</v>
      </c>
      <c r="M227" s="72">
        <v>0</v>
      </c>
      <c r="N227" s="73">
        <v>0</v>
      </c>
      <c r="O227" s="73">
        <v>0</v>
      </c>
      <c r="P227" s="73">
        <v>0</v>
      </c>
      <c r="Q227" s="73">
        <v>0</v>
      </c>
      <c r="R227" s="50">
        <v>0</v>
      </c>
      <c r="S227" s="50">
        <v>0</v>
      </c>
      <c r="T227" s="66" t="s">
        <v>685</v>
      </c>
      <c r="U227" s="66" t="s">
        <v>685</v>
      </c>
      <c r="V227" s="66" t="s">
        <v>685</v>
      </c>
      <c r="W227" s="66" t="s">
        <v>685</v>
      </c>
      <c r="X227" s="66" t="s">
        <v>685</v>
      </c>
      <c r="Y227" s="66" t="s">
        <v>685</v>
      </c>
      <c r="Z227" s="66" t="s">
        <v>685</v>
      </c>
      <c r="AA227" s="66">
        <v>0</v>
      </c>
      <c r="AB227" s="66">
        <v>0</v>
      </c>
      <c r="AC227" s="66">
        <v>0</v>
      </c>
    </row>
    <row r="228" spans="1:29">
      <c r="A228" s="43" t="s">
        <v>756</v>
      </c>
      <c r="B228" s="43" t="s">
        <v>243</v>
      </c>
      <c r="C228" s="72">
        <v>0</v>
      </c>
      <c r="D228" s="72">
        <v>0</v>
      </c>
      <c r="E228" s="72">
        <v>0</v>
      </c>
      <c r="G228" s="72">
        <v>0</v>
      </c>
      <c r="H228" s="72">
        <v>0</v>
      </c>
      <c r="I228" s="72">
        <v>0</v>
      </c>
      <c r="J228" s="72">
        <v>0</v>
      </c>
      <c r="K228" s="72">
        <v>0</v>
      </c>
      <c r="L228" s="72">
        <v>0</v>
      </c>
      <c r="M228" s="72">
        <v>0</v>
      </c>
      <c r="N228" s="73">
        <v>0</v>
      </c>
      <c r="O228" s="73">
        <v>0</v>
      </c>
      <c r="P228" s="73">
        <v>0</v>
      </c>
      <c r="Q228" s="73">
        <v>0</v>
      </c>
      <c r="R228" s="50">
        <v>0</v>
      </c>
      <c r="S228" s="50">
        <v>0</v>
      </c>
      <c r="T228" s="66" t="s">
        <v>685</v>
      </c>
      <c r="U228" s="66" t="s">
        <v>685</v>
      </c>
      <c r="V228" s="66" t="s">
        <v>685</v>
      </c>
      <c r="W228" s="66" t="s">
        <v>685</v>
      </c>
      <c r="X228" s="66" t="s">
        <v>685</v>
      </c>
      <c r="Y228" s="66" t="s">
        <v>685</v>
      </c>
      <c r="Z228" s="66" t="s">
        <v>685</v>
      </c>
      <c r="AA228" s="66">
        <v>0</v>
      </c>
      <c r="AB228" s="66">
        <v>0</v>
      </c>
      <c r="AC228" s="66">
        <v>0</v>
      </c>
    </row>
    <row r="229" spans="1:29">
      <c r="A229" s="43" t="s">
        <v>756</v>
      </c>
      <c r="B229" s="43" t="s">
        <v>95</v>
      </c>
      <c r="C229" s="73">
        <v>3.3165</v>
      </c>
      <c r="D229" s="73">
        <v>6.7704999999999993</v>
      </c>
      <c r="E229" s="73">
        <v>3.5012999999999996</v>
      </c>
      <c r="G229" s="73">
        <v>15.3733</v>
      </c>
      <c r="H229" s="73">
        <v>7.4634999999999998</v>
      </c>
      <c r="I229" s="73">
        <v>7.59</v>
      </c>
      <c r="J229" s="73">
        <v>7.91995</v>
      </c>
      <c r="K229" s="73">
        <v>12.372249999999999</v>
      </c>
      <c r="L229" s="73">
        <v>9.3653999999999993</v>
      </c>
      <c r="M229" s="73">
        <v>11.23654</v>
      </c>
      <c r="N229" s="73">
        <v>10.244</v>
      </c>
      <c r="O229" s="73">
        <v>13.995290000000001</v>
      </c>
      <c r="P229" s="73">
        <v>7.8993500000000001</v>
      </c>
      <c r="Q229" s="73">
        <v>11.740500000000001</v>
      </c>
      <c r="R229" s="50">
        <f>((171.77-0.82)*0.055)+(36.89*0.11)+(7.15*0.065)+(1.95*0.022)</f>
        <v>13.9678</v>
      </c>
      <c r="S229" s="50">
        <f>(338.63*0.055)+((29.56-1.13)*0.11)+(0.06*0.02)+(-0.01*0.022)</f>
        <v>21.752930000000003</v>
      </c>
      <c r="T229" s="66">
        <f>(309.53*0.055)+(48.61*0.11)+(9.36*0.065)+(0.54*0.02)+(2.31*0.022)</f>
        <v>23.041270000000001</v>
      </c>
      <c r="U229" s="66">
        <f>(-4*0.055)+(-0.01*0.065)+(-0.13*0.02)+(-0.01*0.022)</f>
        <v>-0.22347</v>
      </c>
      <c r="V229" s="66">
        <f>(178.26*0.055)+(23.15*0.11)+(2.43*0.065)+(2.91*0.02)+(0.91*0.022)+(0.9*0.025)+(0.9*0.033)</f>
        <v>12.63917</v>
      </c>
      <c r="W229" s="66">
        <f>(155.69*0.055)+(19.93*0.11)+(2.1*0.065)+(2.45*0.02)+(0.67*0.022)+(2.1*0.033)+(2.1*0.025)</f>
        <v>11.07729</v>
      </c>
      <c r="X229" s="66">
        <f>(155.4*0.055)+(20.3*0.11)+(1.5*0.065)+(0.4*0.022)</f>
        <v>10.886300000000002</v>
      </c>
      <c r="Y229" s="66">
        <f>(153.376*0.055)+(15.215*0.11)+(0.483*0.065)+(0.136*0.022)</f>
        <v>10.143717000000001</v>
      </c>
      <c r="Z229" s="66">
        <f>(138.999*0.055)+(10.88*0.11)+(0.483*0.065)+(0.136*0.022)+(-0.636*0.02)</f>
        <v>8.8634120000000003</v>
      </c>
      <c r="AA229" s="66">
        <f>(92.96*0.055)+(10.88*0.11)</f>
        <v>6.3095999999999997</v>
      </c>
      <c r="AB229" s="66">
        <f>(61.7*0.055)+(6.79*0.11)</f>
        <v>4.1403999999999996</v>
      </c>
      <c r="AC229" s="66">
        <f>(50.82*0.055)+(5.47*0.11)</f>
        <v>3.3968000000000003</v>
      </c>
    </row>
    <row r="230" spans="1:29">
      <c r="A230" s="43" t="s">
        <v>756</v>
      </c>
      <c r="B230" s="43" t="s">
        <v>825</v>
      </c>
      <c r="Q230" s="73">
        <v>0</v>
      </c>
      <c r="R230" s="50">
        <f>161.56*0.11</f>
        <v>17.771599999999999</v>
      </c>
      <c r="S230" s="50">
        <f>170*0.11</f>
        <v>18.7</v>
      </c>
      <c r="T230" s="50">
        <f>157.91*0.11</f>
        <v>17.370100000000001</v>
      </c>
      <c r="U230" s="66">
        <v>0</v>
      </c>
      <c r="V230" s="66">
        <f>(11.14-0.74)*0.11</f>
        <v>1.1440000000000001</v>
      </c>
      <c r="W230" s="66">
        <f>(10-0.94)*0.11</f>
        <v>0.99660000000000004</v>
      </c>
      <c r="X230" s="66">
        <f>11.5*0.11</f>
        <v>1.2649999999999999</v>
      </c>
      <c r="Y230" s="66">
        <f>4.486*0.11</f>
        <v>0.49345999999999995</v>
      </c>
      <c r="Z230" s="66">
        <f>3.655*0.11</f>
        <v>0.40204999999999996</v>
      </c>
      <c r="AA230" s="66">
        <f>3.31*0.11</f>
        <v>0.36410000000000003</v>
      </c>
      <c r="AB230" s="66">
        <f>0.86*0.11</f>
        <v>9.4600000000000004E-2</v>
      </c>
      <c r="AC230" s="66">
        <v>0</v>
      </c>
    </row>
    <row r="231" spans="1:29">
      <c r="A231" s="43" t="s">
        <v>756</v>
      </c>
      <c r="B231" s="43" t="s">
        <v>574</v>
      </c>
      <c r="C231" s="72">
        <v>330</v>
      </c>
      <c r="D231" s="72">
        <v>360</v>
      </c>
      <c r="E231" s="72">
        <v>507</v>
      </c>
      <c r="G231" s="72">
        <v>567.6</v>
      </c>
      <c r="H231" s="72">
        <v>510</v>
      </c>
      <c r="I231" s="72">
        <v>390</v>
      </c>
      <c r="J231" s="72">
        <v>332.82</v>
      </c>
      <c r="K231" s="72">
        <v>337.32</v>
      </c>
      <c r="L231" s="72">
        <v>288.20999999999998</v>
      </c>
      <c r="M231" s="72">
        <v>258.00599999999997</v>
      </c>
      <c r="N231" s="73">
        <v>251.25</v>
      </c>
      <c r="O231" s="73">
        <v>238.14</v>
      </c>
      <c r="P231" s="73">
        <v>212.358</v>
      </c>
      <c r="Q231" s="73">
        <v>194.1</v>
      </c>
      <c r="R231" s="50">
        <f>282.24*0.6</f>
        <v>169.34399999999999</v>
      </c>
      <c r="S231" s="50">
        <f>176.8*0.6</f>
        <v>106.08</v>
      </c>
      <c r="T231" s="66">
        <f>138.76*0.6</f>
        <v>83.255999999999986</v>
      </c>
      <c r="U231" s="66">
        <v>0</v>
      </c>
      <c r="V231" s="66">
        <v>0</v>
      </c>
      <c r="W231" s="66">
        <v>0</v>
      </c>
      <c r="X231" s="66">
        <v>0</v>
      </c>
      <c r="Y231" s="66">
        <v>0</v>
      </c>
      <c r="Z231" s="66">
        <v>0</v>
      </c>
      <c r="AA231" s="66">
        <v>0</v>
      </c>
      <c r="AB231" s="66">
        <v>0</v>
      </c>
      <c r="AC231" s="66">
        <v>0</v>
      </c>
    </row>
    <row r="232" spans="1:29">
      <c r="A232" s="43" t="s">
        <v>756</v>
      </c>
      <c r="B232" s="43" t="s">
        <v>535</v>
      </c>
      <c r="C232" s="72">
        <v>0.04</v>
      </c>
      <c r="D232" s="72">
        <v>0.01</v>
      </c>
      <c r="E232" s="72">
        <v>0</v>
      </c>
      <c r="G232" s="72">
        <v>0.01</v>
      </c>
      <c r="H232" s="72">
        <v>0</v>
      </c>
      <c r="I232" s="72">
        <v>0</v>
      </c>
      <c r="J232" s="72">
        <v>0</v>
      </c>
      <c r="K232" s="72">
        <v>0</v>
      </c>
      <c r="L232" s="72">
        <v>0</v>
      </c>
      <c r="M232" s="72">
        <v>0</v>
      </c>
      <c r="N232" s="73">
        <v>0</v>
      </c>
      <c r="O232" s="73">
        <v>0</v>
      </c>
      <c r="P232" s="73">
        <v>0</v>
      </c>
      <c r="Q232" s="73">
        <v>0</v>
      </c>
      <c r="R232" s="50">
        <v>0</v>
      </c>
      <c r="S232" s="50">
        <v>0</v>
      </c>
      <c r="T232" s="66">
        <v>0</v>
      </c>
      <c r="U232" s="66">
        <v>0</v>
      </c>
      <c r="V232" s="66">
        <v>0</v>
      </c>
      <c r="W232" s="66">
        <v>0</v>
      </c>
      <c r="X232" s="66">
        <v>0</v>
      </c>
      <c r="Y232" s="66">
        <v>0</v>
      </c>
      <c r="Z232" s="66">
        <v>0</v>
      </c>
      <c r="AA232" s="66">
        <v>0</v>
      </c>
      <c r="AB232" s="66">
        <v>0</v>
      </c>
      <c r="AC232" s="66">
        <v>0</v>
      </c>
    </row>
    <row r="233" spans="1:29">
      <c r="A233" s="43" t="s">
        <v>764</v>
      </c>
      <c r="B233" s="43" t="s">
        <v>752</v>
      </c>
      <c r="E233" s="72">
        <v>144.4</v>
      </c>
      <c r="F233" s="72">
        <v>267.774</v>
      </c>
      <c r="K233" s="72">
        <v>93.52</v>
      </c>
      <c r="L233" s="72">
        <v>93.4</v>
      </c>
      <c r="N233" s="73">
        <v>85.5</v>
      </c>
      <c r="O233" s="73">
        <v>50</v>
      </c>
      <c r="P233" s="73">
        <v>12</v>
      </c>
      <c r="Q233" s="73">
        <v>12</v>
      </c>
      <c r="R233" s="50">
        <v>0</v>
      </c>
      <c r="S233" s="50">
        <v>0</v>
      </c>
      <c r="T233" s="66">
        <v>0</v>
      </c>
      <c r="U233" s="66">
        <v>0</v>
      </c>
      <c r="V233" s="66" t="s">
        <v>685</v>
      </c>
      <c r="W233" s="66" t="s">
        <v>685</v>
      </c>
      <c r="X233" s="66" t="s">
        <v>685</v>
      </c>
      <c r="Y233" s="66" t="s">
        <v>685</v>
      </c>
      <c r="Z233" s="66" t="s">
        <v>685</v>
      </c>
      <c r="AA233" s="66">
        <v>0</v>
      </c>
      <c r="AB233" s="66">
        <v>0</v>
      </c>
      <c r="AC233" s="66">
        <v>0</v>
      </c>
    </row>
    <row r="234" spans="1:29">
      <c r="A234" s="43" t="s">
        <v>764</v>
      </c>
      <c r="B234" s="43" t="s">
        <v>663</v>
      </c>
      <c r="E234" s="72">
        <v>0</v>
      </c>
      <c r="F234" s="72">
        <v>0</v>
      </c>
      <c r="K234" s="72">
        <v>0</v>
      </c>
      <c r="L234" s="72">
        <v>0</v>
      </c>
      <c r="N234" s="73">
        <v>0</v>
      </c>
      <c r="O234" s="73">
        <v>0</v>
      </c>
      <c r="P234" s="73">
        <v>0</v>
      </c>
      <c r="Q234" s="73">
        <v>0</v>
      </c>
      <c r="R234" s="50">
        <v>0</v>
      </c>
      <c r="S234" s="50">
        <v>0</v>
      </c>
      <c r="T234" s="66">
        <v>0</v>
      </c>
      <c r="U234" s="66">
        <v>0</v>
      </c>
      <c r="V234" s="66" t="s">
        <v>685</v>
      </c>
      <c r="W234" s="66" t="s">
        <v>685</v>
      </c>
      <c r="X234" s="66" t="s">
        <v>685</v>
      </c>
      <c r="Y234" s="66" t="s">
        <v>685</v>
      </c>
      <c r="Z234" s="66" t="s">
        <v>685</v>
      </c>
      <c r="AA234" s="66">
        <v>0</v>
      </c>
      <c r="AB234" s="66">
        <v>0</v>
      </c>
      <c r="AC234" s="66">
        <v>0</v>
      </c>
    </row>
    <row r="235" spans="1:29">
      <c r="A235" s="43" t="s">
        <v>764</v>
      </c>
      <c r="B235" s="43" t="s">
        <v>243</v>
      </c>
      <c r="E235" s="72">
        <v>0</v>
      </c>
      <c r="F235" s="72">
        <v>0</v>
      </c>
      <c r="K235" s="72">
        <v>0</v>
      </c>
      <c r="L235" s="72">
        <v>0</v>
      </c>
      <c r="N235" s="73">
        <v>0</v>
      </c>
      <c r="O235" s="73">
        <v>0</v>
      </c>
      <c r="P235" s="73">
        <v>0</v>
      </c>
      <c r="Q235" s="73">
        <v>0</v>
      </c>
      <c r="R235" s="50">
        <v>0</v>
      </c>
      <c r="S235" s="50">
        <v>0</v>
      </c>
      <c r="T235" s="66">
        <v>0</v>
      </c>
      <c r="U235" s="66">
        <v>0</v>
      </c>
      <c r="V235" s="66" t="s">
        <v>685</v>
      </c>
      <c r="W235" s="66" t="s">
        <v>685</v>
      </c>
      <c r="X235" s="66" t="s">
        <v>685</v>
      </c>
      <c r="Y235" s="66" t="s">
        <v>685</v>
      </c>
      <c r="Z235" s="66" t="s">
        <v>685</v>
      </c>
      <c r="AA235" s="66">
        <v>0</v>
      </c>
      <c r="AB235" s="66">
        <v>0</v>
      </c>
      <c r="AC235" s="66">
        <v>0</v>
      </c>
    </row>
    <row r="236" spans="1:29">
      <c r="A236" s="43" t="s">
        <v>764</v>
      </c>
      <c r="B236" s="43" t="s">
        <v>95</v>
      </c>
      <c r="E236" s="73">
        <v>4.6664750000000002</v>
      </c>
      <c r="F236" s="73">
        <v>8.4113150000000001</v>
      </c>
      <c r="K236" s="73">
        <v>2.7225000000000001</v>
      </c>
      <c r="L236" s="73">
        <v>2.7225000000000001</v>
      </c>
      <c r="N236" s="73">
        <v>0</v>
      </c>
      <c r="O236" s="73">
        <v>0</v>
      </c>
      <c r="P236" s="73">
        <v>12.1</v>
      </c>
      <c r="Q236" s="73">
        <f>(1120*0.055)+(0.5*0.02)</f>
        <v>61.61</v>
      </c>
      <c r="R236" s="50">
        <f>1198.4*0.055</f>
        <v>65.912000000000006</v>
      </c>
      <c r="S236" s="50">
        <f>1078.5*0.055</f>
        <v>59.317500000000003</v>
      </c>
      <c r="T236" s="66">
        <f>932*0.055</f>
        <v>51.26</v>
      </c>
      <c r="U236" s="66">
        <f>(985.39*0.055)+(0.04*0.11)+(0.02*0.02)</f>
        <v>54.201249999999995</v>
      </c>
      <c r="V236" s="66">
        <f>(961.61*0.055)+(0.04*0.11)</f>
        <v>52.892949999999999</v>
      </c>
      <c r="W236" s="66">
        <f>932*0.055</f>
        <v>51.26</v>
      </c>
      <c r="X236" s="66">
        <f>892.32*0.055</f>
        <v>49.077600000000004</v>
      </c>
      <c r="Y236" s="66">
        <f>855*0.055</f>
        <v>47.024999999999999</v>
      </c>
      <c r="Z236" s="66">
        <f>819.03*0.055</f>
        <v>45.04665</v>
      </c>
      <c r="AA236" s="66">
        <f>752.03*0.055</f>
        <v>41.361649999999997</v>
      </c>
      <c r="AB236" s="66">
        <f>700*0.055</f>
        <v>38.5</v>
      </c>
      <c r="AC236" s="66">
        <f>651.57*0.055</f>
        <v>35.836350000000003</v>
      </c>
    </row>
    <row r="237" spans="1:29">
      <c r="A237" s="43" t="s">
        <v>764</v>
      </c>
      <c r="B237" s="43" t="s">
        <v>825</v>
      </c>
      <c r="Q237" s="73">
        <f>0.5*0.11</f>
        <v>5.5E-2</v>
      </c>
      <c r="R237" s="50">
        <v>0</v>
      </c>
      <c r="S237" s="50">
        <v>0</v>
      </c>
      <c r="T237" s="66">
        <v>0</v>
      </c>
      <c r="U237" s="66">
        <v>0</v>
      </c>
      <c r="V237" s="66">
        <v>0</v>
      </c>
      <c r="W237" s="66">
        <v>0</v>
      </c>
      <c r="X237" s="66">
        <v>0</v>
      </c>
      <c r="Y237" s="66">
        <v>0</v>
      </c>
      <c r="Z237" s="66">
        <v>0</v>
      </c>
      <c r="AA237" s="66">
        <v>0</v>
      </c>
      <c r="AB237" s="66">
        <v>0</v>
      </c>
      <c r="AC237" s="66">
        <v>0</v>
      </c>
    </row>
    <row r="238" spans="1:29">
      <c r="A238" s="43" t="s">
        <v>764</v>
      </c>
      <c r="B238" s="43" t="s">
        <v>574</v>
      </c>
      <c r="E238" s="72">
        <v>8.64</v>
      </c>
      <c r="F238" s="72">
        <v>0</v>
      </c>
      <c r="K238" s="72">
        <v>8.4600000000000009</v>
      </c>
      <c r="L238" s="72">
        <v>8.4600000000000009</v>
      </c>
      <c r="N238" s="73">
        <v>0</v>
      </c>
      <c r="O238" s="73">
        <v>0</v>
      </c>
      <c r="P238" s="73">
        <v>0</v>
      </c>
      <c r="Q238" s="73">
        <f>10*0.6</f>
        <v>6</v>
      </c>
      <c r="R238" s="50">
        <f>7*0.6</f>
        <v>4.2</v>
      </c>
      <c r="S238" s="50">
        <v>0</v>
      </c>
      <c r="T238" s="66">
        <v>0</v>
      </c>
      <c r="U238" s="66">
        <v>0</v>
      </c>
      <c r="V238" s="66">
        <v>0</v>
      </c>
      <c r="W238" s="66">
        <v>0</v>
      </c>
      <c r="X238" s="66">
        <v>0</v>
      </c>
      <c r="Y238" s="66">
        <v>0</v>
      </c>
      <c r="Z238" s="66">
        <v>0</v>
      </c>
      <c r="AA238" s="66">
        <v>0</v>
      </c>
      <c r="AB238" s="66">
        <v>0</v>
      </c>
      <c r="AC238" s="66">
        <v>0</v>
      </c>
    </row>
    <row r="239" spans="1:29">
      <c r="A239" s="43" t="s">
        <v>764</v>
      </c>
      <c r="B239" s="43" t="s">
        <v>535</v>
      </c>
      <c r="E239" s="72">
        <v>0</v>
      </c>
      <c r="F239" s="72">
        <v>0</v>
      </c>
      <c r="K239" s="72">
        <v>0</v>
      </c>
      <c r="L239" s="72">
        <v>0</v>
      </c>
      <c r="N239" s="73">
        <v>0</v>
      </c>
      <c r="O239" s="73">
        <v>0</v>
      </c>
      <c r="P239" s="73">
        <v>0</v>
      </c>
      <c r="Q239" s="73">
        <v>0</v>
      </c>
      <c r="R239" s="50">
        <v>0</v>
      </c>
      <c r="S239" s="50">
        <v>0</v>
      </c>
      <c r="T239" s="66">
        <v>0</v>
      </c>
      <c r="U239" s="66">
        <v>0</v>
      </c>
      <c r="V239" s="66">
        <v>0</v>
      </c>
      <c r="W239" s="66">
        <v>0</v>
      </c>
      <c r="X239" s="66">
        <v>0</v>
      </c>
      <c r="Y239" s="66">
        <v>0</v>
      </c>
      <c r="Z239" s="66">
        <v>0</v>
      </c>
      <c r="AA239" s="66">
        <v>0</v>
      </c>
      <c r="AB239" s="66">
        <v>0</v>
      </c>
      <c r="AC239" s="66">
        <v>0</v>
      </c>
    </row>
    <row r="240" spans="1:29">
      <c r="A240" s="43" t="s">
        <v>661</v>
      </c>
      <c r="B240" s="43" t="s">
        <v>752</v>
      </c>
      <c r="C240" s="72">
        <v>192.56</v>
      </c>
      <c r="D240" s="72">
        <v>184.1</v>
      </c>
      <c r="E240" s="72">
        <v>280.04000000000002</v>
      </c>
      <c r="F240" s="72">
        <v>85.39</v>
      </c>
      <c r="G240" s="72">
        <v>141.51</v>
      </c>
      <c r="H240" s="72">
        <v>171.24</v>
      </c>
      <c r="I240" s="72">
        <v>113.78</v>
      </c>
      <c r="J240" s="72">
        <v>140.1</v>
      </c>
      <c r="K240" s="72">
        <v>88.7</v>
      </c>
      <c r="L240" s="72">
        <v>78.162000000000006</v>
      </c>
      <c r="M240" s="72">
        <v>43.613999999999997</v>
      </c>
      <c r="N240" s="73">
        <v>-31.353999999999999</v>
      </c>
      <c r="O240" s="73">
        <v>-5</v>
      </c>
      <c r="P240" s="73">
        <v>0</v>
      </c>
      <c r="Q240" s="73">
        <v>0</v>
      </c>
      <c r="R240" s="50">
        <v>0</v>
      </c>
      <c r="S240" s="50">
        <v>0</v>
      </c>
      <c r="T240" s="66" t="s">
        <v>685</v>
      </c>
      <c r="U240" s="66" t="s">
        <v>685</v>
      </c>
      <c r="V240" s="66" t="s">
        <v>685</v>
      </c>
    </row>
    <row r="241" spans="1:29">
      <c r="A241" s="43" t="s">
        <v>661</v>
      </c>
      <c r="B241" s="43" t="s">
        <v>663</v>
      </c>
      <c r="C241" s="72">
        <v>177.1</v>
      </c>
      <c r="D241" s="72">
        <v>49.61</v>
      </c>
      <c r="E241" s="72">
        <v>75.33</v>
      </c>
      <c r="F241" s="72">
        <v>111.13</v>
      </c>
      <c r="G241" s="72">
        <v>148.55000000000001</v>
      </c>
      <c r="H241" s="72">
        <v>315.08</v>
      </c>
      <c r="I241" s="72">
        <v>125.14700000000001</v>
      </c>
      <c r="J241" s="72">
        <v>369.58</v>
      </c>
      <c r="K241" s="72">
        <v>7.8869999999999996</v>
      </c>
      <c r="L241" s="72">
        <v>0</v>
      </c>
      <c r="M241" s="72">
        <v>0.25885200000000003</v>
      </c>
      <c r="N241" s="73">
        <v>-1.034</v>
      </c>
      <c r="O241" s="73">
        <v>-0.47299999999999998</v>
      </c>
      <c r="P241" s="73">
        <v>0.20899999999999999</v>
      </c>
      <c r="Q241" s="73">
        <v>0.44</v>
      </c>
      <c r="R241" s="50">
        <f>0.12*1.1</f>
        <v>0.13200000000000001</v>
      </c>
      <c r="S241" s="50">
        <f>0.59*1.1</f>
        <v>0.64900000000000002</v>
      </c>
      <c r="T241" s="66" t="s">
        <v>685</v>
      </c>
      <c r="U241" s="66" t="s">
        <v>685</v>
      </c>
      <c r="V241" s="66" t="s">
        <v>685</v>
      </c>
    </row>
    <row r="242" spans="1:29">
      <c r="A242" s="43" t="s">
        <v>661</v>
      </c>
      <c r="B242" s="43" t="s">
        <v>243</v>
      </c>
      <c r="C242" s="72">
        <v>20</v>
      </c>
      <c r="D242" s="72">
        <v>50.3</v>
      </c>
      <c r="E242" s="72">
        <v>20</v>
      </c>
      <c r="F242" s="72">
        <v>13.3</v>
      </c>
      <c r="G242" s="72">
        <v>3</v>
      </c>
      <c r="H242" s="72">
        <v>0</v>
      </c>
      <c r="I242" s="72">
        <v>10</v>
      </c>
      <c r="J242" s="72">
        <v>26</v>
      </c>
      <c r="K242" s="72">
        <v>5</v>
      </c>
      <c r="L242" s="72">
        <v>0</v>
      </c>
      <c r="M242" s="72">
        <v>0</v>
      </c>
      <c r="N242" s="73">
        <v>0</v>
      </c>
      <c r="O242" s="73">
        <v>0</v>
      </c>
      <c r="P242" s="73">
        <v>0</v>
      </c>
      <c r="Q242" s="73">
        <v>0</v>
      </c>
      <c r="R242" s="50">
        <v>0</v>
      </c>
      <c r="S242" s="50">
        <f>(-2.5*3)+(-7.6*10)</f>
        <v>-83.5</v>
      </c>
      <c r="T242" s="66" t="s">
        <v>685</v>
      </c>
      <c r="U242" s="66" t="s">
        <v>685</v>
      </c>
      <c r="V242" s="66" t="s">
        <v>685</v>
      </c>
    </row>
    <row r="243" spans="1:29">
      <c r="A243" s="43" t="s">
        <v>661</v>
      </c>
      <c r="B243" s="43" t="s">
        <v>95</v>
      </c>
      <c r="C243" s="73">
        <v>4.4000000000000004</v>
      </c>
      <c r="D243" s="73">
        <v>4.5020000000000007</v>
      </c>
      <c r="E243" s="73">
        <v>5.2820499999999999</v>
      </c>
      <c r="F243" s="73">
        <v>3.4771000000000001</v>
      </c>
      <c r="G243" s="73">
        <v>3.6311</v>
      </c>
      <c r="H243" s="73">
        <v>6.3888000000000007</v>
      </c>
      <c r="I243" s="73">
        <v>13.14995</v>
      </c>
      <c r="J243" s="73">
        <v>4.5702999999999996</v>
      </c>
      <c r="K243" s="73">
        <v>1.9778000000000004</v>
      </c>
      <c r="L243" s="73">
        <v>7.7154000000000007</v>
      </c>
      <c r="M243" s="73">
        <v>10.2685</v>
      </c>
      <c r="N243" s="73">
        <v>-0.53625</v>
      </c>
      <c r="O243" s="73">
        <v>7.6516000000000002</v>
      </c>
      <c r="P243" s="73">
        <v>7.4990000000000006</v>
      </c>
      <c r="Q243" s="73">
        <v>4.5604500000000003</v>
      </c>
      <c r="R243" s="50">
        <f>((161.74-105.33)*0.055)+((5.07-3.23)*0.065)+(0.61*0.02)</f>
        <v>3.2343500000000009</v>
      </c>
      <c r="S243" s="50">
        <f>((187.38-113.58)*0.055)+(0.5*0.1)+((4.39-3.61)*0.065)</f>
        <v>4.1597</v>
      </c>
      <c r="T243" s="66">
        <f>((141.49-77.06)*0.055)+((2.87-1.62)*0.065)</f>
        <v>3.6249000000000002</v>
      </c>
      <c r="U243" s="66">
        <f>((15.86-45.32)*0.055)+(0.17*0.065)</f>
        <v>-1.6092500000000001</v>
      </c>
      <c r="V243" s="66">
        <v>0</v>
      </c>
    </row>
    <row r="244" spans="1:29">
      <c r="A244" s="43" t="s">
        <v>661</v>
      </c>
      <c r="B244" s="43" t="s">
        <v>825</v>
      </c>
      <c r="Q244" s="73">
        <v>0</v>
      </c>
      <c r="R244" s="50">
        <v>0</v>
      </c>
      <c r="S244" s="50">
        <v>0</v>
      </c>
      <c r="T244" s="66">
        <v>0</v>
      </c>
      <c r="U244" s="66">
        <v>0</v>
      </c>
      <c r="V244" s="66">
        <v>0</v>
      </c>
    </row>
    <row r="245" spans="1:29">
      <c r="A245" s="43" t="s">
        <v>661</v>
      </c>
      <c r="B245" s="43" t="s">
        <v>574</v>
      </c>
      <c r="C245" s="72">
        <v>17.05</v>
      </c>
      <c r="D245" s="72">
        <v>17.399999999999999</v>
      </c>
      <c r="E245" s="72">
        <v>16.82</v>
      </c>
      <c r="F245" s="72">
        <v>11.74</v>
      </c>
      <c r="G245" s="72">
        <v>16.11</v>
      </c>
      <c r="H245" s="72">
        <v>10.72</v>
      </c>
      <c r="I245" s="72">
        <v>5.4480000000000004</v>
      </c>
      <c r="J245" s="72">
        <v>-0.91</v>
      </c>
      <c r="K245" s="72">
        <v>0</v>
      </c>
      <c r="L245" s="72">
        <v>0</v>
      </c>
      <c r="M245" s="72">
        <v>0</v>
      </c>
      <c r="N245" s="73">
        <v>0</v>
      </c>
      <c r="O245" s="73">
        <v>0</v>
      </c>
      <c r="P245" s="73">
        <v>0</v>
      </c>
      <c r="Q245" s="73">
        <v>0</v>
      </c>
      <c r="R245" s="50">
        <v>0</v>
      </c>
      <c r="S245" s="50">
        <v>0</v>
      </c>
      <c r="T245" s="66">
        <v>0</v>
      </c>
      <c r="U245" s="66">
        <v>0</v>
      </c>
      <c r="V245" s="66">
        <v>0</v>
      </c>
    </row>
    <row r="246" spans="1:29">
      <c r="A246" s="43" t="s">
        <v>661</v>
      </c>
      <c r="B246" s="43" t="s">
        <v>535</v>
      </c>
      <c r="C246" s="72">
        <v>26</v>
      </c>
      <c r="D246" s="72">
        <v>10</v>
      </c>
      <c r="E246" s="72">
        <v>4.16</v>
      </c>
      <c r="F246" s="72">
        <v>4.16</v>
      </c>
      <c r="G246" s="72">
        <v>0</v>
      </c>
      <c r="H246" s="72">
        <v>0</v>
      </c>
      <c r="I246" s="72">
        <v>0</v>
      </c>
      <c r="J246" s="72">
        <v>1E-4</v>
      </c>
      <c r="K246" s="72">
        <v>0</v>
      </c>
      <c r="L246" s="72">
        <v>0</v>
      </c>
      <c r="M246" s="72">
        <v>2.5000000000000001E-4</v>
      </c>
      <c r="N246" s="73">
        <v>0</v>
      </c>
      <c r="O246" s="73">
        <v>0</v>
      </c>
      <c r="P246" s="73">
        <v>0</v>
      </c>
      <c r="Q246" s="73">
        <v>0</v>
      </c>
      <c r="R246" s="50">
        <v>0</v>
      </c>
      <c r="S246" s="50">
        <v>0</v>
      </c>
      <c r="T246" s="66">
        <v>0</v>
      </c>
      <c r="U246" s="66">
        <v>0</v>
      </c>
      <c r="V246" s="66">
        <v>0</v>
      </c>
    </row>
    <row r="247" spans="1:29">
      <c r="A247" s="43" t="s">
        <v>662</v>
      </c>
      <c r="B247" s="43" t="s">
        <v>752</v>
      </c>
      <c r="F247" s="72">
        <v>531.5</v>
      </c>
      <c r="G247" s="72">
        <v>571.41</v>
      </c>
      <c r="H247" s="72">
        <v>533.65</v>
      </c>
      <c r="I247" s="72">
        <v>504</v>
      </c>
      <c r="J247" s="72">
        <v>488.82</v>
      </c>
      <c r="K247" s="72">
        <v>481.03</v>
      </c>
      <c r="L247" s="72">
        <v>445.09</v>
      </c>
      <c r="M247" s="72">
        <v>208.56200000000001</v>
      </c>
      <c r="N247" s="73">
        <v>239.542</v>
      </c>
      <c r="O247" s="73">
        <v>83.490128000000013</v>
      </c>
      <c r="P247" s="73">
        <v>74.42</v>
      </c>
      <c r="Q247" s="73">
        <v>0</v>
      </c>
      <c r="R247" s="50">
        <v>0</v>
      </c>
      <c r="S247" s="50">
        <v>0</v>
      </c>
      <c r="T247" s="66" t="s">
        <v>685</v>
      </c>
      <c r="U247" s="66" t="s">
        <v>685</v>
      </c>
      <c r="V247" s="66" t="s">
        <v>685</v>
      </c>
      <c r="W247" s="66" t="s">
        <v>685</v>
      </c>
      <c r="X247" s="66" t="s">
        <v>685</v>
      </c>
      <c r="Y247" s="66" t="s">
        <v>685</v>
      </c>
      <c r="Z247" s="66" t="s">
        <v>685</v>
      </c>
      <c r="AA247" s="66">
        <v>0</v>
      </c>
      <c r="AB247" s="66">
        <v>0</v>
      </c>
      <c r="AC247" s="66">
        <v>0</v>
      </c>
    </row>
    <row r="248" spans="1:29">
      <c r="A248" s="43" t="s">
        <v>662</v>
      </c>
      <c r="B248" s="43" t="s">
        <v>663</v>
      </c>
      <c r="F248" s="72">
        <v>0</v>
      </c>
      <c r="G248" s="72">
        <v>6.6000000000000003E-2</v>
      </c>
      <c r="H248" s="72">
        <v>7.96</v>
      </c>
      <c r="I248" s="72">
        <v>1.32</v>
      </c>
      <c r="J248" s="72">
        <v>3.5</v>
      </c>
      <c r="K248" s="72">
        <v>0.121</v>
      </c>
      <c r="L248" s="72">
        <v>0.50600000000000001</v>
      </c>
      <c r="M248" s="72">
        <v>0</v>
      </c>
      <c r="N248" s="73">
        <v>1.1000000000000001E-2</v>
      </c>
      <c r="O248" s="73">
        <v>1.5873000000000002</v>
      </c>
      <c r="P248" s="73">
        <v>1.0999999999999999E-2</v>
      </c>
      <c r="Q248" s="73">
        <v>0</v>
      </c>
      <c r="R248" s="50">
        <v>0</v>
      </c>
      <c r="S248" s="50">
        <v>0</v>
      </c>
      <c r="T248" s="66" t="s">
        <v>685</v>
      </c>
      <c r="U248" s="66" t="s">
        <v>685</v>
      </c>
      <c r="V248" s="66" t="s">
        <v>685</v>
      </c>
      <c r="W248" s="66" t="s">
        <v>685</v>
      </c>
      <c r="X248" s="66" t="s">
        <v>685</v>
      </c>
      <c r="Y248" s="66" t="s">
        <v>685</v>
      </c>
      <c r="Z248" s="66" t="s">
        <v>685</v>
      </c>
      <c r="AA248" s="66">
        <v>0</v>
      </c>
      <c r="AB248" s="66">
        <v>0</v>
      </c>
      <c r="AC248" s="66">
        <v>0</v>
      </c>
    </row>
    <row r="249" spans="1:29">
      <c r="A249" s="43" t="s">
        <v>662</v>
      </c>
      <c r="B249" s="43" t="s">
        <v>243</v>
      </c>
      <c r="F249" s="72">
        <v>0</v>
      </c>
      <c r="G249" s="72">
        <v>0</v>
      </c>
      <c r="H249" s="72">
        <v>0</v>
      </c>
      <c r="I249" s="72">
        <v>0</v>
      </c>
      <c r="J249" s="72">
        <v>0</v>
      </c>
      <c r="K249" s="72">
        <v>0</v>
      </c>
      <c r="L249" s="72">
        <v>0</v>
      </c>
      <c r="M249" s="72">
        <v>0</v>
      </c>
      <c r="N249" s="73">
        <v>0</v>
      </c>
      <c r="O249" s="73">
        <v>0</v>
      </c>
      <c r="P249" s="73">
        <v>0</v>
      </c>
      <c r="Q249" s="73">
        <v>0</v>
      </c>
      <c r="R249" s="50">
        <v>0</v>
      </c>
      <c r="S249" s="50">
        <v>0</v>
      </c>
      <c r="T249" s="66" t="s">
        <v>685</v>
      </c>
      <c r="U249" s="66" t="s">
        <v>685</v>
      </c>
      <c r="V249" s="66" t="s">
        <v>685</v>
      </c>
      <c r="W249" s="66" t="s">
        <v>685</v>
      </c>
      <c r="X249" s="66" t="s">
        <v>685</v>
      </c>
      <c r="Y249" s="66" t="s">
        <v>685</v>
      </c>
      <c r="Z249" s="66" t="s">
        <v>685</v>
      </c>
      <c r="AA249" s="66">
        <v>0</v>
      </c>
      <c r="AB249" s="66">
        <f>0.007*3</f>
        <v>2.1000000000000001E-2</v>
      </c>
      <c r="AC249" s="66">
        <v>0</v>
      </c>
    </row>
    <row r="250" spans="1:29">
      <c r="A250" s="43" t="s">
        <v>662</v>
      </c>
      <c r="B250" s="43" t="s">
        <v>95</v>
      </c>
      <c r="F250" s="73">
        <v>9.5078499999999995</v>
      </c>
      <c r="G250" s="73">
        <v>11.650650000000001</v>
      </c>
      <c r="H250" s="73">
        <v>9.5348000000000006</v>
      </c>
      <c r="I250" s="73">
        <v>10.089500000000001</v>
      </c>
      <c r="J250" s="73">
        <v>4.5936000000000003</v>
      </c>
      <c r="K250" s="73">
        <v>3.5636000000000001</v>
      </c>
      <c r="L250" s="73">
        <v>6.7649999999999997</v>
      </c>
      <c r="M250" s="73">
        <v>16.152999999999999</v>
      </c>
      <c r="N250" s="73">
        <v>15.836150000000002</v>
      </c>
      <c r="O250" s="73">
        <v>14.4321986</v>
      </c>
      <c r="P250" s="73">
        <v>13.27718</v>
      </c>
      <c r="Q250" s="73">
        <v>11.6967</v>
      </c>
      <c r="R250" s="50">
        <f>(322.97*0.055)+(38.65*0.11)+(0.5*0.065)+(0.83*0.022)</f>
        <v>22.065610000000003</v>
      </c>
      <c r="S250" s="50">
        <f>(245*0.055)+(6.57*0.11)+(0.38*0.065)+(0.63*0.022)</f>
        <v>14.236259999999998</v>
      </c>
      <c r="T250" s="66">
        <f>(226*0.055)+(16*0.11)</f>
        <v>14.19</v>
      </c>
      <c r="U250" s="66">
        <f>(221*0.055)</f>
        <v>12.154999999999999</v>
      </c>
      <c r="V250" s="66">
        <f>239*0.055</f>
        <v>13.145</v>
      </c>
      <c r="W250" s="66">
        <f>239*0.055</f>
        <v>13.145</v>
      </c>
      <c r="X250" s="66">
        <f>229*0.055</f>
        <v>12.595000000000001</v>
      </c>
      <c r="Y250" s="66">
        <f>173*0.055</f>
        <v>9.5150000000000006</v>
      </c>
      <c r="Z250" s="66">
        <f>177*0.055</f>
        <v>9.7349999999999994</v>
      </c>
      <c r="AA250" s="66">
        <f>(113.32*0.055)+(0.13*0.065)+(0.22*0.022)</f>
        <v>6.2458899999999993</v>
      </c>
      <c r="AB250" s="66">
        <f>((23.84+0.9)*0.055)+(0.225*0.065)+(0.375*0.022)</f>
        <v>1.3835750000000002</v>
      </c>
      <c r="AC250" s="66">
        <f>14.9*0.055</f>
        <v>0.81950000000000001</v>
      </c>
    </row>
    <row r="251" spans="1:29">
      <c r="A251" s="43" t="s">
        <v>662</v>
      </c>
      <c r="B251" s="43" t="s">
        <v>825</v>
      </c>
      <c r="Q251" s="73">
        <v>0</v>
      </c>
      <c r="R251" s="50">
        <v>0</v>
      </c>
      <c r="S251" s="50">
        <v>0</v>
      </c>
      <c r="T251" s="50">
        <f>6*0.11</f>
        <v>0.66</v>
      </c>
      <c r="U251" s="50">
        <f>2*0.11</f>
        <v>0.22</v>
      </c>
      <c r="V251" s="66">
        <f>5.97*0.11</f>
        <v>0.65669999999999995</v>
      </c>
      <c r="W251" s="66">
        <f>2*0.11</f>
        <v>0.22</v>
      </c>
      <c r="X251" s="66">
        <v>0</v>
      </c>
      <c r="Y251" s="66">
        <v>0</v>
      </c>
      <c r="Z251" s="66">
        <v>0</v>
      </c>
      <c r="AA251" s="66">
        <v>0</v>
      </c>
      <c r="AB251" s="66">
        <v>0</v>
      </c>
      <c r="AC251" s="66">
        <v>0</v>
      </c>
    </row>
    <row r="252" spans="1:29">
      <c r="A252" s="43" t="s">
        <v>662</v>
      </c>
      <c r="B252" s="43" t="s">
        <v>574</v>
      </c>
      <c r="F252" s="72">
        <v>70.8</v>
      </c>
      <c r="G252" s="72">
        <v>62.11</v>
      </c>
      <c r="H252" s="72">
        <v>22.8</v>
      </c>
      <c r="I252" s="72">
        <v>17.100000000000001</v>
      </c>
      <c r="J252" s="72">
        <v>21.06</v>
      </c>
      <c r="K252" s="72">
        <v>23.72</v>
      </c>
      <c r="L252" s="72">
        <v>19.350000000000001</v>
      </c>
      <c r="M252" s="72">
        <v>15.6</v>
      </c>
      <c r="N252" s="73">
        <v>10.8</v>
      </c>
      <c r="O252" s="73">
        <v>4.8</v>
      </c>
      <c r="P252" s="73">
        <v>0</v>
      </c>
      <c r="Q252" s="73">
        <v>0</v>
      </c>
      <c r="R252" s="50">
        <v>0</v>
      </c>
      <c r="S252" s="50">
        <v>0</v>
      </c>
      <c r="T252" s="66">
        <v>0</v>
      </c>
      <c r="U252" s="66">
        <v>0</v>
      </c>
      <c r="V252" s="66">
        <v>0</v>
      </c>
      <c r="W252" s="66">
        <v>0</v>
      </c>
      <c r="X252" s="66">
        <v>0</v>
      </c>
      <c r="Y252" s="66">
        <v>0</v>
      </c>
      <c r="Z252" s="66">
        <v>0</v>
      </c>
      <c r="AA252" s="66">
        <v>0</v>
      </c>
      <c r="AB252" s="66">
        <v>0</v>
      </c>
      <c r="AC252" s="66">
        <v>0</v>
      </c>
    </row>
    <row r="253" spans="1:29">
      <c r="A253" s="43" t="s">
        <v>662</v>
      </c>
      <c r="B253" s="43" t="s">
        <v>535</v>
      </c>
      <c r="F253" s="72">
        <v>0</v>
      </c>
      <c r="G253" s="72">
        <v>1E-3</v>
      </c>
      <c r="H253" s="72">
        <v>0.02</v>
      </c>
      <c r="I253" s="72">
        <v>1.0999999999999999E-2</v>
      </c>
      <c r="J253" s="72">
        <v>4.0000000000000001E-3</v>
      </c>
      <c r="K253" s="72">
        <v>1E-3</v>
      </c>
      <c r="L253" s="72">
        <v>2E-3</v>
      </c>
      <c r="M253" s="72">
        <v>1E-3</v>
      </c>
      <c r="N253" s="73">
        <v>0</v>
      </c>
      <c r="O253" s="73">
        <v>2.0000000000000001E-4</v>
      </c>
      <c r="P253" s="73">
        <v>0</v>
      </c>
      <c r="Q253" s="73">
        <v>0</v>
      </c>
      <c r="R253" s="50">
        <v>0</v>
      </c>
      <c r="S253" s="50">
        <v>0</v>
      </c>
      <c r="T253" s="66">
        <v>0</v>
      </c>
      <c r="U253" s="66">
        <v>0</v>
      </c>
      <c r="V253" s="66">
        <v>0</v>
      </c>
      <c r="W253" s="66">
        <v>0</v>
      </c>
      <c r="X253" s="66">
        <v>0</v>
      </c>
      <c r="Y253" s="66">
        <v>0</v>
      </c>
      <c r="Z253" s="66">
        <v>0</v>
      </c>
      <c r="AA253" s="66">
        <v>0</v>
      </c>
      <c r="AB253" s="66">
        <v>0</v>
      </c>
      <c r="AC253" s="66">
        <v>0</v>
      </c>
    </row>
    <row r="254" spans="1:29">
      <c r="A254" s="67" t="s">
        <v>294</v>
      </c>
      <c r="B254" s="43" t="s">
        <v>752</v>
      </c>
      <c r="C254" s="72">
        <v>825</v>
      </c>
      <c r="D254" s="72">
        <v>267</v>
      </c>
      <c r="E254" s="72">
        <v>233</v>
      </c>
      <c r="F254" s="72">
        <v>113</v>
      </c>
      <c r="G254" s="72">
        <v>106</v>
      </c>
      <c r="H254" s="72">
        <v>77</v>
      </c>
      <c r="I254" s="72">
        <v>290.8</v>
      </c>
      <c r="J254" s="72">
        <v>299</v>
      </c>
      <c r="K254" s="72">
        <v>587.4</v>
      </c>
      <c r="L254" s="72">
        <v>0</v>
      </c>
      <c r="M254" s="72">
        <v>91.8</v>
      </c>
      <c r="N254" s="73">
        <v>24.5</v>
      </c>
      <c r="O254" s="73">
        <v>40.700000000000003</v>
      </c>
      <c r="P254" s="73">
        <v>33.5</v>
      </c>
      <c r="Q254" s="73">
        <v>27.2</v>
      </c>
      <c r="R254" s="50">
        <v>0</v>
      </c>
      <c r="S254" s="50">
        <v>0</v>
      </c>
      <c r="T254" s="66">
        <v>0</v>
      </c>
      <c r="U254" s="66" t="s">
        <v>685</v>
      </c>
      <c r="V254" s="66" t="s">
        <v>685</v>
      </c>
      <c r="W254" s="66" t="s">
        <v>685</v>
      </c>
      <c r="X254" s="66" t="s">
        <v>685</v>
      </c>
      <c r="Y254" s="66" t="s">
        <v>685</v>
      </c>
      <c r="Z254" s="66" t="s">
        <v>685</v>
      </c>
      <c r="AA254" s="66">
        <v>0</v>
      </c>
      <c r="AB254" s="66">
        <v>0</v>
      </c>
      <c r="AC254" s="66">
        <v>0</v>
      </c>
    </row>
    <row r="255" spans="1:29">
      <c r="A255" s="67" t="s">
        <v>294</v>
      </c>
      <c r="B255" s="43" t="s">
        <v>663</v>
      </c>
      <c r="C255" s="72">
        <v>0</v>
      </c>
      <c r="D255" s="72">
        <v>0</v>
      </c>
      <c r="E255" s="72">
        <v>1309</v>
      </c>
      <c r="F255" s="72">
        <v>1424.5</v>
      </c>
      <c r="G255" s="72">
        <v>1386</v>
      </c>
      <c r="H255" s="72">
        <v>1045</v>
      </c>
      <c r="I255" s="72">
        <v>2077.9</v>
      </c>
      <c r="J255" s="72">
        <v>2027.3</v>
      </c>
      <c r="K255" s="72">
        <v>1585.21</v>
      </c>
      <c r="L255" s="72">
        <v>2198.9</v>
      </c>
      <c r="M255" s="72">
        <v>191.4</v>
      </c>
      <c r="N255" s="73">
        <v>0</v>
      </c>
      <c r="O255" s="73">
        <v>0</v>
      </c>
      <c r="P255" s="73">
        <v>0</v>
      </c>
      <c r="Q255" s="73">
        <v>0</v>
      </c>
      <c r="R255" s="50">
        <v>0</v>
      </c>
      <c r="S255" s="50">
        <v>0</v>
      </c>
      <c r="T255" s="66">
        <v>0</v>
      </c>
      <c r="U255" s="66" t="s">
        <v>685</v>
      </c>
      <c r="V255" s="66" t="s">
        <v>685</v>
      </c>
      <c r="W255" s="66" t="s">
        <v>685</v>
      </c>
      <c r="X255" s="66" t="s">
        <v>685</v>
      </c>
      <c r="Y255" s="66" t="s">
        <v>685</v>
      </c>
      <c r="Z255" s="66" t="s">
        <v>685</v>
      </c>
      <c r="AA255" s="66">
        <v>0</v>
      </c>
      <c r="AB255" s="66">
        <v>0</v>
      </c>
      <c r="AC255" s="66">
        <v>0</v>
      </c>
    </row>
    <row r="256" spans="1:29" ht="12.6" customHeight="1">
      <c r="A256" s="67" t="s">
        <v>294</v>
      </c>
      <c r="B256" s="43" t="s">
        <v>243</v>
      </c>
      <c r="C256" s="72">
        <v>0</v>
      </c>
      <c r="D256" s="72">
        <v>0</v>
      </c>
      <c r="E256" s="72">
        <v>0</v>
      </c>
      <c r="F256" s="72">
        <v>0</v>
      </c>
      <c r="G256" s="72">
        <v>0</v>
      </c>
      <c r="H256" s="72">
        <v>0</v>
      </c>
      <c r="I256" s="72">
        <v>0</v>
      </c>
      <c r="J256" s="72">
        <v>0</v>
      </c>
      <c r="K256" s="72">
        <v>0</v>
      </c>
      <c r="L256" s="72">
        <v>0</v>
      </c>
      <c r="M256" s="72">
        <v>0</v>
      </c>
      <c r="N256" s="73">
        <v>0</v>
      </c>
      <c r="O256" s="73">
        <v>0</v>
      </c>
      <c r="P256" s="73">
        <v>0</v>
      </c>
      <c r="Q256" s="73">
        <v>0</v>
      </c>
      <c r="R256" s="50">
        <v>0</v>
      </c>
      <c r="S256" s="50">
        <v>0</v>
      </c>
      <c r="T256" s="66">
        <v>0</v>
      </c>
      <c r="U256" s="66" t="s">
        <v>685</v>
      </c>
      <c r="V256" s="66" t="s">
        <v>685</v>
      </c>
      <c r="W256" s="66" t="s">
        <v>685</v>
      </c>
      <c r="X256" s="66" t="s">
        <v>685</v>
      </c>
      <c r="Y256" s="66" t="s">
        <v>685</v>
      </c>
      <c r="Z256" s="66" t="s">
        <v>685</v>
      </c>
      <c r="AA256" s="66">
        <v>0</v>
      </c>
      <c r="AB256" s="66">
        <v>0</v>
      </c>
      <c r="AC256" s="66">
        <v>0</v>
      </c>
    </row>
    <row r="257" spans="1:29">
      <c r="A257" s="67" t="s">
        <v>294</v>
      </c>
      <c r="B257" s="43" t="s">
        <v>95</v>
      </c>
      <c r="C257" s="73">
        <v>0</v>
      </c>
      <c r="D257" s="73">
        <v>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85.25</v>
      </c>
      <c r="P257" s="73">
        <v>57.67</v>
      </c>
      <c r="Q257" s="73">
        <v>61.765000000000001</v>
      </c>
      <c r="R257" s="50">
        <f>((889.4+498)*0.055)+(162*0.11)</f>
        <v>94.12700000000001</v>
      </c>
      <c r="S257" s="50">
        <f>((821+480)*0.055)+(168*0.11)</f>
        <v>90.035000000000011</v>
      </c>
      <c r="T257" s="66">
        <f>((754.5+521)*0.055)+(171*0.11)</f>
        <v>88.962500000000006</v>
      </c>
      <c r="U257" s="66">
        <f>((703.7+578.85)*0.055)+(182*0.11)</f>
        <v>90.560250000000011</v>
      </c>
      <c r="V257" s="66">
        <f>((627+526)*0.055)+(145*0.11)</f>
        <v>79.364999999999995</v>
      </c>
      <c r="W257" s="66">
        <f>((585+498)*0.055)+(95*0.11)</f>
        <v>70.015000000000001</v>
      </c>
      <c r="X257" s="66">
        <f>((610+451)*0.055)+(105*0.11)</f>
        <v>69.905000000000001</v>
      </c>
      <c r="Y257" s="66">
        <f>((609+451)*0.055)+(99*0.11)</f>
        <v>69.19</v>
      </c>
      <c r="Z257" s="66">
        <f>((620+451)*0.055)+(102*0.11)</f>
        <v>70.125</v>
      </c>
      <c r="AA257" s="66">
        <f>((620+490)*0.055)+(102*0.11)</f>
        <v>72.27</v>
      </c>
      <c r="AB257" s="66">
        <f>((499+490)*0.055)+(85*0.11)</f>
        <v>63.745000000000005</v>
      </c>
      <c r="AC257" s="66">
        <f>((462+451)*0.055)+(71*0.11)</f>
        <v>58.025000000000006</v>
      </c>
    </row>
    <row r="258" spans="1:29">
      <c r="A258" s="67" t="s">
        <v>294</v>
      </c>
      <c r="B258" s="43" t="s">
        <v>825</v>
      </c>
      <c r="Q258" s="73">
        <v>0</v>
      </c>
      <c r="R258" s="50">
        <v>0</v>
      </c>
      <c r="S258" s="50">
        <v>0</v>
      </c>
      <c r="T258" s="66">
        <v>0</v>
      </c>
      <c r="U258" s="66">
        <v>0</v>
      </c>
      <c r="V258" s="66">
        <v>0</v>
      </c>
      <c r="W258" s="66">
        <v>0</v>
      </c>
      <c r="X258" s="66">
        <v>0</v>
      </c>
      <c r="Y258" s="66">
        <v>0</v>
      </c>
      <c r="Z258" s="66">
        <v>0</v>
      </c>
      <c r="AA258" s="66">
        <v>0</v>
      </c>
      <c r="AB258" s="66">
        <v>0</v>
      </c>
      <c r="AC258" s="66">
        <v>0</v>
      </c>
    </row>
    <row r="259" spans="1:29">
      <c r="A259" s="67" t="s">
        <v>294</v>
      </c>
      <c r="B259" s="43" t="s">
        <v>574</v>
      </c>
      <c r="C259" s="72">
        <v>0</v>
      </c>
      <c r="D259" s="72">
        <v>0</v>
      </c>
      <c r="E259" s="72">
        <v>0</v>
      </c>
      <c r="F259" s="72">
        <v>0</v>
      </c>
      <c r="G259" s="72">
        <v>0</v>
      </c>
      <c r="H259" s="72">
        <v>0</v>
      </c>
      <c r="I259" s="72">
        <v>0</v>
      </c>
      <c r="J259" s="72">
        <v>0</v>
      </c>
      <c r="K259" s="72">
        <v>0</v>
      </c>
      <c r="L259" s="72">
        <v>0</v>
      </c>
      <c r="M259" s="72">
        <v>0</v>
      </c>
      <c r="N259" s="73">
        <v>0</v>
      </c>
      <c r="O259" s="73">
        <v>0</v>
      </c>
      <c r="P259" s="73">
        <v>0</v>
      </c>
      <c r="Q259" s="73">
        <v>0</v>
      </c>
      <c r="R259" s="50">
        <v>0</v>
      </c>
      <c r="S259" s="50">
        <v>0</v>
      </c>
      <c r="T259" s="66">
        <v>0</v>
      </c>
      <c r="U259" s="66">
        <v>0</v>
      </c>
      <c r="V259" s="66">
        <v>0</v>
      </c>
      <c r="W259" s="66">
        <v>0</v>
      </c>
      <c r="X259" s="66">
        <v>0</v>
      </c>
      <c r="Y259" s="66">
        <v>0</v>
      </c>
      <c r="Z259" s="66">
        <v>0</v>
      </c>
      <c r="AA259" s="66">
        <v>0</v>
      </c>
      <c r="AB259" s="66">
        <v>0</v>
      </c>
      <c r="AC259" s="66">
        <v>0</v>
      </c>
    </row>
    <row r="260" spans="1:29">
      <c r="A260" s="67" t="s">
        <v>294</v>
      </c>
      <c r="B260" s="43" t="s">
        <v>535</v>
      </c>
      <c r="C260" s="72">
        <v>0</v>
      </c>
      <c r="D260" s="72">
        <v>0</v>
      </c>
      <c r="E260" s="72">
        <v>10</v>
      </c>
      <c r="F260" s="72">
        <v>9</v>
      </c>
      <c r="G260" s="72">
        <v>9</v>
      </c>
      <c r="H260" s="72">
        <v>5.0999999999999996</v>
      </c>
      <c r="I260" s="72">
        <v>7</v>
      </c>
      <c r="J260" s="72">
        <v>0</v>
      </c>
      <c r="K260" s="72">
        <v>0</v>
      </c>
      <c r="L260" s="72">
        <v>0</v>
      </c>
      <c r="M260" s="72">
        <v>0</v>
      </c>
      <c r="N260" s="73">
        <v>0</v>
      </c>
      <c r="O260" s="73">
        <v>0</v>
      </c>
      <c r="P260" s="73">
        <v>0</v>
      </c>
      <c r="Q260" s="73">
        <v>0</v>
      </c>
      <c r="R260" s="50">
        <v>0</v>
      </c>
      <c r="S260" s="50">
        <v>0</v>
      </c>
      <c r="T260" s="66">
        <v>0</v>
      </c>
      <c r="U260" s="66">
        <v>0</v>
      </c>
      <c r="V260" s="66">
        <v>0</v>
      </c>
      <c r="W260" s="66">
        <v>0</v>
      </c>
      <c r="X260" s="66">
        <v>0</v>
      </c>
      <c r="Y260" s="66">
        <v>0</v>
      </c>
      <c r="Z260" s="66">
        <v>0</v>
      </c>
      <c r="AA260" s="66">
        <v>0</v>
      </c>
      <c r="AB260" s="66">
        <v>0</v>
      </c>
      <c r="AC260" s="66">
        <v>0</v>
      </c>
    </row>
    <row r="261" spans="1:29">
      <c r="A261" s="67" t="s">
        <v>295</v>
      </c>
      <c r="B261" s="43" t="s">
        <v>752</v>
      </c>
      <c r="G261" s="72">
        <v>368.06</v>
      </c>
      <c r="H261" s="72">
        <v>386.6</v>
      </c>
      <c r="I261" s="72">
        <v>639.4</v>
      </c>
      <c r="J261" s="72">
        <v>603.4</v>
      </c>
      <c r="K261" s="72">
        <v>566.94000000000005</v>
      </c>
      <c r="L261" s="72">
        <v>329.09</v>
      </c>
      <c r="M261" s="72">
        <v>268.7</v>
      </c>
      <c r="N261" s="73">
        <v>170.7</v>
      </c>
      <c r="O261" s="73">
        <v>53.87</v>
      </c>
      <c r="P261" s="73">
        <v>11.6</v>
      </c>
      <c r="Q261" s="73">
        <v>4</v>
      </c>
      <c r="R261" s="50">
        <v>0</v>
      </c>
      <c r="S261" s="50">
        <v>0</v>
      </c>
      <c r="T261" s="66">
        <v>0</v>
      </c>
      <c r="U261" s="66">
        <v>0</v>
      </c>
      <c r="V261" s="66" t="s">
        <v>685</v>
      </c>
      <c r="W261" s="66" t="s">
        <v>685</v>
      </c>
      <c r="X261" s="66" t="s">
        <v>685</v>
      </c>
      <c r="Y261" s="66" t="s">
        <v>685</v>
      </c>
      <c r="Z261" s="66" t="s">
        <v>685</v>
      </c>
      <c r="AA261" s="66">
        <v>0</v>
      </c>
      <c r="AB261" s="66">
        <v>0</v>
      </c>
      <c r="AC261" s="66">
        <v>0</v>
      </c>
    </row>
    <row r="262" spans="1:29">
      <c r="A262" s="67" t="s">
        <v>295</v>
      </c>
      <c r="B262" s="43" t="s">
        <v>663</v>
      </c>
      <c r="G262" s="72">
        <v>7.26</v>
      </c>
      <c r="I262" s="72">
        <v>16.5</v>
      </c>
      <c r="J262" s="72">
        <v>16.5</v>
      </c>
      <c r="K262" s="72">
        <v>11</v>
      </c>
      <c r="L262" s="72">
        <v>11</v>
      </c>
      <c r="M262" s="72">
        <v>16.5</v>
      </c>
      <c r="N262" s="73">
        <v>16.5</v>
      </c>
      <c r="O262" s="73">
        <v>2.2000000000000002</v>
      </c>
      <c r="P262" s="73">
        <v>0</v>
      </c>
      <c r="Q262" s="73">
        <v>0</v>
      </c>
      <c r="R262" s="50">
        <v>0</v>
      </c>
      <c r="S262" s="50">
        <v>0</v>
      </c>
      <c r="T262" s="66">
        <v>0</v>
      </c>
      <c r="U262" s="66">
        <v>0</v>
      </c>
      <c r="V262" s="66" t="s">
        <v>685</v>
      </c>
      <c r="W262" s="66" t="s">
        <v>685</v>
      </c>
      <c r="X262" s="66" t="s">
        <v>685</v>
      </c>
      <c r="Y262" s="66" t="s">
        <v>685</v>
      </c>
      <c r="Z262" s="66" t="s">
        <v>685</v>
      </c>
      <c r="AA262" s="66">
        <v>0</v>
      </c>
      <c r="AB262" s="66">
        <v>0</v>
      </c>
      <c r="AC262" s="66">
        <v>0</v>
      </c>
    </row>
    <row r="263" spans="1:29">
      <c r="A263" s="67" t="s">
        <v>295</v>
      </c>
      <c r="B263" s="43" t="s">
        <v>243</v>
      </c>
      <c r="G263" s="72">
        <v>57.3</v>
      </c>
      <c r="H263" s="72">
        <v>48</v>
      </c>
      <c r="I263" s="72">
        <v>492</v>
      </c>
      <c r="J263" s="72">
        <v>492</v>
      </c>
      <c r="K263" s="72">
        <v>27.86</v>
      </c>
      <c r="L263" s="72">
        <v>22.86</v>
      </c>
      <c r="M263" s="72">
        <v>22.8</v>
      </c>
      <c r="N263" s="73">
        <v>6.8</v>
      </c>
      <c r="O263" s="73">
        <v>3.8</v>
      </c>
      <c r="P263" s="73">
        <v>0</v>
      </c>
      <c r="Q263" s="73">
        <v>0</v>
      </c>
      <c r="R263" s="50">
        <v>0</v>
      </c>
      <c r="S263" s="50">
        <v>0</v>
      </c>
      <c r="T263" s="66">
        <v>0</v>
      </c>
      <c r="U263" s="66">
        <v>0</v>
      </c>
      <c r="V263" s="66" t="s">
        <v>685</v>
      </c>
      <c r="W263" s="66" t="s">
        <v>685</v>
      </c>
      <c r="X263" s="66" t="s">
        <v>685</v>
      </c>
      <c r="Y263" s="66" t="s">
        <v>685</v>
      </c>
      <c r="Z263" s="66" t="s">
        <v>685</v>
      </c>
      <c r="AA263" s="66">
        <v>0</v>
      </c>
      <c r="AB263" s="66">
        <v>0</v>
      </c>
      <c r="AC263" s="66">
        <v>0</v>
      </c>
    </row>
    <row r="264" spans="1:29">
      <c r="A264" s="67" t="s">
        <v>295</v>
      </c>
      <c r="B264" s="43" t="s">
        <v>95</v>
      </c>
      <c r="G264" s="73">
        <v>0</v>
      </c>
      <c r="H264" s="73">
        <v>0.2</v>
      </c>
      <c r="I264" s="73">
        <v>0.2</v>
      </c>
      <c r="J264" s="73">
        <v>0.2</v>
      </c>
      <c r="K264" s="73">
        <v>0</v>
      </c>
      <c r="L264" s="73">
        <v>0</v>
      </c>
      <c r="M264" s="73">
        <v>0</v>
      </c>
      <c r="N264" s="73">
        <v>6.6</v>
      </c>
      <c r="O264" s="73">
        <v>3.85</v>
      </c>
      <c r="P264" s="73">
        <v>7.9749999999999996</v>
      </c>
      <c r="Q264" s="73">
        <v>0</v>
      </c>
      <c r="R264" s="50">
        <f>(845*0.055)+(200*0.11)+(125*0.065)</f>
        <v>76.599999999999994</v>
      </c>
      <c r="S264" s="50">
        <f>1035*0.055</f>
        <v>56.924999999999997</v>
      </c>
      <c r="T264" s="66">
        <f>870*0.055</f>
        <v>47.85</v>
      </c>
      <c r="U264" s="66">
        <f>653.52*0.055</f>
        <v>35.943599999999996</v>
      </c>
      <c r="V264" s="66">
        <f>300*0.055</f>
        <v>16.5</v>
      </c>
      <c r="W264" s="66">
        <f>280*0.055</f>
        <v>15.4</v>
      </c>
      <c r="X264" s="66">
        <f>170*0.055</f>
        <v>9.35</v>
      </c>
      <c r="Y264" s="66">
        <f>110*0.055</f>
        <v>6.05</v>
      </c>
      <c r="Z264" s="66">
        <f>111*0.055</f>
        <v>6.1050000000000004</v>
      </c>
      <c r="AA264" s="66">
        <f>85*0.055</f>
        <v>4.6749999999999998</v>
      </c>
      <c r="AB264" s="66">
        <f>38*0.055</f>
        <v>2.09</v>
      </c>
      <c r="AC264" s="66">
        <f>22.1*0.055</f>
        <v>1.2155</v>
      </c>
    </row>
    <row r="265" spans="1:29">
      <c r="A265" s="67" t="s">
        <v>295</v>
      </c>
      <c r="B265" s="43" t="s">
        <v>825</v>
      </c>
      <c r="Q265" s="73">
        <v>0</v>
      </c>
      <c r="R265" s="50">
        <v>0</v>
      </c>
      <c r="S265" s="50">
        <v>0</v>
      </c>
      <c r="T265" s="66">
        <v>0</v>
      </c>
      <c r="U265" s="66">
        <v>0</v>
      </c>
      <c r="V265" s="66">
        <v>0</v>
      </c>
      <c r="W265" s="66">
        <v>0</v>
      </c>
      <c r="X265" s="66">
        <v>0</v>
      </c>
      <c r="Y265" s="66">
        <v>0</v>
      </c>
      <c r="Z265" s="66">
        <v>0</v>
      </c>
      <c r="AA265" s="66">
        <v>0</v>
      </c>
      <c r="AB265" s="66">
        <v>0</v>
      </c>
      <c r="AC265" s="66">
        <v>0</v>
      </c>
    </row>
    <row r="266" spans="1:29">
      <c r="A266" s="67" t="s">
        <v>295</v>
      </c>
      <c r="B266" s="43" t="s">
        <v>574</v>
      </c>
      <c r="G266" s="72">
        <v>1.2</v>
      </c>
      <c r="I266" s="72">
        <v>1.2</v>
      </c>
      <c r="J266" s="72">
        <v>1.32</v>
      </c>
      <c r="K266" s="72">
        <v>1.2</v>
      </c>
      <c r="L266" s="72">
        <v>0.9</v>
      </c>
      <c r="M266" s="72">
        <v>0.6</v>
      </c>
      <c r="N266" s="73">
        <v>0.12</v>
      </c>
      <c r="O266" s="73">
        <v>0</v>
      </c>
      <c r="P266" s="73">
        <v>0</v>
      </c>
      <c r="Q266" s="73">
        <v>0</v>
      </c>
      <c r="R266" s="50">
        <v>0</v>
      </c>
      <c r="S266" s="50">
        <v>0</v>
      </c>
      <c r="T266" s="66">
        <v>0</v>
      </c>
      <c r="U266" s="66">
        <v>0</v>
      </c>
      <c r="V266" s="66">
        <v>0</v>
      </c>
      <c r="W266" s="66">
        <v>0</v>
      </c>
      <c r="X266" s="66">
        <v>0</v>
      </c>
      <c r="Y266" s="66">
        <v>0</v>
      </c>
      <c r="Z266" s="66">
        <v>0</v>
      </c>
      <c r="AA266" s="66">
        <v>0</v>
      </c>
      <c r="AB266" s="66">
        <v>0</v>
      </c>
      <c r="AC266" s="66">
        <v>0</v>
      </c>
    </row>
    <row r="267" spans="1:29">
      <c r="A267" s="67" t="s">
        <v>295</v>
      </c>
      <c r="B267" s="43" t="s">
        <v>535</v>
      </c>
      <c r="G267" s="72">
        <v>1.33</v>
      </c>
      <c r="I267" s="72">
        <v>1.3</v>
      </c>
      <c r="J267" s="72">
        <v>1.3</v>
      </c>
      <c r="K267" s="72">
        <v>0.6</v>
      </c>
      <c r="L267" s="72">
        <v>0.4</v>
      </c>
      <c r="M267" s="72">
        <v>4</v>
      </c>
      <c r="N267" s="73">
        <v>4</v>
      </c>
      <c r="O267" s="73">
        <v>3.29</v>
      </c>
      <c r="P267" s="73">
        <v>1</v>
      </c>
      <c r="Q267" s="73">
        <v>0</v>
      </c>
      <c r="R267" s="50">
        <v>0</v>
      </c>
      <c r="S267" s="50">
        <v>0</v>
      </c>
      <c r="T267" s="66">
        <v>0</v>
      </c>
      <c r="U267" s="66">
        <v>0</v>
      </c>
      <c r="V267" s="66">
        <v>0</v>
      </c>
      <c r="W267" s="66">
        <v>0</v>
      </c>
      <c r="X267" s="66">
        <v>0</v>
      </c>
      <c r="Y267" s="66">
        <v>0</v>
      </c>
      <c r="Z267" s="66">
        <v>0</v>
      </c>
      <c r="AA267" s="66">
        <v>0</v>
      </c>
      <c r="AB267" s="66">
        <v>0</v>
      </c>
      <c r="AC267" s="66">
        <v>0</v>
      </c>
    </row>
    <row r="268" spans="1:29">
      <c r="A268" s="67" t="s">
        <v>162</v>
      </c>
      <c r="B268" s="67" t="s">
        <v>752</v>
      </c>
      <c r="K268" s="72">
        <v>12.12</v>
      </c>
      <c r="M268" s="72">
        <v>12.12</v>
      </c>
      <c r="N268" s="73">
        <v>3.1259999999999999</v>
      </c>
      <c r="O268" s="73">
        <v>2.2160000000000002</v>
      </c>
      <c r="P268" s="73">
        <v>0.94</v>
      </c>
      <c r="Q268" s="73">
        <v>0.57999999999999996</v>
      </c>
      <c r="R268" s="50">
        <v>0</v>
      </c>
      <c r="S268" s="50">
        <v>0</v>
      </c>
      <c r="T268" s="66" t="s">
        <v>685</v>
      </c>
      <c r="U268" s="66" t="s">
        <v>685</v>
      </c>
      <c r="V268" s="66" t="s">
        <v>685</v>
      </c>
      <c r="W268" s="66" t="s">
        <v>685</v>
      </c>
      <c r="X268" s="66" t="s">
        <v>685</v>
      </c>
      <c r="Y268" s="66" t="s">
        <v>685</v>
      </c>
      <c r="Z268" s="66" t="s">
        <v>685</v>
      </c>
      <c r="AA268" s="66">
        <v>0</v>
      </c>
      <c r="AB268" s="66">
        <v>0</v>
      </c>
      <c r="AC268" s="66">
        <v>0</v>
      </c>
    </row>
    <row r="269" spans="1:29">
      <c r="A269" s="67" t="s">
        <v>162</v>
      </c>
      <c r="B269" s="67" t="s">
        <v>663</v>
      </c>
      <c r="K269" s="72">
        <v>0</v>
      </c>
      <c r="M269" s="72">
        <v>0</v>
      </c>
      <c r="N269" s="73">
        <v>0</v>
      </c>
      <c r="O269" s="73">
        <v>0</v>
      </c>
      <c r="P269" s="73">
        <v>0</v>
      </c>
      <c r="Q269" s="73">
        <v>0</v>
      </c>
      <c r="R269" s="50">
        <v>0</v>
      </c>
      <c r="S269" s="50">
        <v>0</v>
      </c>
      <c r="T269" s="66" t="s">
        <v>685</v>
      </c>
      <c r="U269" s="66" t="s">
        <v>685</v>
      </c>
      <c r="V269" s="66" t="s">
        <v>685</v>
      </c>
      <c r="W269" s="66" t="s">
        <v>685</v>
      </c>
      <c r="X269" s="66" t="s">
        <v>685</v>
      </c>
      <c r="Y269" s="66" t="s">
        <v>685</v>
      </c>
      <c r="Z269" s="66" t="s">
        <v>685</v>
      </c>
      <c r="AA269" s="66">
        <v>0</v>
      </c>
      <c r="AB269" s="66">
        <v>0</v>
      </c>
      <c r="AC269" s="66">
        <v>0</v>
      </c>
    </row>
    <row r="270" spans="1:29">
      <c r="A270" s="67" t="s">
        <v>162</v>
      </c>
      <c r="B270" s="43" t="s">
        <v>243</v>
      </c>
      <c r="K270" s="72">
        <v>0</v>
      </c>
      <c r="M270" s="72">
        <v>0</v>
      </c>
      <c r="N270" s="73">
        <v>0</v>
      </c>
      <c r="O270" s="73">
        <v>0</v>
      </c>
      <c r="P270" s="73">
        <v>0</v>
      </c>
      <c r="Q270" s="73">
        <v>0</v>
      </c>
      <c r="R270" s="50">
        <v>0</v>
      </c>
      <c r="S270" s="50">
        <v>0</v>
      </c>
      <c r="T270" s="66" t="s">
        <v>685</v>
      </c>
      <c r="U270" s="66" t="s">
        <v>685</v>
      </c>
      <c r="V270" s="66" t="s">
        <v>685</v>
      </c>
      <c r="W270" s="66" t="s">
        <v>685</v>
      </c>
      <c r="X270" s="66" t="s">
        <v>685</v>
      </c>
      <c r="Y270" s="66" t="s">
        <v>685</v>
      </c>
      <c r="Z270" s="66" t="s">
        <v>685</v>
      </c>
      <c r="AA270" s="66">
        <v>0</v>
      </c>
      <c r="AB270" s="66">
        <v>0</v>
      </c>
      <c r="AC270" s="66">
        <v>0</v>
      </c>
    </row>
    <row r="271" spans="1:29">
      <c r="A271" s="67" t="s">
        <v>162</v>
      </c>
      <c r="B271" s="43" t="s">
        <v>95</v>
      </c>
      <c r="K271" s="73">
        <v>0</v>
      </c>
      <c r="M271" s="73">
        <v>0</v>
      </c>
      <c r="N271" s="73">
        <v>0</v>
      </c>
      <c r="O271" s="73">
        <v>0</v>
      </c>
      <c r="P271" s="73">
        <v>0.59179999999999999</v>
      </c>
      <c r="Q271" s="73">
        <f>11.5*0.055</f>
        <v>0.63249999999999995</v>
      </c>
      <c r="R271" s="50">
        <f>11.96*0.055</f>
        <v>0.65780000000000005</v>
      </c>
      <c r="S271" s="50">
        <f>11.94*0.055</f>
        <v>0.65669999999999995</v>
      </c>
      <c r="T271" s="66">
        <f>11.7*0.055</f>
        <v>0.64349999999999996</v>
      </c>
      <c r="U271" s="66">
        <f>11.2*0.055</f>
        <v>0.61599999999999999</v>
      </c>
      <c r="V271" s="66">
        <f>10.4*0.055</f>
        <v>0.57200000000000006</v>
      </c>
      <c r="W271" s="66">
        <f>10.11*0.055</f>
        <v>0.55604999999999993</v>
      </c>
      <c r="X271" s="66">
        <f>9.87*0.055</f>
        <v>0.54284999999999994</v>
      </c>
      <c r="Y271" s="66">
        <f>9.3*0.055</f>
        <v>0.51150000000000007</v>
      </c>
      <c r="Z271" s="66">
        <f>8.7*0.055</f>
        <v>0.47849999999999998</v>
      </c>
      <c r="AA271" s="66">
        <f>8.1*0.055</f>
        <v>0.44550000000000001</v>
      </c>
      <c r="AB271" s="66">
        <f>6.9*0.055</f>
        <v>0.3795</v>
      </c>
      <c r="AC271" s="66">
        <f>6.1*0.055</f>
        <v>0.33549999999999996</v>
      </c>
    </row>
    <row r="272" spans="1:29">
      <c r="A272" s="67" t="s">
        <v>162</v>
      </c>
      <c r="B272" s="43" t="s">
        <v>825</v>
      </c>
      <c r="Q272" s="73">
        <v>0</v>
      </c>
      <c r="R272" s="50">
        <v>0</v>
      </c>
      <c r="S272" s="50">
        <v>0</v>
      </c>
      <c r="T272" s="66">
        <v>0</v>
      </c>
      <c r="U272" s="66">
        <v>0</v>
      </c>
      <c r="V272" s="66">
        <v>0</v>
      </c>
      <c r="W272" s="66">
        <v>0</v>
      </c>
      <c r="X272" s="66">
        <v>0</v>
      </c>
      <c r="Y272" s="66">
        <v>0</v>
      </c>
      <c r="Z272" s="66">
        <v>0</v>
      </c>
      <c r="AA272" s="66">
        <v>0</v>
      </c>
      <c r="AB272" s="66">
        <v>0</v>
      </c>
      <c r="AC272" s="66">
        <v>0</v>
      </c>
    </row>
    <row r="273" spans="1:30">
      <c r="A273" s="67" t="s">
        <v>162</v>
      </c>
      <c r="B273" s="43" t="s">
        <v>574</v>
      </c>
      <c r="K273" s="72">
        <v>0</v>
      </c>
      <c r="M273" s="72">
        <v>0</v>
      </c>
      <c r="N273" s="73">
        <v>0</v>
      </c>
      <c r="O273" s="73">
        <v>0</v>
      </c>
      <c r="P273" s="73">
        <v>0</v>
      </c>
      <c r="Q273" s="73">
        <v>0</v>
      </c>
      <c r="R273" s="50">
        <v>0</v>
      </c>
      <c r="S273" s="50">
        <v>0</v>
      </c>
      <c r="T273" s="66">
        <v>0</v>
      </c>
      <c r="U273" s="66">
        <v>0</v>
      </c>
      <c r="V273" s="66">
        <v>0</v>
      </c>
      <c r="W273" s="66">
        <v>0</v>
      </c>
      <c r="X273" s="66">
        <v>0</v>
      </c>
      <c r="Y273" s="66">
        <v>0</v>
      </c>
      <c r="Z273" s="66">
        <v>0</v>
      </c>
      <c r="AA273" s="66">
        <v>0</v>
      </c>
      <c r="AB273" s="66">
        <v>0</v>
      </c>
      <c r="AC273" s="66">
        <v>0</v>
      </c>
    </row>
    <row r="274" spans="1:30">
      <c r="A274" s="67" t="s">
        <v>162</v>
      </c>
      <c r="B274" s="67" t="s">
        <v>535</v>
      </c>
      <c r="K274" s="72">
        <v>0</v>
      </c>
      <c r="M274" s="72">
        <v>0</v>
      </c>
      <c r="N274" s="73">
        <v>0</v>
      </c>
      <c r="O274" s="73">
        <v>0</v>
      </c>
      <c r="P274" s="73">
        <v>0</v>
      </c>
      <c r="Q274" s="73">
        <v>0</v>
      </c>
      <c r="R274" s="50">
        <v>0</v>
      </c>
      <c r="S274" s="50">
        <v>0</v>
      </c>
      <c r="T274" s="66">
        <v>0</v>
      </c>
      <c r="U274" s="66">
        <v>0</v>
      </c>
      <c r="V274" s="66">
        <v>0</v>
      </c>
      <c r="W274" s="66">
        <v>0</v>
      </c>
      <c r="X274" s="66">
        <v>0</v>
      </c>
      <c r="Y274" s="66">
        <v>0</v>
      </c>
      <c r="Z274" s="66">
        <v>0</v>
      </c>
      <c r="AA274" s="66">
        <v>0</v>
      </c>
      <c r="AB274" s="66">
        <v>0</v>
      </c>
      <c r="AC274" s="66">
        <v>0</v>
      </c>
    </row>
    <row r="275" spans="1:30">
      <c r="A275" s="43" t="s">
        <v>163</v>
      </c>
      <c r="B275" s="43" t="s">
        <v>752</v>
      </c>
      <c r="C275" s="72">
        <v>0.84199999999999997</v>
      </c>
      <c r="D275" s="72">
        <v>0.95799999999999996</v>
      </c>
      <c r="E275" s="72">
        <v>1.6579999999999999</v>
      </c>
      <c r="F275" s="72">
        <v>1.3140000000000001</v>
      </c>
      <c r="G275" s="72">
        <v>1.254</v>
      </c>
      <c r="H275" s="72">
        <v>2.0859999999999999</v>
      </c>
      <c r="I275" s="72">
        <v>1.56</v>
      </c>
      <c r="J275" s="72">
        <v>2.9660000000000002</v>
      </c>
      <c r="K275" s="72">
        <v>1.4379999999999999</v>
      </c>
      <c r="L275" s="72">
        <v>1.038</v>
      </c>
      <c r="M275" s="72">
        <v>1.3879999999999999</v>
      </c>
      <c r="N275" s="73">
        <v>0.45</v>
      </c>
      <c r="O275" s="73">
        <v>0</v>
      </c>
      <c r="P275" s="73">
        <v>0</v>
      </c>
      <c r="Q275" s="73">
        <v>0</v>
      </c>
      <c r="R275" s="50">
        <v>0</v>
      </c>
      <c r="S275" s="50">
        <v>0</v>
      </c>
      <c r="T275" s="66" t="s">
        <v>685</v>
      </c>
      <c r="U275" s="66" t="s">
        <v>685</v>
      </c>
      <c r="V275" s="66" t="s">
        <v>685</v>
      </c>
      <c r="W275" s="66" t="s">
        <v>685</v>
      </c>
      <c r="X275" s="66" t="s">
        <v>685</v>
      </c>
      <c r="Y275" s="66" t="s">
        <v>685</v>
      </c>
      <c r="Z275" s="66" t="s">
        <v>685</v>
      </c>
      <c r="AA275" s="66">
        <v>0</v>
      </c>
      <c r="AB275" s="66">
        <v>0</v>
      </c>
      <c r="AC275" s="66">
        <v>0</v>
      </c>
    </row>
    <row r="276" spans="1:30">
      <c r="A276" s="43" t="s">
        <v>163</v>
      </c>
      <c r="B276" s="43" t="s">
        <v>663</v>
      </c>
      <c r="C276" s="72">
        <v>0</v>
      </c>
      <c r="D276" s="72">
        <v>0</v>
      </c>
      <c r="E276" s="72">
        <v>0</v>
      </c>
      <c r="F276" s="72">
        <v>0</v>
      </c>
      <c r="G276" s="72">
        <v>0</v>
      </c>
      <c r="H276" s="72">
        <v>0</v>
      </c>
      <c r="I276" s="72">
        <v>0</v>
      </c>
      <c r="J276" s="72">
        <v>0</v>
      </c>
      <c r="K276" s="72">
        <v>0</v>
      </c>
      <c r="L276" s="72">
        <v>0</v>
      </c>
      <c r="M276" s="72">
        <v>0</v>
      </c>
      <c r="N276" s="73">
        <v>0</v>
      </c>
      <c r="O276" s="73">
        <v>0</v>
      </c>
      <c r="P276" s="73">
        <v>0</v>
      </c>
      <c r="Q276" s="73">
        <v>0</v>
      </c>
      <c r="R276" s="50">
        <v>0</v>
      </c>
      <c r="S276" s="50">
        <v>0</v>
      </c>
      <c r="T276" s="66" t="s">
        <v>685</v>
      </c>
      <c r="U276" s="66" t="s">
        <v>685</v>
      </c>
      <c r="V276" s="66" t="s">
        <v>685</v>
      </c>
      <c r="W276" s="66" t="s">
        <v>685</v>
      </c>
      <c r="X276" s="66" t="s">
        <v>685</v>
      </c>
      <c r="Y276" s="66" t="s">
        <v>685</v>
      </c>
      <c r="Z276" s="66" t="s">
        <v>685</v>
      </c>
      <c r="AA276" s="66">
        <v>0</v>
      </c>
      <c r="AB276" s="66">
        <v>0</v>
      </c>
      <c r="AC276" s="66">
        <v>0</v>
      </c>
    </row>
    <row r="277" spans="1:30">
      <c r="A277" s="43" t="s">
        <v>163</v>
      </c>
      <c r="B277" s="43" t="s">
        <v>243</v>
      </c>
      <c r="C277" s="72">
        <v>0</v>
      </c>
      <c r="D277" s="72">
        <v>0</v>
      </c>
      <c r="E277" s="72">
        <v>0</v>
      </c>
      <c r="F277" s="72">
        <v>0</v>
      </c>
      <c r="G277" s="72">
        <v>0</v>
      </c>
      <c r="H277" s="72">
        <v>0</v>
      </c>
      <c r="I277" s="72">
        <v>0</v>
      </c>
      <c r="J277" s="72">
        <v>0</v>
      </c>
      <c r="K277" s="72">
        <v>0</v>
      </c>
      <c r="L277" s="72">
        <v>0</v>
      </c>
      <c r="M277" s="72">
        <v>0</v>
      </c>
      <c r="N277" s="73">
        <v>0</v>
      </c>
      <c r="O277" s="73">
        <v>0</v>
      </c>
      <c r="P277" s="73">
        <v>0</v>
      </c>
      <c r="Q277" s="73">
        <v>0</v>
      </c>
      <c r="R277" s="50">
        <v>0</v>
      </c>
      <c r="S277" s="50">
        <v>0</v>
      </c>
      <c r="T277" s="66" t="s">
        <v>685</v>
      </c>
      <c r="U277" s="66" t="s">
        <v>685</v>
      </c>
      <c r="V277" s="66" t="s">
        <v>685</v>
      </c>
      <c r="W277" s="66" t="s">
        <v>685</v>
      </c>
      <c r="X277" s="66" t="s">
        <v>685</v>
      </c>
      <c r="Y277" s="66" t="s">
        <v>685</v>
      </c>
      <c r="Z277" s="66" t="s">
        <v>685</v>
      </c>
      <c r="AA277" s="66">
        <v>0</v>
      </c>
      <c r="AB277" s="66">
        <v>0</v>
      </c>
      <c r="AC277" s="66">
        <v>0</v>
      </c>
    </row>
    <row r="278" spans="1:30">
      <c r="A278" s="43" t="s">
        <v>163</v>
      </c>
      <c r="B278" s="43" t="s">
        <v>95</v>
      </c>
      <c r="C278" s="73">
        <v>8.5250000000000006E-2</v>
      </c>
      <c r="D278" s="73">
        <v>0.11</v>
      </c>
      <c r="E278" s="73">
        <v>0.14410000000000001</v>
      </c>
      <c r="F278" s="73">
        <v>0.13145000000000001</v>
      </c>
      <c r="G278" s="73">
        <v>0.12485</v>
      </c>
      <c r="H278" s="73">
        <v>0.1628</v>
      </c>
      <c r="I278" s="73">
        <v>0</v>
      </c>
      <c r="J278" s="73">
        <v>0.1188</v>
      </c>
      <c r="K278" s="73">
        <v>0.11660000000000001</v>
      </c>
      <c r="L278" s="73">
        <v>0.11660000000000001</v>
      </c>
      <c r="M278" s="73">
        <v>0.51260000000000006</v>
      </c>
      <c r="N278" s="73">
        <v>0.1474</v>
      </c>
      <c r="O278" s="50">
        <v>2.6949999999999998E-2</v>
      </c>
      <c r="P278" s="50">
        <v>2.64E-2</v>
      </c>
      <c r="Q278" s="73">
        <v>7.4800000000000005E-2</v>
      </c>
      <c r="R278" s="50">
        <f>7.02*0.055</f>
        <v>0.3861</v>
      </c>
      <c r="S278" s="50">
        <f>2.89*0.055</f>
        <v>0.15895000000000001</v>
      </c>
      <c r="T278" s="66">
        <f>0.25*0.055</f>
        <v>1.375E-2</v>
      </c>
      <c r="U278" s="66">
        <f>1.619325*0.055</f>
        <v>8.9062875E-2</v>
      </c>
      <c r="V278" s="66">
        <f>3.01*0.055</f>
        <v>0.16555</v>
      </c>
      <c r="W278" s="66">
        <f>2.45*0.055</f>
        <v>0.13475000000000001</v>
      </c>
      <c r="X278" s="66">
        <f>2.45*0.055</f>
        <v>0.13475000000000001</v>
      </c>
      <c r="Y278" s="66">
        <f>2.31*0.055</f>
        <v>0.12705</v>
      </c>
      <c r="Z278" s="66">
        <f>2.99*0.055</f>
        <v>0.16445000000000001</v>
      </c>
      <c r="AA278" s="66">
        <f>0.6804*0.055</f>
        <v>3.7422000000000004E-2</v>
      </c>
      <c r="AB278" s="66">
        <f>0.2721554*0.055</f>
        <v>1.4968547E-2</v>
      </c>
      <c r="AC278" s="66">
        <f>1.25*0.055</f>
        <v>6.8750000000000006E-2</v>
      </c>
    </row>
    <row r="279" spans="1:30">
      <c r="A279" s="43" t="s">
        <v>163</v>
      </c>
      <c r="B279" s="43" t="s">
        <v>825</v>
      </c>
      <c r="Q279" s="73">
        <v>0</v>
      </c>
      <c r="R279" s="50">
        <v>0</v>
      </c>
      <c r="S279" s="50">
        <v>0</v>
      </c>
      <c r="T279" s="66">
        <v>0</v>
      </c>
      <c r="U279" s="66">
        <v>0</v>
      </c>
      <c r="V279" s="66">
        <v>0</v>
      </c>
      <c r="W279" s="66">
        <v>0</v>
      </c>
      <c r="X279" s="66">
        <v>0</v>
      </c>
      <c r="Y279" s="66">
        <v>0</v>
      </c>
      <c r="Z279" s="66">
        <v>0</v>
      </c>
      <c r="AA279" s="66">
        <v>0</v>
      </c>
      <c r="AB279" s="66">
        <v>0</v>
      </c>
      <c r="AC279" s="66">
        <v>0</v>
      </c>
    </row>
    <row r="280" spans="1:30">
      <c r="A280" s="43" t="s">
        <v>163</v>
      </c>
      <c r="B280" s="43" t="s">
        <v>574</v>
      </c>
      <c r="C280" s="72">
        <v>0</v>
      </c>
      <c r="D280" s="72">
        <v>0</v>
      </c>
      <c r="E280" s="72">
        <v>0</v>
      </c>
      <c r="F280" s="72">
        <v>0</v>
      </c>
      <c r="G280" s="72">
        <v>0</v>
      </c>
      <c r="H280" s="72">
        <v>0</v>
      </c>
      <c r="I280" s="72">
        <v>0</v>
      </c>
      <c r="J280" s="72">
        <v>0</v>
      </c>
      <c r="K280" s="72">
        <v>0</v>
      </c>
      <c r="L280" s="72">
        <v>0</v>
      </c>
      <c r="M280" s="72">
        <v>0</v>
      </c>
      <c r="N280" s="73">
        <v>0</v>
      </c>
      <c r="O280" s="73">
        <v>0</v>
      </c>
      <c r="P280" s="73">
        <v>0</v>
      </c>
      <c r="Q280" s="73">
        <v>0</v>
      </c>
      <c r="R280" s="50">
        <v>0</v>
      </c>
      <c r="S280" s="50">
        <v>0</v>
      </c>
      <c r="T280" s="66">
        <v>0</v>
      </c>
      <c r="U280" s="66">
        <v>0</v>
      </c>
      <c r="V280" s="66">
        <v>0</v>
      </c>
      <c r="W280" s="66">
        <v>0</v>
      </c>
      <c r="X280" s="66">
        <v>0</v>
      </c>
      <c r="Y280" s="66">
        <v>0</v>
      </c>
      <c r="Z280" s="66">
        <v>0</v>
      </c>
      <c r="AA280" s="66">
        <v>0</v>
      </c>
      <c r="AB280" s="66">
        <v>0</v>
      </c>
      <c r="AC280" s="66">
        <v>0</v>
      </c>
    </row>
    <row r="281" spans="1:30">
      <c r="A281" s="43" t="s">
        <v>163</v>
      </c>
      <c r="B281" s="43" t="s">
        <v>535</v>
      </c>
      <c r="C281" s="72">
        <v>0</v>
      </c>
      <c r="D281" s="72">
        <v>0</v>
      </c>
      <c r="E281" s="72">
        <v>0</v>
      </c>
      <c r="F281" s="72">
        <v>0</v>
      </c>
      <c r="G281" s="72">
        <v>0</v>
      </c>
      <c r="H281" s="72">
        <v>0</v>
      </c>
      <c r="I281" s="72">
        <v>0</v>
      </c>
      <c r="J281" s="72">
        <v>0</v>
      </c>
      <c r="K281" s="72">
        <v>0</v>
      </c>
      <c r="L281" s="72">
        <v>0</v>
      </c>
      <c r="M281" s="72">
        <v>0</v>
      </c>
      <c r="N281" s="73">
        <v>0</v>
      </c>
      <c r="O281" s="73">
        <v>0</v>
      </c>
      <c r="P281" s="73">
        <v>0</v>
      </c>
      <c r="Q281" s="73">
        <v>0</v>
      </c>
      <c r="R281" s="50">
        <v>0</v>
      </c>
      <c r="S281" s="50">
        <v>0</v>
      </c>
      <c r="T281" s="66">
        <v>0</v>
      </c>
      <c r="U281" s="66">
        <v>0</v>
      </c>
      <c r="V281" s="66">
        <v>0</v>
      </c>
      <c r="W281" s="66">
        <v>0</v>
      </c>
      <c r="X281" s="66">
        <v>0</v>
      </c>
      <c r="Y281" s="66">
        <v>0</v>
      </c>
      <c r="Z281" s="66">
        <v>0</v>
      </c>
      <c r="AA281" s="66">
        <v>0</v>
      </c>
      <c r="AB281" s="66">
        <v>0</v>
      </c>
      <c r="AC281" s="66">
        <v>0</v>
      </c>
    </row>
    <row r="282" spans="1:30">
      <c r="A282" s="43" t="s">
        <v>164</v>
      </c>
      <c r="B282" s="43" t="s">
        <v>752</v>
      </c>
      <c r="D282" s="72">
        <v>545.79999999999995</v>
      </c>
      <c r="E282" s="72">
        <v>417.9</v>
      </c>
      <c r="F282" s="72">
        <v>380.5</v>
      </c>
      <c r="G282" s="72">
        <v>752.1</v>
      </c>
      <c r="H282" s="72">
        <v>398.8</v>
      </c>
      <c r="I282" s="72">
        <v>479.8</v>
      </c>
      <c r="J282" s="72">
        <v>329.76</v>
      </c>
      <c r="K282" s="72">
        <v>266.488</v>
      </c>
      <c r="L282" s="72">
        <v>310.358</v>
      </c>
      <c r="M282" s="72">
        <v>204.31800000000001</v>
      </c>
      <c r="N282" s="73">
        <v>154.74</v>
      </c>
      <c r="O282" s="73">
        <v>46.698999999999998</v>
      </c>
      <c r="P282" s="73">
        <v>4.5359999999999996</v>
      </c>
      <c r="Q282" s="73">
        <f>24+(1*0.8)+(5.77*0.6)</f>
        <v>28.262</v>
      </c>
      <c r="R282" s="50">
        <f>0.94*0.8</f>
        <v>0.752</v>
      </c>
      <c r="S282" s="50">
        <f>1.83*0.8</f>
        <v>1.4640000000000002</v>
      </c>
      <c r="T282" s="66">
        <v>0</v>
      </c>
      <c r="U282" s="66" t="s">
        <v>685</v>
      </c>
      <c r="V282" s="66" t="s">
        <v>685</v>
      </c>
      <c r="W282" s="66" t="s">
        <v>685</v>
      </c>
      <c r="X282" s="66" t="s">
        <v>685</v>
      </c>
      <c r="Y282" s="66" t="s">
        <v>685</v>
      </c>
      <c r="Z282" s="66" t="s">
        <v>685</v>
      </c>
      <c r="AA282" s="66">
        <v>0</v>
      </c>
      <c r="AB282" s="66">
        <v>0</v>
      </c>
      <c r="AC282" s="66">
        <v>0</v>
      </c>
    </row>
    <row r="283" spans="1:30">
      <c r="A283" s="43" t="s">
        <v>164</v>
      </c>
      <c r="B283" s="43" t="s">
        <v>663</v>
      </c>
      <c r="D283" s="72">
        <v>7.37</v>
      </c>
      <c r="E283" s="72">
        <v>2.5299999999999998</v>
      </c>
      <c r="F283" s="72">
        <v>37.4</v>
      </c>
      <c r="G283" s="72">
        <v>30.8</v>
      </c>
      <c r="H283" s="72">
        <v>18.7</v>
      </c>
      <c r="I283" s="72">
        <v>0</v>
      </c>
      <c r="J283" s="72">
        <v>0</v>
      </c>
      <c r="K283" s="72">
        <v>0</v>
      </c>
      <c r="L283" s="72">
        <v>0</v>
      </c>
      <c r="M283" s="72">
        <v>0</v>
      </c>
      <c r="N283" s="73">
        <v>0</v>
      </c>
      <c r="O283" s="73">
        <v>0</v>
      </c>
      <c r="P283" s="73">
        <v>0</v>
      </c>
      <c r="Q283" s="73">
        <f>0.01*1.1</f>
        <v>1.1000000000000001E-2</v>
      </c>
      <c r="R283" s="50">
        <v>0</v>
      </c>
      <c r="S283" s="50">
        <v>0</v>
      </c>
      <c r="T283" s="66">
        <v>0</v>
      </c>
      <c r="U283" s="66" t="s">
        <v>685</v>
      </c>
      <c r="V283" s="66" t="s">
        <v>685</v>
      </c>
      <c r="W283" s="66" t="s">
        <v>685</v>
      </c>
      <c r="X283" s="66" t="s">
        <v>685</v>
      </c>
      <c r="Y283" s="66" t="s">
        <v>685</v>
      </c>
      <c r="Z283" s="66" t="s">
        <v>685</v>
      </c>
      <c r="AA283" s="66">
        <v>0</v>
      </c>
      <c r="AB283" s="66">
        <v>0</v>
      </c>
      <c r="AC283" s="66">
        <v>0</v>
      </c>
    </row>
    <row r="284" spans="1:30">
      <c r="A284" s="43" t="s">
        <v>164</v>
      </c>
      <c r="B284" s="43" t="s">
        <v>243</v>
      </c>
      <c r="D284" s="72">
        <v>5.4</v>
      </c>
      <c r="E284" s="72">
        <v>4.2</v>
      </c>
      <c r="F284" s="72">
        <v>5.4</v>
      </c>
      <c r="G284" s="72">
        <v>6</v>
      </c>
      <c r="H284" s="72">
        <v>6.6</v>
      </c>
      <c r="I284" s="72">
        <v>3</v>
      </c>
      <c r="J284" s="72">
        <v>0</v>
      </c>
      <c r="K284" s="72">
        <v>0</v>
      </c>
      <c r="L284" s="72">
        <v>0</v>
      </c>
      <c r="M284" s="72">
        <v>0</v>
      </c>
      <c r="N284" s="73">
        <v>0</v>
      </c>
      <c r="O284" s="73">
        <v>0</v>
      </c>
      <c r="P284" s="73">
        <v>0</v>
      </c>
      <c r="Q284" s="73">
        <v>0</v>
      </c>
      <c r="R284" s="50">
        <v>0</v>
      </c>
      <c r="S284" s="50">
        <v>0</v>
      </c>
      <c r="T284" s="66">
        <v>0</v>
      </c>
      <c r="U284" s="66" t="s">
        <v>685</v>
      </c>
      <c r="V284" s="66" t="s">
        <v>685</v>
      </c>
      <c r="W284" s="66" t="s">
        <v>685</v>
      </c>
      <c r="X284" s="66" t="s">
        <v>685</v>
      </c>
      <c r="Y284" s="66" t="s">
        <v>685</v>
      </c>
      <c r="Z284" s="66" t="s">
        <v>685</v>
      </c>
      <c r="AA284" s="66">
        <v>0</v>
      </c>
      <c r="AB284" s="66">
        <v>0</v>
      </c>
      <c r="AC284" s="66">
        <v>0</v>
      </c>
    </row>
    <row r="285" spans="1:30">
      <c r="A285" s="43" t="s">
        <v>164</v>
      </c>
      <c r="B285" s="43" t="s">
        <v>95</v>
      </c>
      <c r="D285" s="73">
        <v>0</v>
      </c>
      <c r="E285" s="73">
        <v>6.1929999999999996</v>
      </c>
      <c r="F285" s="73">
        <v>6.71</v>
      </c>
      <c r="G285" s="73">
        <v>7.6449999999999996</v>
      </c>
      <c r="H285" s="73">
        <v>17.600000000000001</v>
      </c>
      <c r="I285" s="73">
        <v>14.96</v>
      </c>
      <c r="J285" s="73">
        <v>8.8000000000000005E-3</v>
      </c>
      <c r="K285" s="73">
        <v>12.01915</v>
      </c>
      <c r="L285" s="73">
        <v>31.802100000000003</v>
      </c>
      <c r="M285" s="73">
        <v>34.991549999999997</v>
      </c>
      <c r="N285" s="73">
        <v>55.150700000000001</v>
      </c>
      <c r="O285" s="73">
        <v>51.236380800000006</v>
      </c>
      <c r="P285" s="73">
        <v>48.88</v>
      </c>
      <c r="Q285" s="73">
        <f>(854.22*0.055)+(10.85*0.11)+(170*0.11)</f>
        <v>66.875600000000006</v>
      </c>
      <c r="R285" s="50">
        <f>4*0.02</f>
        <v>0.08</v>
      </c>
      <c r="S285" s="50">
        <f>(890.3*0.055)+(10.2*0.11)+(0.3*0.02)</f>
        <v>50.094499999999996</v>
      </c>
      <c r="T285" s="66">
        <f>(720.2*0.055)+(11.47*0.11)</f>
        <v>40.872700000000002</v>
      </c>
      <c r="U285" s="66">
        <f>(600*0.055)+(16*0.11)+(1.14*0.02)</f>
        <v>34.782799999999995</v>
      </c>
      <c r="V285" s="66">
        <f>(661*0.055)+(4.83*0.11)+(0.38*0.02)</f>
        <v>36.893899999999995</v>
      </c>
      <c r="W285" s="66">
        <f>(720.09*0.055)+(34.36*0.11)+(0.42*0.02)</f>
        <v>43.392950000000006</v>
      </c>
      <c r="X285" s="66">
        <f>(759.72*0.055)+(1.36*0.11)+(15*0.02)</f>
        <v>42.234200000000001</v>
      </c>
      <c r="Y285" s="66">
        <f>(806.55*0.055)+(2.61*0.02)</f>
        <v>44.41245</v>
      </c>
      <c r="Z285" s="66">
        <f>601.85*0.055</f>
        <v>33.101750000000003</v>
      </c>
      <c r="AA285" s="66">
        <f>691.93*0.055</f>
        <v>38.056149999999995</v>
      </c>
      <c r="AB285" s="66">
        <f>(533.32*0.055)+(0.23*0.02)</f>
        <v>29.337200000000003</v>
      </c>
      <c r="AC285" s="66">
        <f>(219.124*0.055)+(0.23*0.02)</f>
        <v>12.056419999999999</v>
      </c>
    </row>
    <row r="286" spans="1:30">
      <c r="A286" s="43" t="s">
        <v>164</v>
      </c>
      <c r="B286" s="43" t="s">
        <v>825</v>
      </c>
      <c r="Q286" s="73">
        <v>0</v>
      </c>
      <c r="R286" s="50">
        <v>0</v>
      </c>
      <c r="S286" s="50">
        <v>0</v>
      </c>
      <c r="T286" s="50">
        <f>401*0.11</f>
        <v>44.11</v>
      </c>
      <c r="U286" s="50">
        <f>385.43*0.11</f>
        <v>42.397300000000001</v>
      </c>
      <c r="V286" s="50">
        <f>199.6*0.11</f>
        <v>21.956</v>
      </c>
      <c r="W286" s="50">
        <f>100*0.11</f>
        <v>11</v>
      </c>
      <c r="X286" s="50">
        <f>40*0.11</f>
        <v>4.4000000000000004</v>
      </c>
      <c r="Y286" s="50">
        <v>0</v>
      </c>
      <c r="Z286" s="50">
        <v>0</v>
      </c>
      <c r="AA286" s="50">
        <v>0</v>
      </c>
      <c r="AB286" s="50">
        <v>0</v>
      </c>
      <c r="AC286" s="50">
        <v>0</v>
      </c>
      <c r="AD286" s="50"/>
    </row>
    <row r="287" spans="1:30">
      <c r="A287" s="43" t="s">
        <v>164</v>
      </c>
      <c r="B287" s="43" t="s">
        <v>574</v>
      </c>
      <c r="D287" s="72">
        <v>84</v>
      </c>
      <c r="E287" s="72">
        <v>102</v>
      </c>
      <c r="F287" s="72">
        <v>144</v>
      </c>
      <c r="G287" s="72">
        <v>77.400000000000006</v>
      </c>
      <c r="H287" s="72">
        <v>176.4</v>
      </c>
      <c r="I287" s="72">
        <v>144</v>
      </c>
      <c r="J287" s="72">
        <v>77.12</v>
      </c>
      <c r="K287" s="72">
        <v>0</v>
      </c>
      <c r="L287" s="72">
        <v>10.199999999999999</v>
      </c>
      <c r="M287" s="72">
        <v>22.8</v>
      </c>
      <c r="N287" s="73">
        <v>0</v>
      </c>
      <c r="O287" s="73">
        <v>0</v>
      </c>
      <c r="P287" s="73">
        <v>0</v>
      </c>
      <c r="Q287" s="73">
        <v>0</v>
      </c>
      <c r="R287" s="50">
        <v>0</v>
      </c>
      <c r="S287" s="50">
        <v>0</v>
      </c>
      <c r="T287" s="66">
        <v>0</v>
      </c>
      <c r="U287" s="66">
        <v>0</v>
      </c>
      <c r="V287" s="66">
        <v>0</v>
      </c>
      <c r="W287" s="66">
        <v>0</v>
      </c>
      <c r="X287" s="66">
        <v>0</v>
      </c>
      <c r="Y287" s="66">
        <v>0</v>
      </c>
      <c r="Z287" s="66">
        <v>0</v>
      </c>
      <c r="AA287" s="66">
        <v>0</v>
      </c>
      <c r="AB287" s="66">
        <v>0</v>
      </c>
      <c r="AC287" s="66">
        <v>0</v>
      </c>
    </row>
    <row r="288" spans="1:30">
      <c r="A288" s="43" t="s">
        <v>164</v>
      </c>
      <c r="B288" s="43" t="s">
        <v>535</v>
      </c>
      <c r="D288" s="72">
        <v>2.8</v>
      </c>
      <c r="E288" s="72">
        <v>1.8</v>
      </c>
      <c r="F288" s="72">
        <v>4.7</v>
      </c>
      <c r="G288" s="72">
        <v>3.7</v>
      </c>
      <c r="H288" s="72">
        <v>2.4</v>
      </c>
      <c r="I288" s="72">
        <v>2.4</v>
      </c>
      <c r="J288" s="72">
        <v>0</v>
      </c>
      <c r="K288" s="72">
        <v>0</v>
      </c>
      <c r="L288" s="72">
        <v>0</v>
      </c>
      <c r="M288" s="72">
        <v>0</v>
      </c>
      <c r="N288" s="73">
        <v>0</v>
      </c>
      <c r="O288" s="73">
        <v>0</v>
      </c>
      <c r="P288" s="73">
        <v>0</v>
      </c>
      <c r="Q288" s="73">
        <v>0</v>
      </c>
      <c r="R288" s="50">
        <v>0</v>
      </c>
      <c r="S288" s="50">
        <v>0</v>
      </c>
      <c r="T288" s="66">
        <v>0</v>
      </c>
      <c r="U288" s="66">
        <v>0</v>
      </c>
      <c r="V288" s="66">
        <v>0</v>
      </c>
      <c r="W288" s="66">
        <v>0</v>
      </c>
      <c r="X288" s="66">
        <v>0</v>
      </c>
      <c r="Y288" s="66">
        <v>0</v>
      </c>
      <c r="Z288" s="66">
        <v>0</v>
      </c>
      <c r="AA288" s="66">
        <v>0</v>
      </c>
      <c r="AB288" s="66">
        <v>0</v>
      </c>
      <c r="AC288" s="66">
        <v>0</v>
      </c>
    </row>
    <row r="289" spans="1:29">
      <c r="A289" s="43" t="s">
        <v>664</v>
      </c>
      <c r="B289" s="43" t="s">
        <v>752</v>
      </c>
      <c r="J289" s="72">
        <v>229.56</v>
      </c>
      <c r="K289" s="72">
        <v>253.75</v>
      </c>
      <c r="M289" s="72">
        <v>132.452</v>
      </c>
      <c r="N289" s="73">
        <v>62.997999999999998</v>
      </c>
      <c r="O289" s="73">
        <v>28.3096</v>
      </c>
      <c r="P289" s="73">
        <v>8.18</v>
      </c>
      <c r="Q289" s="73">
        <f>10.36+(0.05*0.8)</f>
        <v>10.399999999999999</v>
      </c>
      <c r="R289" s="50">
        <v>0</v>
      </c>
      <c r="S289" s="50">
        <v>0</v>
      </c>
      <c r="T289" s="66" t="s">
        <v>685</v>
      </c>
      <c r="U289" s="66" t="s">
        <v>685</v>
      </c>
      <c r="V289" s="66" t="s">
        <v>685</v>
      </c>
      <c r="W289" s="66" t="s">
        <v>685</v>
      </c>
      <c r="X289" s="66" t="s">
        <v>685</v>
      </c>
      <c r="Y289" s="66" t="s">
        <v>685</v>
      </c>
      <c r="Z289" s="66" t="s">
        <v>685</v>
      </c>
      <c r="AA289" s="66">
        <v>0</v>
      </c>
      <c r="AB289" s="66">
        <v>0</v>
      </c>
      <c r="AC289" s="66">
        <v>0</v>
      </c>
    </row>
    <row r="290" spans="1:29">
      <c r="A290" s="43" t="s">
        <v>664</v>
      </c>
      <c r="B290" s="43" t="s">
        <v>663</v>
      </c>
      <c r="J290" s="72">
        <v>0.22</v>
      </c>
      <c r="K290" s="72">
        <v>9.9000000000000005E-2</v>
      </c>
      <c r="M290" s="72">
        <v>0</v>
      </c>
      <c r="N290" s="73">
        <v>0</v>
      </c>
      <c r="O290" s="73">
        <v>0</v>
      </c>
      <c r="P290" s="73">
        <v>6.6000000000000003E-2</v>
      </c>
      <c r="Q290" s="73">
        <f>0.06*1.1</f>
        <v>6.6000000000000003E-2</v>
      </c>
      <c r="R290" s="50">
        <v>0</v>
      </c>
      <c r="S290" s="50">
        <v>0</v>
      </c>
      <c r="T290" s="66" t="s">
        <v>685</v>
      </c>
      <c r="U290" s="66" t="s">
        <v>685</v>
      </c>
      <c r="V290" s="66" t="s">
        <v>685</v>
      </c>
      <c r="W290" s="66" t="s">
        <v>685</v>
      </c>
      <c r="X290" s="66" t="s">
        <v>685</v>
      </c>
      <c r="Y290" s="66" t="s">
        <v>685</v>
      </c>
      <c r="Z290" s="66" t="s">
        <v>685</v>
      </c>
      <c r="AA290" s="66">
        <v>0</v>
      </c>
      <c r="AB290" s="66">
        <v>0</v>
      </c>
      <c r="AC290" s="66">
        <v>0</v>
      </c>
    </row>
    <row r="291" spans="1:29">
      <c r="A291" s="43" t="s">
        <v>664</v>
      </c>
      <c r="B291" s="43" t="s">
        <v>243</v>
      </c>
      <c r="J291" s="72">
        <v>0</v>
      </c>
      <c r="K291" s="72">
        <v>0</v>
      </c>
      <c r="M291" s="72">
        <v>0</v>
      </c>
      <c r="N291" s="73">
        <v>0</v>
      </c>
      <c r="O291" s="73">
        <v>0</v>
      </c>
      <c r="P291" s="73">
        <v>0</v>
      </c>
      <c r="Q291" s="73">
        <v>0</v>
      </c>
      <c r="R291" s="50">
        <v>0</v>
      </c>
      <c r="S291" s="50">
        <v>0</v>
      </c>
      <c r="T291" s="66" t="s">
        <v>685</v>
      </c>
      <c r="U291" s="66" t="s">
        <v>685</v>
      </c>
      <c r="V291" s="66" t="s">
        <v>685</v>
      </c>
      <c r="W291" s="66" t="s">
        <v>685</v>
      </c>
      <c r="X291" s="66" t="s">
        <v>685</v>
      </c>
      <c r="Y291" s="66" t="s">
        <v>685</v>
      </c>
      <c r="Z291" s="66" t="s">
        <v>685</v>
      </c>
      <c r="AA291" s="66">
        <v>0</v>
      </c>
      <c r="AB291" s="66">
        <v>0</v>
      </c>
      <c r="AC291" s="66">
        <v>0</v>
      </c>
    </row>
    <row r="292" spans="1:29">
      <c r="A292" s="43" t="s">
        <v>664</v>
      </c>
      <c r="B292" s="43" t="s">
        <v>95</v>
      </c>
      <c r="J292" s="73">
        <v>0.75349999999999995</v>
      </c>
      <c r="K292" s="73">
        <v>0</v>
      </c>
      <c r="M292" s="73">
        <v>7.8485000000000005</v>
      </c>
      <c r="N292" s="73">
        <v>19.894300000000001</v>
      </c>
      <c r="O292" s="73">
        <v>11.061450000000001</v>
      </c>
      <c r="P292" s="73">
        <v>20.479750000000003</v>
      </c>
      <c r="Q292" s="73">
        <f>(362.12*0.055)+(4.2*0.11)+(13.57*0.02)</f>
        <v>20.65</v>
      </c>
      <c r="R292" s="50">
        <f>(238.16*0.055)+(6.99*0.11)+(2.76*0.065)+(13.89*0.02)</f>
        <v>14.3249</v>
      </c>
      <c r="S292" s="50">
        <f>(541.85*0.055)+(2.9*0.11)+(27.36*0.065)+(3.73*0.02)+(13.8*0.022)</f>
        <v>32.277350000000006</v>
      </c>
      <c r="T292" s="66">
        <f>(557.02*0.055)+(11.4*0.11)+(22.66*0.065)+(3.45*0.02)+(14.79*0.022)</f>
        <v>33.757380000000005</v>
      </c>
      <c r="U292" s="66">
        <f>(346.18*0.055)+(22.15*0.11)+(5.58*0.065)+(3.36*0.02)+(5.4*0.022)</f>
        <v>22.025099999999998</v>
      </c>
      <c r="V292" s="66">
        <f>(356.97*0.055)+(14.8*0.11)+(1.41*0.065)+(6.27*0.02)</f>
        <v>21.478400000000001</v>
      </c>
      <c r="W292" s="66">
        <f>(347.1*0.055)+(8.7*0.11)+(0.27*0.065)+(1.27*0.02)+(0.44*0.022)</f>
        <v>20.100130000000004</v>
      </c>
      <c r="X292" s="66">
        <f>(310.21*0.055)+(9.91*0.11)+(0.18*0.065)+(4.43*0.02)+(0.3*0.022)</f>
        <v>18.25855</v>
      </c>
      <c r="Y292" s="66">
        <f>(288.95*0.055)+(19.73*0.11)+(0.33*0.065)+(1.74*0.02)+(0.54*0.022)</f>
        <v>18.130680000000002</v>
      </c>
      <c r="Z292" s="66">
        <f>(243*0.055)+(19.06*0.11)+(0.15*0.065)+(0.26*0.022)</f>
        <v>15.477070000000001</v>
      </c>
      <c r="AA292" s="66">
        <f>(241.21*0.055)+(6.7*0.11)+(0.47*0.02)</f>
        <v>14.01295</v>
      </c>
      <c r="AB292" s="66">
        <f>(244.4671*0.055)+(0.0924*0.065)+(0.4268*0.02)+(0.154*0.022)</f>
        <v>13.463620499999998</v>
      </c>
      <c r="AC292" s="66">
        <f>(184.5655*0.055)+(0.1632*0.065)+(0.272*0.022)</f>
        <v>10.167694499999998</v>
      </c>
    </row>
    <row r="293" spans="1:29">
      <c r="A293" s="43" t="s">
        <v>664</v>
      </c>
      <c r="B293" s="43" t="s">
        <v>825</v>
      </c>
      <c r="Q293" s="73">
        <f>305*0.11</f>
        <v>33.549999999999997</v>
      </c>
      <c r="R293" s="50">
        <f>240.82*0.11</f>
        <v>26.490199999999998</v>
      </c>
      <c r="S293" s="50">
        <f>264.84*0.11</f>
        <v>29.132399999999997</v>
      </c>
      <c r="T293" s="50">
        <f>150.78*0.11</f>
        <v>16.585799999999999</v>
      </c>
      <c r="U293" s="50">
        <f>95.61*0.11</f>
        <v>10.517099999999999</v>
      </c>
      <c r="V293" s="66">
        <f>140.72*0.11</f>
        <v>15.479200000000001</v>
      </c>
      <c r="W293" s="66">
        <f>142.56*0.11</f>
        <v>15.6816</v>
      </c>
      <c r="X293" s="66">
        <f>181.07*0.11</f>
        <v>19.9177</v>
      </c>
      <c r="Y293" s="66">
        <f>118.09*0.11</f>
        <v>12.9899</v>
      </c>
      <c r="Z293" s="66">
        <f>131.29*0.11</f>
        <v>14.441899999999999</v>
      </c>
      <c r="AA293" s="66">
        <f>101.79*0.11</f>
        <v>11.196900000000001</v>
      </c>
      <c r="AB293" s="66">
        <f>(75.8778*0.11)</f>
        <v>8.3465579999999999</v>
      </c>
      <c r="AC293" s="66">
        <f>67.0788*0.11</f>
        <v>7.3786680000000002</v>
      </c>
    </row>
    <row r="294" spans="1:29">
      <c r="A294" s="43" t="s">
        <v>664</v>
      </c>
      <c r="B294" s="43" t="s">
        <v>574</v>
      </c>
      <c r="J294" s="72">
        <v>40.799999999999997</v>
      </c>
      <c r="K294" s="72">
        <v>0</v>
      </c>
      <c r="M294" s="72">
        <v>0</v>
      </c>
      <c r="N294" s="73">
        <v>51</v>
      </c>
      <c r="O294" s="73">
        <v>122.4</v>
      </c>
      <c r="P294" s="73">
        <v>51</v>
      </c>
      <c r="Q294" s="73">
        <f>85*0.6</f>
        <v>51</v>
      </c>
      <c r="R294" s="50">
        <f>68*0.6</f>
        <v>40.799999999999997</v>
      </c>
      <c r="S294" s="50">
        <v>0</v>
      </c>
      <c r="T294" s="66">
        <v>0</v>
      </c>
      <c r="U294" s="66">
        <v>0</v>
      </c>
      <c r="V294" s="66">
        <v>0</v>
      </c>
      <c r="W294" s="66">
        <v>0</v>
      </c>
      <c r="X294" s="66">
        <v>0</v>
      </c>
      <c r="Y294" s="66">
        <v>0</v>
      </c>
      <c r="Z294" s="66">
        <v>0</v>
      </c>
      <c r="AA294" s="66">
        <v>0</v>
      </c>
      <c r="AB294" s="66">
        <v>0</v>
      </c>
      <c r="AC294" s="66">
        <v>0</v>
      </c>
    </row>
    <row r="295" spans="1:29">
      <c r="A295" s="43" t="s">
        <v>664</v>
      </c>
      <c r="B295" s="43" t="s">
        <v>535</v>
      </c>
      <c r="J295" s="72">
        <v>2.83</v>
      </c>
      <c r="K295" s="72">
        <v>3.484</v>
      </c>
      <c r="M295" s="72">
        <v>0.81699999999999995</v>
      </c>
      <c r="N295" s="73">
        <v>0</v>
      </c>
      <c r="O295" s="73">
        <v>0</v>
      </c>
      <c r="P295" s="73">
        <v>0</v>
      </c>
      <c r="Q295" s="73">
        <v>0</v>
      </c>
      <c r="R295" s="50">
        <v>0</v>
      </c>
      <c r="S295" s="50">
        <v>0</v>
      </c>
      <c r="T295" s="66">
        <v>0</v>
      </c>
      <c r="U295" s="66">
        <v>0</v>
      </c>
      <c r="V295" s="66">
        <v>0</v>
      </c>
      <c r="W295" s="66">
        <v>0</v>
      </c>
      <c r="X295" s="66">
        <v>0</v>
      </c>
      <c r="Y295" s="66">
        <v>0</v>
      </c>
      <c r="Z295" s="66">
        <v>0</v>
      </c>
      <c r="AA295" s="66">
        <v>0</v>
      </c>
      <c r="AB295" s="66">
        <v>0</v>
      </c>
      <c r="AC295" s="66">
        <v>0</v>
      </c>
    </row>
    <row r="296" spans="1:29">
      <c r="A296" s="43" t="s">
        <v>666</v>
      </c>
      <c r="B296" s="43" t="s">
        <v>752</v>
      </c>
      <c r="C296" s="72">
        <v>1640</v>
      </c>
      <c r="D296" s="72">
        <v>1732</v>
      </c>
      <c r="E296" s="72">
        <v>1632</v>
      </c>
      <c r="F296" s="72">
        <v>1490</v>
      </c>
      <c r="G296" s="72">
        <v>1373.6</v>
      </c>
      <c r="H296" s="72">
        <v>1267</v>
      </c>
      <c r="I296" s="72">
        <v>1334.83</v>
      </c>
      <c r="J296" s="72">
        <v>1294</v>
      </c>
      <c r="K296" s="72">
        <v>1102.2380000000001</v>
      </c>
      <c r="L296" s="72">
        <v>1047.5899999999999</v>
      </c>
      <c r="M296" s="72">
        <v>822</v>
      </c>
      <c r="N296" s="73">
        <v>593.6</v>
      </c>
      <c r="O296" s="73">
        <v>241.62</v>
      </c>
      <c r="P296" s="73">
        <v>187.76220000000001</v>
      </c>
      <c r="Q296" s="73">
        <v>202.697</v>
      </c>
      <c r="R296" s="50">
        <v>172.49</v>
      </c>
      <c r="S296" s="50">
        <v>0</v>
      </c>
      <c r="T296" s="66" t="s">
        <v>685</v>
      </c>
      <c r="U296" s="66" t="s">
        <v>685</v>
      </c>
      <c r="V296" s="66" t="s">
        <v>685</v>
      </c>
      <c r="W296" s="66" t="s">
        <v>685</v>
      </c>
      <c r="X296" s="66" t="s">
        <v>685</v>
      </c>
      <c r="Y296" s="66" t="s">
        <v>685</v>
      </c>
      <c r="Z296" s="66" t="s">
        <v>685</v>
      </c>
      <c r="AA296" s="66">
        <v>0</v>
      </c>
      <c r="AB296" s="66">
        <v>0</v>
      </c>
      <c r="AC296" s="66">
        <v>0</v>
      </c>
    </row>
    <row r="297" spans="1:29">
      <c r="A297" s="43" t="s">
        <v>666</v>
      </c>
      <c r="B297" s="43" t="s">
        <v>663</v>
      </c>
      <c r="C297" s="72">
        <v>0</v>
      </c>
      <c r="D297" s="72">
        <v>0</v>
      </c>
      <c r="E297" s="72">
        <v>110</v>
      </c>
      <c r="F297" s="72">
        <v>55</v>
      </c>
      <c r="G297" s="72">
        <v>33</v>
      </c>
      <c r="H297" s="72">
        <v>27.5</v>
      </c>
      <c r="I297" s="72">
        <v>11</v>
      </c>
      <c r="J297" s="72">
        <v>11</v>
      </c>
      <c r="K297" s="72">
        <v>12.98</v>
      </c>
      <c r="L297" s="72">
        <v>12.1</v>
      </c>
      <c r="M297" s="72">
        <v>5.5</v>
      </c>
      <c r="N297" s="73">
        <v>5.5</v>
      </c>
      <c r="O297" s="73">
        <v>0</v>
      </c>
      <c r="P297" s="73">
        <v>0</v>
      </c>
      <c r="Q297" s="73">
        <v>0</v>
      </c>
      <c r="R297" s="50">
        <v>0</v>
      </c>
      <c r="S297" s="50">
        <v>0</v>
      </c>
      <c r="T297" s="66" t="s">
        <v>685</v>
      </c>
      <c r="U297" s="66" t="s">
        <v>685</v>
      </c>
      <c r="V297" s="66" t="s">
        <v>685</v>
      </c>
      <c r="W297" s="66" t="s">
        <v>685</v>
      </c>
      <c r="X297" s="66" t="s">
        <v>685</v>
      </c>
      <c r="Y297" s="66" t="s">
        <v>685</v>
      </c>
      <c r="Z297" s="66" t="s">
        <v>685</v>
      </c>
      <c r="AA297" s="66">
        <v>0</v>
      </c>
      <c r="AB297" s="66">
        <v>0</v>
      </c>
      <c r="AC297" s="66">
        <v>0</v>
      </c>
    </row>
    <row r="298" spans="1:29">
      <c r="A298" s="43" t="s">
        <v>666</v>
      </c>
      <c r="B298" s="43" t="s">
        <v>243</v>
      </c>
      <c r="C298" s="72">
        <v>720</v>
      </c>
      <c r="D298" s="72">
        <v>705</v>
      </c>
      <c r="E298" s="72">
        <v>690</v>
      </c>
      <c r="F298" s="72">
        <v>860</v>
      </c>
      <c r="G298" s="72">
        <v>810</v>
      </c>
      <c r="H298" s="72">
        <v>860</v>
      </c>
      <c r="I298" s="72">
        <v>790</v>
      </c>
      <c r="J298" s="72">
        <v>230</v>
      </c>
      <c r="K298" s="72">
        <v>180</v>
      </c>
      <c r="L298" s="72">
        <v>193</v>
      </c>
      <c r="M298" s="72">
        <v>145</v>
      </c>
      <c r="N298" s="73">
        <v>44</v>
      </c>
      <c r="O298" s="73">
        <v>0</v>
      </c>
      <c r="P298" s="73">
        <v>0</v>
      </c>
      <c r="Q298" s="73">
        <v>0.03</v>
      </c>
      <c r="R298" s="50">
        <v>0</v>
      </c>
      <c r="S298" s="50">
        <v>0</v>
      </c>
      <c r="T298" s="66" t="s">
        <v>685</v>
      </c>
      <c r="U298" s="66" t="s">
        <v>685</v>
      </c>
      <c r="V298" s="66" t="s">
        <v>685</v>
      </c>
      <c r="W298" s="66" t="s">
        <v>685</v>
      </c>
      <c r="X298" s="66" t="s">
        <v>685</v>
      </c>
      <c r="Y298" s="66" t="s">
        <v>685</v>
      </c>
      <c r="Z298" s="66" t="s">
        <v>685</v>
      </c>
      <c r="AA298" s="66">
        <v>0</v>
      </c>
      <c r="AB298" s="66">
        <v>0</v>
      </c>
      <c r="AC298" s="66">
        <v>0</v>
      </c>
    </row>
    <row r="299" spans="1:29">
      <c r="A299" s="43" t="s">
        <v>666</v>
      </c>
      <c r="B299" s="43" t="s">
        <v>95</v>
      </c>
      <c r="C299" s="73">
        <v>0</v>
      </c>
      <c r="D299" s="73">
        <v>0</v>
      </c>
      <c r="E299" s="73">
        <v>66</v>
      </c>
      <c r="F299" s="73">
        <v>88</v>
      </c>
      <c r="G299" s="73">
        <v>99</v>
      </c>
      <c r="H299" s="73">
        <v>151.75</v>
      </c>
      <c r="I299" s="73">
        <v>121.53960000000001</v>
      </c>
      <c r="J299" s="73">
        <v>120.1</v>
      </c>
      <c r="K299" s="73">
        <v>111.52500000000001</v>
      </c>
      <c r="L299" s="73">
        <v>154.94999999999999</v>
      </c>
      <c r="M299" s="73">
        <v>173.48400000000001</v>
      </c>
      <c r="N299" s="73">
        <v>249.14330000000001</v>
      </c>
      <c r="O299" s="73">
        <v>432.50924999999995</v>
      </c>
      <c r="P299" s="73">
        <v>352.41187000000002</v>
      </c>
      <c r="Q299" s="73">
        <v>396.59729500000003</v>
      </c>
      <c r="R299" s="50">
        <f>(4218.978*0.055)+(1147.546*0.11)+(248.74*0.065)+(3.5*0.02)+(0.26*0.022)</f>
        <v>374.51767000000001</v>
      </c>
      <c r="S299" s="50">
        <f>(4315.47*0.055)+(930.06*0.11)+(242.99*0.065)+(6.5*0.02)</f>
        <v>355.58179999999999</v>
      </c>
      <c r="T299" s="66">
        <f>(4934.5*0.055)+(2043.4*0.11)+(270.8*0.065)+(0.15*0.022)</f>
        <v>513.77679999999998</v>
      </c>
      <c r="U299" s="66">
        <f>(3416.49*0.055)+(750.73*0.11)+(136.45*0.065)+(24.48*0.02)+(1.68*0.022)</f>
        <v>279.88306000000006</v>
      </c>
      <c r="V299" s="66">
        <f>(3172.585*0.055)+(1118.78*0.11)+(146.49*0.065)+(0.272*0.022)</f>
        <v>307.08580900000004</v>
      </c>
      <c r="W299" s="66">
        <f>((4055.978-17)*0.055)+(1072.75*0.11)+(42.04*0.065)+(9.07*0.02)+(2.7*0.022)</f>
        <v>343.11968999999999</v>
      </c>
      <c r="X299" s="66">
        <f>(4767.593*0.055)+(731.53*0.11)+(57.53*0.065)+(5*0.02)</f>
        <v>346.52536499999997</v>
      </c>
      <c r="Y299" s="66">
        <f>(4472.52*0.055)+(871.01*0.11)+(70.54*0.065)+(1.64*0.02)+(2.09*0.022)</f>
        <v>346.46358000000004</v>
      </c>
      <c r="Z299" s="66">
        <f>((3937.29-35.72)*0.055)+((630.15-0.68)*0.11)+(26.745*0.065)+(2*0.02)+((34.36-1.98)*0.55*0.055)+((34.36-1.98)*0.41*0.065)</f>
        <v>287.44889700000004</v>
      </c>
      <c r="AA299" s="66">
        <f>((4071.611-31.698)*0.055)+((548.125-0.504)*0.11)+(20*0.065)+(3.75*0.02)+(43.42*0.055)+(32.37*0.065)</f>
        <v>288.30067499999996</v>
      </c>
      <c r="AB299" s="66">
        <f>(4419.815*0.055)+(6.65*0.065)+(112.89*0.41*0.065)+(112.89*0.55*0.055)</f>
        <v>249.945516</v>
      </c>
      <c r="AC299" s="66">
        <f>((3762.924-18.48)*0.055)+(23.8*0.065)+(7.75*0.02)+(0.34*0.022)+((29.744-4.536)*0.41*0.065)+((29.744-4.536)*0.55*0.055)+(2.725*0.47*0.055)</f>
        <v>209.15867644999997</v>
      </c>
    </row>
    <row r="300" spans="1:29">
      <c r="A300" s="43" t="s">
        <v>666</v>
      </c>
      <c r="B300" s="43" t="s">
        <v>825</v>
      </c>
      <c r="Q300" s="73">
        <v>0</v>
      </c>
      <c r="R300" s="50">
        <f>917*0.11</f>
        <v>100.87</v>
      </c>
      <c r="S300" s="50">
        <f>418.5*0.11</f>
        <v>46.035000000000004</v>
      </c>
      <c r="T300" s="50">
        <f>613.02*0.11</f>
        <v>67.432199999999995</v>
      </c>
      <c r="U300" s="50">
        <f>155.61*0.11</f>
        <v>17.117100000000001</v>
      </c>
      <c r="V300" s="66">
        <f>120*0.11</f>
        <v>13.2</v>
      </c>
      <c r="W300" s="66">
        <f>100*0.11</f>
        <v>11</v>
      </c>
      <c r="X300" s="66">
        <f>177.8*0.11</f>
        <v>19.558</v>
      </c>
      <c r="Y300" s="66">
        <f>87.951*0.11</f>
        <v>9.6746099999999995</v>
      </c>
      <c r="Z300" s="66">
        <v>0</v>
      </c>
      <c r="AA300" s="66">
        <v>0</v>
      </c>
      <c r="AB300" s="66">
        <v>0</v>
      </c>
      <c r="AC300" s="66">
        <v>0</v>
      </c>
    </row>
    <row r="301" spans="1:29">
      <c r="A301" s="43" t="s">
        <v>666</v>
      </c>
      <c r="B301" s="43" t="s">
        <v>574</v>
      </c>
      <c r="C301" s="72">
        <v>270</v>
      </c>
      <c r="D301" s="72">
        <v>190.2</v>
      </c>
      <c r="E301" s="72">
        <v>252</v>
      </c>
      <c r="F301" s="72">
        <v>240</v>
      </c>
      <c r="G301" s="72">
        <v>409.2</v>
      </c>
      <c r="H301" s="72">
        <v>441</v>
      </c>
      <c r="I301" s="72">
        <v>432</v>
      </c>
      <c r="J301" s="72">
        <v>390</v>
      </c>
      <c r="K301" s="72">
        <v>237.99</v>
      </c>
      <c r="L301" s="72">
        <v>219</v>
      </c>
      <c r="M301" s="72">
        <v>92.4</v>
      </c>
      <c r="N301" s="73">
        <v>180</v>
      </c>
      <c r="O301" s="73">
        <v>186</v>
      </c>
      <c r="P301" s="73">
        <v>186</v>
      </c>
      <c r="Q301" s="73">
        <v>190.2</v>
      </c>
      <c r="R301" s="50">
        <f>262*0.6</f>
        <v>157.19999999999999</v>
      </c>
      <c r="S301" s="50">
        <v>0</v>
      </c>
      <c r="T301" s="66">
        <f>194*0.6</f>
        <v>116.39999999999999</v>
      </c>
      <c r="U301" s="66">
        <f>92*0.6</f>
        <v>55.199999999999996</v>
      </c>
      <c r="V301" s="66">
        <f>10*0.6</f>
        <v>6</v>
      </c>
      <c r="W301" s="66">
        <v>0</v>
      </c>
      <c r="X301" s="66">
        <v>0</v>
      </c>
      <c r="Y301" s="66">
        <v>0</v>
      </c>
      <c r="Z301" s="66">
        <v>0</v>
      </c>
      <c r="AA301" s="66">
        <v>0</v>
      </c>
      <c r="AB301" s="66">
        <v>0</v>
      </c>
      <c r="AC301" s="66">
        <v>0</v>
      </c>
    </row>
    <row r="302" spans="1:29">
      <c r="A302" s="43" t="s">
        <v>666</v>
      </c>
      <c r="B302" s="43" t="s">
        <v>535</v>
      </c>
      <c r="C302" s="72">
        <v>0</v>
      </c>
      <c r="D302" s="72">
        <v>0</v>
      </c>
      <c r="E302" s="72">
        <v>35</v>
      </c>
      <c r="F302" s="72">
        <v>33</v>
      </c>
      <c r="G302" s="72">
        <v>25</v>
      </c>
      <c r="H302" s="72">
        <v>20</v>
      </c>
      <c r="I302" s="72">
        <v>15</v>
      </c>
      <c r="J302" s="72">
        <v>19</v>
      </c>
      <c r="K302" s="72">
        <v>18</v>
      </c>
      <c r="L302" s="72">
        <v>17.5</v>
      </c>
      <c r="M302" s="72">
        <v>15</v>
      </c>
      <c r="N302" s="73">
        <v>12.5</v>
      </c>
      <c r="O302" s="73">
        <v>0</v>
      </c>
      <c r="P302" s="73">
        <v>0</v>
      </c>
      <c r="Q302" s="73">
        <v>0</v>
      </c>
      <c r="R302" s="50">
        <v>0</v>
      </c>
      <c r="S302" s="50">
        <v>0</v>
      </c>
      <c r="T302" s="66">
        <v>0</v>
      </c>
      <c r="U302" s="66">
        <v>0</v>
      </c>
      <c r="V302" s="66">
        <v>0</v>
      </c>
      <c r="W302" s="66">
        <v>0</v>
      </c>
      <c r="X302" s="66">
        <v>0</v>
      </c>
      <c r="Y302" s="66">
        <v>0</v>
      </c>
      <c r="Z302" s="66">
        <v>0</v>
      </c>
      <c r="AA302" s="66">
        <v>0</v>
      </c>
      <c r="AB302" s="66">
        <v>0</v>
      </c>
      <c r="AC302" s="66">
        <v>0</v>
      </c>
    </row>
    <row r="303" spans="1:29">
      <c r="A303" s="43" t="s">
        <v>575</v>
      </c>
      <c r="B303" s="43" t="s">
        <v>752</v>
      </c>
      <c r="C303" s="72">
        <v>329.68</v>
      </c>
      <c r="D303" s="72">
        <v>312.2</v>
      </c>
      <c r="E303" s="72">
        <v>277.83999999999997</v>
      </c>
      <c r="F303" s="72">
        <v>194.64</v>
      </c>
      <c r="G303" s="72">
        <v>109.52</v>
      </c>
      <c r="H303" s="72">
        <v>99.07</v>
      </c>
      <c r="I303" s="72">
        <v>116.2</v>
      </c>
      <c r="J303" s="72">
        <v>101.6</v>
      </c>
      <c r="K303" s="72">
        <v>97.48</v>
      </c>
      <c r="L303" s="72">
        <v>91.528000000000006</v>
      </c>
      <c r="M303" s="72">
        <v>119.15600000000001</v>
      </c>
      <c r="N303" s="73">
        <v>64.430000000000007</v>
      </c>
      <c r="O303" s="73">
        <v>34.729999999999997</v>
      </c>
      <c r="P303" s="73">
        <v>0</v>
      </c>
      <c r="Q303" s="73">
        <v>0</v>
      </c>
      <c r="R303" s="50">
        <v>0</v>
      </c>
      <c r="S303" s="50">
        <v>0</v>
      </c>
      <c r="T303" s="66" t="s">
        <v>685</v>
      </c>
      <c r="U303" s="66" t="s">
        <v>685</v>
      </c>
      <c r="V303" s="66" t="s">
        <v>685</v>
      </c>
      <c r="W303" s="66" t="s">
        <v>685</v>
      </c>
      <c r="X303" s="66" t="s">
        <v>685</v>
      </c>
      <c r="Y303" s="66" t="s">
        <v>685</v>
      </c>
      <c r="Z303" s="66" t="s">
        <v>685</v>
      </c>
      <c r="AA303" s="66">
        <v>0</v>
      </c>
      <c r="AB303" s="66">
        <v>0</v>
      </c>
      <c r="AC303" s="66">
        <v>0</v>
      </c>
    </row>
    <row r="304" spans="1:29">
      <c r="A304" s="43" t="s">
        <v>575</v>
      </c>
      <c r="B304" s="43" t="s">
        <v>663</v>
      </c>
      <c r="C304" s="72">
        <v>0</v>
      </c>
      <c r="D304" s="72">
        <v>0</v>
      </c>
      <c r="E304" s="72">
        <v>0</v>
      </c>
      <c r="F304" s="72">
        <v>0</v>
      </c>
      <c r="G304" s="72">
        <v>0</v>
      </c>
      <c r="H304" s="72">
        <v>0</v>
      </c>
      <c r="I304" s="72">
        <v>0</v>
      </c>
      <c r="J304" s="72">
        <v>0</v>
      </c>
      <c r="K304" s="72">
        <v>0</v>
      </c>
      <c r="L304" s="72">
        <v>0</v>
      </c>
      <c r="M304" s="72">
        <v>0</v>
      </c>
      <c r="N304" s="73">
        <v>7.6999999999999999E-2</v>
      </c>
      <c r="O304" s="73">
        <v>1.0999999999999999E-2</v>
      </c>
      <c r="P304" s="73">
        <v>0</v>
      </c>
      <c r="Q304" s="73">
        <v>0</v>
      </c>
      <c r="R304" s="50">
        <v>0</v>
      </c>
      <c r="S304" s="50">
        <v>0</v>
      </c>
      <c r="T304" s="66" t="s">
        <v>685</v>
      </c>
      <c r="U304" s="66" t="s">
        <v>685</v>
      </c>
      <c r="V304" s="66" t="s">
        <v>685</v>
      </c>
      <c r="W304" s="66" t="s">
        <v>685</v>
      </c>
      <c r="X304" s="66" t="s">
        <v>685</v>
      </c>
      <c r="Y304" s="66" t="s">
        <v>685</v>
      </c>
      <c r="Z304" s="66" t="s">
        <v>685</v>
      </c>
      <c r="AA304" s="66">
        <v>0</v>
      </c>
      <c r="AB304" s="66">
        <v>0</v>
      </c>
      <c r="AC304" s="66">
        <v>0</v>
      </c>
    </row>
    <row r="305" spans="1:29">
      <c r="A305" s="43" t="s">
        <v>575</v>
      </c>
      <c r="B305" s="43" t="s">
        <v>243</v>
      </c>
      <c r="C305" s="72">
        <v>0</v>
      </c>
      <c r="D305" s="72">
        <v>1.1200000000000001</v>
      </c>
      <c r="E305" s="72">
        <v>0</v>
      </c>
      <c r="F305" s="72">
        <v>0</v>
      </c>
      <c r="G305" s="72">
        <v>0</v>
      </c>
      <c r="H305" s="72">
        <v>0</v>
      </c>
      <c r="I305" s="72">
        <v>0</v>
      </c>
      <c r="J305" s="72">
        <v>0</v>
      </c>
      <c r="K305" s="72">
        <v>0</v>
      </c>
      <c r="L305" s="72">
        <v>0</v>
      </c>
      <c r="M305" s="72">
        <v>0</v>
      </c>
      <c r="N305" s="73">
        <v>0</v>
      </c>
      <c r="O305" s="73">
        <v>0</v>
      </c>
      <c r="P305" s="73">
        <v>0</v>
      </c>
      <c r="Q305" s="73">
        <v>0</v>
      </c>
      <c r="R305" s="50">
        <v>0</v>
      </c>
      <c r="S305" s="50">
        <v>0</v>
      </c>
      <c r="T305" s="66" t="s">
        <v>685</v>
      </c>
      <c r="U305" s="66" t="s">
        <v>685</v>
      </c>
      <c r="V305" s="66" t="s">
        <v>685</v>
      </c>
      <c r="W305" s="66" t="s">
        <v>685</v>
      </c>
      <c r="X305" s="66" t="s">
        <v>685</v>
      </c>
      <c r="Y305" s="66" t="s">
        <v>685</v>
      </c>
      <c r="Z305" s="66" t="s">
        <v>685</v>
      </c>
      <c r="AA305" s="66">
        <v>0</v>
      </c>
      <c r="AB305" s="66">
        <v>0</v>
      </c>
      <c r="AC305" s="66">
        <v>0</v>
      </c>
    </row>
    <row r="306" spans="1:29">
      <c r="A306" s="43" t="s">
        <v>575</v>
      </c>
      <c r="B306" s="43" t="s">
        <v>95</v>
      </c>
      <c r="C306" s="73">
        <v>3.1019999999999999</v>
      </c>
      <c r="D306" s="73">
        <v>3.1625000000000001</v>
      </c>
      <c r="E306" s="73">
        <v>5.8904999999999994</v>
      </c>
      <c r="F306" s="73">
        <v>4.0975000000000001</v>
      </c>
      <c r="G306" s="73">
        <v>5.2354500000000002</v>
      </c>
      <c r="H306" s="73">
        <v>8.6317000000000004</v>
      </c>
      <c r="I306" s="73">
        <v>4.2569999999999997</v>
      </c>
      <c r="J306" s="73">
        <v>9.4159999999999986</v>
      </c>
      <c r="K306" s="73">
        <v>0.29370000000000002</v>
      </c>
      <c r="L306" s="73">
        <v>5.1012500000000003</v>
      </c>
      <c r="M306" s="73">
        <v>19.4788</v>
      </c>
      <c r="N306" s="73">
        <v>20.36</v>
      </c>
      <c r="O306" s="73">
        <v>16.662590000000002</v>
      </c>
      <c r="P306" s="73">
        <v>25.425139999999999</v>
      </c>
      <c r="Q306" s="73">
        <v>11.8695</v>
      </c>
      <c r="R306" s="50">
        <f>(161.71*0.055)+(23.26*0.11)+(0.18*0.065)+(0.3*0.02)</f>
        <v>11.47035</v>
      </c>
      <c r="S306" s="50">
        <f>(132.087*0.055)+(20.357*0.11)+(0.408*0.02)+(1.777*0.022)</f>
        <v>9.5513089999999998</v>
      </c>
      <c r="T306" s="66">
        <f>(123.289*0.055)+(22.683*0.11)+(0.112*0.065)+(0.409*0.02)+(1.098*0.022)</f>
        <v>9.3156409999999994</v>
      </c>
      <c r="U306" s="66">
        <f>(101.81*0.055)+(22.21*0.11)+(0.33*0.065)+(0.09*0.02)+(0.58*0.022)</f>
        <v>8.0786599999999993</v>
      </c>
      <c r="V306" s="66">
        <f>(117.15*0.055)+(18.89*0.11)+(0.04*0.065)+(0.05*0.02)+(0.72*0.022)</f>
        <v>8.5405899999999999</v>
      </c>
      <c r="W306" s="66">
        <f>(105.34*0.055)+(0.45*0.02)+(0.71*0.022)</f>
        <v>5.8183200000000008</v>
      </c>
      <c r="X306" s="66">
        <f>(116.33*0.055)+(0.64*0.02)</f>
        <v>6.4109500000000006</v>
      </c>
      <c r="Y306" s="66">
        <f>(116.63*0.055)+(0.41*0.02)</f>
        <v>6.4228500000000004</v>
      </c>
      <c r="Z306" s="66">
        <f>(77.842*0.055)+(0.636*0.02)</f>
        <v>4.2940300000000002</v>
      </c>
      <c r="AA306" s="66">
        <f>62.59*0.055</f>
        <v>3.44245</v>
      </c>
      <c r="AB306" s="66">
        <f>(49.75*0.055)+(0.14*0.02)</f>
        <v>2.7390500000000002</v>
      </c>
      <c r="AC306" s="66">
        <f>(72*0.055)+(0.32*0.02)</f>
        <v>3.9664000000000001</v>
      </c>
    </row>
    <row r="307" spans="1:29">
      <c r="A307" s="43" t="s">
        <v>575</v>
      </c>
      <c r="B307" s="43" t="s">
        <v>825</v>
      </c>
      <c r="Q307" s="73">
        <v>0</v>
      </c>
      <c r="R307" s="50">
        <v>0</v>
      </c>
      <c r="S307" s="50">
        <v>0</v>
      </c>
      <c r="T307" s="66">
        <v>0</v>
      </c>
      <c r="U307" s="66">
        <v>0</v>
      </c>
      <c r="V307" s="66">
        <v>0</v>
      </c>
      <c r="W307" s="66">
        <v>0</v>
      </c>
      <c r="X307" s="66">
        <v>0</v>
      </c>
      <c r="Y307" s="66">
        <v>0</v>
      </c>
      <c r="Z307" s="66">
        <v>0</v>
      </c>
      <c r="AA307" s="66">
        <v>0</v>
      </c>
      <c r="AB307" s="66">
        <v>0</v>
      </c>
      <c r="AC307" s="66">
        <v>0</v>
      </c>
    </row>
    <row r="308" spans="1:29">
      <c r="A308" s="43" t="s">
        <v>575</v>
      </c>
      <c r="B308" s="43" t="s">
        <v>574</v>
      </c>
      <c r="C308" s="72">
        <v>2.46</v>
      </c>
      <c r="D308" s="72">
        <v>2.16</v>
      </c>
      <c r="E308" s="72">
        <v>0.96</v>
      </c>
      <c r="F308" s="72">
        <v>0</v>
      </c>
      <c r="G308" s="72">
        <v>3.5999999999999997E-2</v>
      </c>
      <c r="H308" s="72">
        <v>3.72</v>
      </c>
      <c r="I308" s="72">
        <v>6.72</v>
      </c>
      <c r="J308" s="72">
        <v>8.34</v>
      </c>
      <c r="K308" s="72">
        <v>0</v>
      </c>
      <c r="L308" s="72">
        <v>0</v>
      </c>
      <c r="M308" s="72">
        <v>-17.364000000000001</v>
      </c>
      <c r="N308" s="73">
        <v>0</v>
      </c>
      <c r="O308" s="73">
        <v>0</v>
      </c>
      <c r="P308" s="73">
        <v>0</v>
      </c>
      <c r="Q308" s="73">
        <v>0</v>
      </c>
      <c r="R308" s="50">
        <v>0</v>
      </c>
      <c r="S308" s="50">
        <v>0</v>
      </c>
      <c r="T308" s="66">
        <v>0</v>
      </c>
      <c r="U308" s="66">
        <v>0</v>
      </c>
      <c r="V308" s="66">
        <v>0</v>
      </c>
      <c r="W308" s="66">
        <v>0</v>
      </c>
      <c r="X308" s="66">
        <v>0</v>
      </c>
      <c r="Y308" s="66">
        <v>0</v>
      </c>
      <c r="Z308" s="66">
        <v>0</v>
      </c>
      <c r="AA308" s="66">
        <v>0</v>
      </c>
      <c r="AB308" s="66">
        <v>0</v>
      </c>
      <c r="AC308" s="66">
        <v>0</v>
      </c>
    </row>
    <row r="309" spans="1:29">
      <c r="A309" s="43" t="s">
        <v>575</v>
      </c>
      <c r="B309" s="43" t="s">
        <v>535</v>
      </c>
      <c r="C309" s="72">
        <v>0</v>
      </c>
      <c r="D309" s="72">
        <v>0</v>
      </c>
      <c r="E309" s="72">
        <v>0</v>
      </c>
      <c r="F309" s="72">
        <v>0</v>
      </c>
      <c r="G309" s="72">
        <v>0</v>
      </c>
      <c r="H309" s="72">
        <v>0</v>
      </c>
      <c r="I309" s="72">
        <v>0</v>
      </c>
      <c r="J309" s="72">
        <v>0</v>
      </c>
      <c r="K309" s="72">
        <v>0</v>
      </c>
      <c r="L309" s="72">
        <v>0</v>
      </c>
      <c r="M309" s="72">
        <v>0</v>
      </c>
      <c r="N309" s="73">
        <v>0</v>
      </c>
      <c r="O309" s="73">
        <v>2.7E-2</v>
      </c>
      <c r="P309" s="73">
        <v>0</v>
      </c>
      <c r="Q309" s="73">
        <v>0</v>
      </c>
      <c r="R309" s="50">
        <v>0</v>
      </c>
      <c r="S309" s="50">
        <v>0</v>
      </c>
      <c r="T309" s="66">
        <v>0</v>
      </c>
      <c r="U309" s="66">
        <v>0</v>
      </c>
      <c r="V309" s="66">
        <v>0</v>
      </c>
      <c r="W309" s="66">
        <v>0</v>
      </c>
      <c r="X309" s="66">
        <v>0</v>
      </c>
      <c r="Y309" s="66">
        <v>0</v>
      </c>
      <c r="Z309" s="66">
        <v>0</v>
      </c>
      <c r="AA309" s="66">
        <v>0</v>
      </c>
      <c r="AB309" s="66">
        <v>0</v>
      </c>
      <c r="AC309" s="66">
        <v>0</v>
      </c>
    </row>
    <row r="310" spans="1:29">
      <c r="A310" s="43" t="s">
        <v>363</v>
      </c>
      <c r="B310" s="43" t="s">
        <v>752</v>
      </c>
      <c r="Q310" s="73">
        <v>0</v>
      </c>
      <c r="R310" s="50">
        <v>0</v>
      </c>
      <c r="S310" s="50">
        <v>0</v>
      </c>
      <c r="T310" s="66" t="s">
        <v>685</v>
      </c>
      <c r="U310" s="66" t="s">
        <v>685</v>
      </c>
      <c r="V310" s="66" t="s">
        <v>685</v>
      </c>
      <c r="W310" s="66" t="s">
        <v>685</v>
      </c>
      <c r="X310" s="66" t="s">
        <v>685</v>
      </c>
      <c r="Y310" s="66" t="s">
        <v>685</v>
      </c>
      <c r="Z310" s="66" t="s">
        <v>685</v>
      </c>
      <c r="AA310" s="66">
        <v>0</v>
      </c>
      <c r="AB310" s="66">
        <v>0</v>
      </c>
      <c r="AC310" s="66">
        <v>0</v>
      </c>
    </row>
    <row r="311" spans="1:29">
      <c r="A311" s="43" t="s">
        <v>363</v>
      </c>
      <c r="B311" s="43" t="s">
        <v>663</v>
      </c>
      <c r="Q311" s="73">
        <v>0</v>
      </c>
      <c r="R311" s="50">
        <v>0</v>
      </c>
      <c r="S311" s="50">
        <v>0</v>
      </c>
      <c r="T311" s="66" t="s">
        <v>685</v>
      </c>
      <c r="U311" s="66" t="s">
        <v>685</v>
      </c>
      <c r="V311" s="66" t="s">
        <v>685</v>
      </c>
      <c r="W311" s="66" t="s">
        <v>685</v>
      </c>
      <c r="X311" s="66" t="s">
        <v>685</v>
      </c>
      <c r="Y311" s="66" t="s">
        <v>685</v>
      </c>
      <c r="Z311" s="66" t="s">
        <v>685</v>
      </c>
      <c r="AA311" s="66">
        <v>0</v>
      </c>
      <c r="AB311" s="66">
        <v>0</v>
      </c>
      <c r="AC311" s="66">
        <v>0</v>
      </c>
    </row>
    <row r="312" spans="1:29">
      <c r="A312" s="43" t="s">
        <v>363</v>
      </c>
      <c r="B312" s="43" t="s">
        <v>243</v>
      </c>
      <c r="Q312" s="73">
        <v>0</v>
      </c>
      <c r="R312" s="50">
        <v>0</v>
      </c>
      <c r="S312" s="50">
        <v>0</v>
      </c>
      <c r="T312" s="66" t="s">
        <v>685</v>
      </c>
      <c r="U312" s="66" t="s">
        <v>685</v>
      </c>
      <c r="V312" s="66" t="s">
        <v>685</v>
      </c>
      <c r="W312" s="66" t="s">
        <v>685</v>
      </c>
      <c r="X312" s="66" t="s">
        <v>685</v>
      </c>
      <c r="Y312" s="66" t="s">
        <v>685</v>
      </c>
      <c r="Z312" s="66" t="s">
        <v>685</v>
      </c>
      <c r="AA312" s="66">
        <v>0</v>
      </c>
      <c r="AB312" s="66">
        <v>0</v>
      </c>
      <c r="AC312" s="66">
        <v>0</v>
      </c>
    </row>
    <row r="313" spans="1:29">
      <c r="A313" s="43" t="s">
        <v>363</v>
      </c>
      <c r="B313" s="43" t="s">
        <v>95</v>
      </c>
      <c r="Q313" s="73">
        <f>253*0.055</f>
        <v>13.915000000000001</v>
      </c>
      <c r="R313" s="50">
        <f>(115.71*0.055)</f>
        <v>6.3640499999999998</v>
      </c>
      <c r="S313" s="50">
        <f>103*0.055</f>
        <v>5.665</v>
      </c>
      <c r="T313" s="66">
        <f>103*0.055</f>
        <v>5.665</v>
      </c>
      <c r="U313" s="66">
        <f>93*0.055</f>
        <v>5.1150000000000002</v>
      </c>
      <c r="V313" s="66">
        <f>90*0.055</f>
        <v>4.95</v>
      </c>
      <c r="W313" s="66">
        <f>90*0.055</f>
        <v>4.95</v>
      </c>
      <c r="X313" s="66">
        <f>88*0.055</f>
        <v>4.84</v>
      </c>
      <c r="Y313" s="66">
        <f>0.18*0.055</f>
        <v>9.8999999999999991E-3</v>
      </c>
      <c r="Z313" s="66">
        <f>21.861*0.055</f>
        <v>1.2023550000000001</v>
      </c>
      <c r="AA313" s="66">
        <f>15.73*0.055</f>
        <v>0.86514999999999997</v>
      </c>
      <c r="AB313" s="66">
        <f>18.64*0.055</f>
        <v>1.0252000000000001</v>
      </c>
      <c r="AC313" s="66">
        <f>17*0.055</f>
        <v>0.93500000000000005</v>
      </c>
    </row>
    <row r="314" spans="1:29">
      <c r="A314" s="43" t="s">
        <v>363</v>
      </c>
      <c r="B314" s="43" t="s">
        <v>825</v>
      </c>
      <c r="Q314" s="73">
        <v>0</v>
      </c>
      <c r="R314" s="50">
        <v>0</v>
      </c>
      <c r="S314" s="50">
        <v>0</v>
      </c>
      <c r="T314" s="66">
        <v>0</v>
      </c>
      <c r="U314" s="66">
        <v>0</v>
      </c>
      <c r="V314" s="66">
        <v>0</v>
      </c>
      <c r="W314" s="66">
        <v>0</v>
      </c>
      <c r="X314" s="66">
        <v>0</v>
      </c>
      <c r="Y314" s="66">
        <v>0</v>
      </c>
      <c r="Z314" s="66">
        <v>0</v>
      </c>
      <c r="AA314" s="66">
        <v>0</v>
      </c>
      <c r="AB314" s="66">
        <v>0</v>
      </c>
      <c r="AC314" s="66">
        <v>0</v>
      </c>
    </row>
    <row r="315" spans="1:29">
      <c r="A315" s="43" t="s">
        <v>363</v>
      </c>
      <c r="B315" s="43" t="s">
        <v>574</v>
      </c>
      <c r="Q315" s="73">
        <v>0</v>
      </c>
      <c r="R315" s="50">
        <v>0</v>
      </c>
      <c r="S315" s="50">
        <v>0</v>
      </c>
      <c r="T315" s="66">
        <v>0</v>
      </c>
      <c r="U315" s="66">
        <v>0</v>
      </c>
      <c r="V315" s="66">
        <v>0</v>
      </c>
      <c r="W315" s="66">
        <v>0</v>
      </c>
      <c r="X315" s="66">
        <v>0</v>
      </c>
      <c r="Y315" s="66">
        <v>0</v>
      </c>
      <c r="Z315" s="66">
        <v>0</v>
      </c>
      <c r="AA315" s="66">
        <v>0</v>
      </c>
      <c r="AB315" s="66">
        <v>0</v>
      </c>
      <c r="AC315" s="66">
        <v>0</v>
      </c>
    </row>
    <row r="316" spans="1:29">
      <c r="A316" s="43" t="s">
        <v>363</v>
      </c>
      <c r="B316" s="43" t="s">
        <v>535</v>
      </c>
      <c r="Q316" s="73">
        <v>0</v>
      </c>
      <c r="R316" s="50">
        <v>0</v>
      </c>
      <c r="S316" s="50">
        <v>0</v>
      </c>
      <c r="T316" s="66">
        <v>0</v>
      </c>
      <c r="U316" s="66">
        <v>0</v>
      </c>
      <c r="V316" s="66">
        <v>0</v>
      </c>
      <c r="W316" s="66">
        <v>0</v>
      </c>
      <c r="X316" s="66">
        <v>0</v>
      </c>
      <c r="Y316" s="66">
        <v>0</v>
      </c>
      <c r="Z316" s="66">
        <v>0</v>
      </c>
      <c r="AA316" s="66">
        <v>0</v>
      </c>
      <c r="AB316" s="66">
        <v>0</v>
      </c>
      <c r="AC316" s="66">
        <v>0</v>
      </c>
    </row>
    <row r="317" spans="1:29">
      <c r="A317" s="68" t="s">
        <v>245</v>
      </c>
      <c r="B317" s="68" t="s">
        <v>752</v>
      </c>
      <c r="Q317" s="73">
        <f>0.14+1.7+(0.5*0.6)</f>
        <v>2.1399999999999997</v>
      </c>
      <c r="R317" s="50">
        <v>0</v>
      </c>
      <c r="S317" s="50">
        <v>0</v>
      </c>
      <c r="T317" s="66" t="s">
        <v>685</v>
      </c>
      <c r="U317" s="66" t="s">
        <v>685</v>
      </c>
      <c r="V317" s="66" t="s">
        <v>685</v>
      </c>
      <c r="W317" s="66" t="s">
        <v>685</v>
      </c>
      <c r="X317" s="66" t="s">
        <v>685</v>
      </c>
      <c r="Y317" s="66" t="s">
        <v>685</v>
      </c>
      <c r="Z317" s="66" t="s">
        <v>685</v>
      </c>
      <c r="AA317" s="66">
        <v>0</v>
      </c>
      <c r="AB317" s="66">
        <v>0</v>
      </c>
      <c r="AC317" s="66">
        <v>0</v>
      </c>
    </row>
    <row r="318" spans="1:29">
      <c r="A318" s="68" t="s">
        <v>245</v>
      </c>
      <c r="B318" s="68" t="s">
        <v>663</v>
      </c>
      <c r="Q318" s="73">
        <v>0</v>
      </c>
      <c r="R318" s="50">
        <v>0</v>
      </c>
      <c r="S318" s="50">
        <v>0</v>
      </c>
      <c r="T318" s="66" t="s">
        <v>685</v>
      </c>
      <c r="U318" s="66" t="s">
        <v>685</v>
      </c>
      <c r="V318" s="66" t="s">
        <v>685</v>
      </c>
      <c r="W318" s="66" t="s">
        <v>685</v>
      </c>
      <c r="X318" s="66" t="s">
        <v>685</v>
      </c>
      <c r="Y318" s="66" t="s">
        <v>685</v>
      </c>
      <c r="Z318" s="66" t="s">
        <v>685</v>
      </c>
      <c r="AA318" s="66">
        <v>0</v>
      </c>
      <c r="AB318" s="66">
        <v>0</v>
      </c>
      <c r="AC318" s="66">
        <v>0</v>
      </c>
    </row>
    <row r="319" spans="1:29">
      <c r="A319" s="68" t="s">
        <v>245</v>
      </c>
      <c r="B319" s="43" t="s">
        <v>243</v>
      </c>
      <c r="Q319" s="73">
        <v>0</v>
      </c>
      <c r="R319" s="50">
        <v>0</v>
      </c>
      <c r="S319" s="50">
        <v>0</v>
      </c>
      <c r="T319" s="66" t="s">
        <v>685</v>
      </c>
      <c r="U319" s="66" t="s">
        <v>685</v>
      </c>
      <c r="V319" s="66" t="s">
        <v>685</v>
      </c>
      <c r="W319" s="66" t="s">
        <v>685</v>
      </c>
      <c r="X319" s="66" t="s">
        <v>685</v>
      </c>
      <c r="Y319" s="66" t="s">
        <v>685</v>
      </c>
      <c r="Z319" s="66" t="s">
        <v>685</v>
      </c>
      <c r="AA319" s="66">
        <v>0</v>
      </c>
      <c r="AB319" s="66">
        <v>0</v>
      </c>
      <c r="AC319" s="66">
        <v>0</v>
      </c>
    </row>
    <row r="320" spans="1:29">
      <c r="A320" s="68" t="s">
        <v>245</v>
      </c>
      <c r="B320" s="68" t="s">
        <v>95</v>
      </c>
      <c r="Q320" s="73">
        <f>1.8*0.055</f>
        <v>9.9000000000000005E-2</v>
      </c>
      <c r="R320" s="50">
        <f>20.13*0.055</f>
        <v>1.1071499999999999</v>
      </c>
      <c r="S320" s="50">
        <f>17.5*0.055</f>
        <v>0.96250000000000002</v>
      </c>
      <c r="T320" s="66">
        <f>18.3*0.055</f>
        <v>1.0065</v>
      </c>
      <c r="U320" s="66">
        <f>18.6*0.055</f>
        <v>1.0230000000000001</v>
      </c>
      <c r="V320" s="66">
        <f>18.2*0.055</f>
        <v>1.0009999999999999</v>
      </c>
      <c r="W320" s="66">
        <f>17.57*0.055</f>
        <v>0.96635000000000004</v>
      </c>
      <c r="X320" s="66">
        <f>17*0.055</f>
        <v>0.93500000000000005</v>
      </c>
      <c r="Y320" s="66">
        <f>16.3*0.055</f>
        <v>0.89650000000000007</v>
      </c>
      <c r="Z320" s="66">
        <f>14.8*0.055</f>
        <v>0.81400000000000006</v>
      </c>
      <c r="AA320" s="66">
        <f>13.8*0.055</f>
        <v>0.75900000000000001</v>
      </c>
      <c r="AB320" s="66">
        <f>11.2*0.055</f>
        <v>0.61599999999999999</v>
      </c>
      <c r="AC320" s="66">
        <f>11*0.055</f>
        <v>0.60499999999999998</v>
      </c>
    </row>
    <row r="321" spans="1:29">
      <c r="A321" s="68" t="s">
        <v>245</v>
      </c>
      <c r="B321" s="43" t="s">
        <v>825</v>
      </c>
      <c r="Q321" s="73">
        <v>0</v>
      </c>
      <c r="R321" s="50">
        <v>0</v>
      </c>
      <c r="S321" s="50">
        <v>0</v>
      </c>
      <c r="T321" s="66">
        <v>0</v>
      </c>
      <c r="U321" s="66">
        <v>0</v>
      </c>
      <c r="V321" s="66">
        <v>0</v>
      </c>
      <c r="W321" s="66">
        <v>0</v>
      </c>
      <c r="X321" s="66">
        <v>0</v>
      </c>
      <c r="Y321" s="66">
        <v>0</v>
      </c>
      <c r="Z321" s="66">
        <v>0</v>
      </c>
      <c r="AA321" s="66">
        <v>0</v>
      </c>
      <c r="AB321" s="66">
        <v>0</v>
      </c>
      <c r="AC321" s="66">
        <v>0</v>
      </c>
    </row>
    <row r="322" spans="1:29">
      <c r="A322" s="68" t="s">
        <v>245</v>
      </c>
      <c r="B322" s="43" t="s">
        <v>574</v>
      </c>
      <c r="Q322" s="73">
        <v>0</v>
      </c>
      <c r="R322" s="50">
        <v>0</v>
      </c>
      <c r="S322" s="50">
        <v>0</v>
      </c>
      <c r="T322" s="66">
        <v>0</v>
      </c>
      <c r="U322" s="66">
        <v>0</v>
      </c>
      <c r="V322" s="66">
        <v>0</v>
      </c>
      <c r="W322" s="66">
        <v>0</v>
      </c>
      <c r="X322" s="66">
        <v>0</v>
      </c>
      <c r="Y322" s="66">
        <v>0</v>
      </c>
      <c r="Z322" s="66">
        <v>0</v>
      </c>
      <c r="AA322" s="66">
        <v>0</v>
      </c>
      <c r="AB322" s="66">
        <v>0</v>
      </c>
      <c r="AC322" s="66">
        <v>0</v>
      </c>
    </row>
    <row r="323" spans="1:29">
      <c r="A323" s="68" t="s">
        <v>245</v>
      </c>
      <c r="B323" s="68" t="s">
        <v>535</v>
      </c>
      <c r="Q323" s="73">
        <v>0</v>
      </c>
      <c r="R323" s="50">
        <v>0</v>
      </c>
      <c r="S323" s="50">
        <v>0</v>
      </c>
      <c r="T323" s="66">
        <v>0</v>
      </c>
      <c r="U323" s="66">
        <v>0</v>
      </c>
      <c r="V323" s="66">
        <v>0</v>
      </c>
      <c r="W323" s="66">
        <v>0</v>
      </c>
      <c r="X323" s="66">
        <v>0</v>
      </c>
      <c r="Y323" s="66">
        <v>0</v>
      </c>
      <c r="Z323" s="66">
        <v>0</v>
      </c>
      <c r="AA323" s="66">
        <v>0</v>
      </c>
      <c r="AB323" s="66">
        <v>0</v>
      </c>
      <c r="AC323" s="66">
        <v>0</v>
      </c>
    </row>
    <row r="324" spans="1:29">
      <c r="A324" s="43" t="s">
        <v>844</v>
      </c>
      <c r="B324" s="43" t="s">
        <v>752</v>
      </c>
      <c r="E324" s="72">
        <v>16.36</v>
      </c>
      <c r="H324" s="72">
        <v>0.13600000000000001</v>
      </c>
      <c r="I324" s="72">
        <v>1.3460000000000001</v>
      </c>
      <c r="N324" s="73">
        <v>0.19</v>
      </c>
      <c r="O324" s="73">
        <v>0</v>
      </c>
      <c r="P324" s="73">
        <v>0</v>
      </c>
      <c r="Q324" s="73">
        <v>0</v>
      </c>
      <c r="R324" s="50">
        <v>0</v>
      </c>
      <c r="S324" s="50">
        <v>0</v>
      </c>
      <c r="T324" s="66" t="s">
        <v>685</v>
      </c>
      <c r="U324" s="66" t="s">
        <v>685</v>
      </c>
      <c r="V324" s="66" t="s">
        <v>685</v>
      </c>
      <c r="W324" s="66" t="s">
        <v>685</v>
      </c>
      <c r="X324" s="66" t="s">
        <v>685</v>
      </c>
      <c r="Y324" s="72" t="s">
        <v>685</v>
      </c>
      <c r="Z324" s="66" t="s">
        <v>685</v>
      </c>
      <c r="AA324" s="66">
        <v>0</v>
      </c>
      <c r="AB324" s="66">
        <v>0</v>
      </c>
      <c r="AC324" s="66">
        <v>0</v>
      </c>
    </row>
    <row r="325" spans="1:29">
      <c r="A325" s="43" t="s">
        <v>844</v>
      </c>
      <c r="B325" s="43" t="s">
        <v>663</v>
      </c>
      <c r="E325" s="72">
        <v>0</v>
      </c>
      <c r="H325" s="72">
        <v>0</v>
      </c>
      <c r="I325" s="72">
        <v>0</v>
      </c>
      <c r="N325" s="73">
        <v>0</v>
      </c>
      <c r="O325" s="73">
        <v>0</v>
      </c>
      <c r="P325" s="73">
        <v>0</v>
      </c>
      <c r="Q325" s="73">
        <v>0</v>
      </c>
      <c r="R325" s="50">
        <v>0</v>
      </c>
      <c r="S325" s="50">
        <v>0</v>
      </c>
      <c r="T325" s="66" t="s">
        <v>685</v>
      </c>
      <c r="U325" s="66" t="s">
        <v>685</v>
      </c>
      <c r="V325" s="66" t="s">
        <v>685</v>
      </c>
      <c r="W325" s="66" t="s">
        <v>685</v>
      </c>
      <c r="X325" s="66" t="s">
        <v>685</v>
      </c>
      <c r="Y325" s="72" t="s">
        <v>685</v>
      </c>
      <c r="Z325" s="66" t="s">
        <v>685</v>
      </c>
      <c r="AA325" s="66">
        <v>0</v>
      </c>
      <c r="AB325" s="66">
        <v>0</v>
      </c>
      <c r="AC325" s="66">
        <v>0</v>
      </c>
    </row>
    <row r="326" spans="1:29">
      <c r="A326" s="43" t="s">
        <v>844</v>
      </c>
      <c r="B326" s="43" t="s">
        <v>243</v>
      </c>
      <c r="E326" s="72">
        <v>0</v>
      </c>
      <c r="H326" s="72">
        <v>0</v>
      </c>
      <c r="I326" s="72">
        <v>0</v>
      </c>
      <c r="N326" s="73">
        <v>0</v>
      </c>
      <c r="O326" s="73">
        <v>0</v>
      </c>
      <c r="P326" s="73">
        <v>0</v>
      </c>
      <c r="Q326" s="73">
        <v>0</v>
      </c>
      <c r="R326" s="50">
        <v>0</v>
      </c>
      <c r="S326" s="50">
        <v>0</v>
      </c>
      <c r="T326" s="66" t="s">
        <v>685</v>
      </c>
      <c r="U326" s="66" t="s">
        <v>685</v>
      </c>
      <c r="V326" s="66" t="s">
        <v>685</v>
      </c>
      <c r="W326" s="66" t="s">
        <v>685</v>
      </c>
      <c r="X326" s="66" t="s">
        <v>685</v>
      </c>
      <c r="Y326" s="72" t="s">
        <v>685</v>
      </c>
      <c r="Z326" s="66" t="s">
        <v>685</v>
      </c>
      <c r="AA326" s="66">
        <v>0</v>
      </c>
      <c r="AB326" s="66">
        <v>0</v>
      </c>
      <c r="AC326" s="66">
        <v>0</v>
      </c>
    </row>
    <row r="327" spans="1:29">
      <c r="A327" s="43" t="s">
        <v>844</v>
      </c>
      <c r="B327" s="43" t="s">
        <v>95</v>
      </c>
      <c r="E327" s="73">
        <v>0.78374999999999995</v>
      </c>
      <c r="H327" s="73">
        <v>0.48377349999999997</v>
      </c>
      <c r="I327" s="73">
        <v>0.33060499999999998</v>
      </c>
      <c r="N327" s="73">
        <v>1.089</v>
      </c>
      <c r="O327" s="73">
        <v>5.5995500000000007</v>
      </c>
      <c r="P327" s="73">
        <v>2.9590000000000001</v>
      </c>
      <c r="Q327" s="73">
        <f>(33.3*0.055)</f>
        <v>1.8314999999999999</v>
      </c>
      <c r="R327" s="50">
        <f>(28.62*0.055)</f>
        <v>1.5741000000000001</v>
      </c>
      <c r="S327" s="50">
        <f>(17.4*0.055)</f>
        <v>0.95699999999999996</v>
      </c>
      <c r="T327" s="66">
        <f>(23.6*0.055)</f>
        <v>1.298</v>
      </c>
      <c r="U327" s="66">
        <f>(21.4*0.055)</f>
        <v>1.1769999999999998</v>
      </c>
      <c r="V327" s="66">
        <f>(26.7*0.055)</f>
        <v>1.4684999999999999</v>
      </c>
      <c r="W327" s="66">
        <f>18.54*0.055</f>
        <v>1.0197000000000001</v>
      </c>
      <c r="X327" s="66">
        <f>21.2*0.055</f>
        <v>1.1659999999999999</v>
      </c>
      <c r="Y327" s="66">
        <f>13.6*0.055</f>
        <v>0.748</v>
      </c>
      <c r="Z327" s="66">
        <f>8.5*0.055</f>
        <v>0.46750000000000003</v>
      </c>
      <c r="AA327" s="66">
        <f>5.8*0.055</f>
        <v>0.31900000000000001</v>
      </c>
      <c r="AB327" s="66">
        <f>7.41*0.055</f>
        <v>0.40755000000000002</v>
      </c>
      <c r="AC327" s="66">
        <f>6.7948*0.055</f>
        <v>0.37371400000000005</v>
      </c>
    </row>
    <row r="328" spans="1:29">
      <c r="A328" s="43" t="s">
        <v>844</v>
      </c>
      <c r="B328" s="43" t="s">
        <v>825</v>
      </c>
      <c r="Q328" s="73">
        <f>66.6*0.11</f>
        <v>7.3259999999999996</v>
      </c>
      <c r="R328" s="50">
        <f>31.14*0.11</f>
        <v>3.4254000000000002</v>
      </c>
      <c r="S328" s="50">
        <f>19.8*0.11</f>
        <v>2.1779999999999999</v>
      </c>
      <c r="T328" s="50">
        <f>22.2*0.11</f>
        <v>2.4419999999999997</v>
      </c>
      <c r="U328" s="50">
        <f>32.8*0.11</f>
        <v>3.6079999999999997</v>
      </c>
      <c r="V328" s="66">
        <f>2.4*0.11</f>
        <v>0.26400000000000001</v>
      </c>
      <c r="W328" s="66">
        <v>0</v>
      </c>
      <c r="X328" s="66">
        <v>0</v>
      </c>
      <c r="Y328" s="66">
        <v>0</v>
      </c>
      <c r="Z328" s="66">
        <v>0</v>
      </c>
      <c r="AA328" s="66">
        <v>0</v>
      </c>
      <c r="AB328" s="66">
        <v>0</v>
      </c>
      <c r="AC328" s="66">
        <v>0</v>
      </c>
    </row>
    <row r="329" spans="1:29">
      <c r="A329" s="43" t="s">
        <v>844</v>
      </c>
      <c r="B329" s="43" t="s">
        <v>574</v>
      </c>
      <c r="E329" s="72">
        <v>0.72</v>
      </c>
      <c r="H329" s="72">
        <v>0.68</v>
      </c>
      <c r="I329" s="72">
        <v>0.54</v>
      </c>
      <c r="N329" s="73">
        <v>4.8000000000000001E-2</v>
      </c>
      <c r="O329" s="73">
        <v>1.2E-2</v>
      </c>
      <c r="P329" s="73">
        <v>6.0000000000000001E-3</v>
      </c>
      <c r="Q329" s="73">
        <v>0</v>
      </c>
      <c r="R329" s="50">
        <v>0</v>
      </c>
      <c r="S329" s="50">
        <v>0</v>
      </c>
      <c r="T329" s="66">
        <v>0</v>
      </c>
      <c r="U329" s="66">
        <v>0</v>
      </c>
      <c r="V329" s="66">
        <v>0</v>
      </c>
      <c r="W329" s="66">
        <v>0</v>
      </c>
      <c r="X329" s="66">
        <v>0</v>
      </c>
      <c r="Y329" s="66">
        <v>0</v>
      </c>
      <c r="Z329" s="66">
        <v>0</v>
      </c>
      <c r="AA329" s="66">
        <v>0</v>
      </c>
      <c r="AB329" s="66">
        <v>0</v>
      </c>
      <c r="AC329" s="66">
        <v>0</v>
      </c>
    </row>
    <row r="330" spans="1:29">
      <c r="A330" s="43" t="s">
        <v>844</v>
      </c>
      <c r="B330" s="43" t="s">
        <v>535</v>
      </c>
      <c r="E330" s="72">
        <v>0</v>
      </c>
      <c r="H330" s="72">
        <v>0</v>
      </c>
      <c r="I330" s="72">
        <v>0</v>
      </c>
      <c r="N330" s="73">
        <v>0</v>
      </c>
      <c r="O330" s="73">
        <v>0</v>
      </c>
      <c r="P330" s="73">
        <v>0</v>
      </c>
      <c r="Q330" s="73">
        <v>0</v>
      </c>
      <c r="R330" s="50">
        <v>0</v>
      </c>
      <c r="S330" s="50">
        <v>0</v>
      </c>
      <c r="T330" s="66">
        <v>0</v>
      </c>
      <c r="U330" s="66">
        <v>0</v>
      </c>
      <c r="V330" s="66">
        <v>0</v>
      </c>
      <c r="W330" s="66">
        <v>0</v>
      </c>
      <c r="X330" s="66">
        <v>0</v>
      </c>
      <c r="Y330" s="66">
        <v>0</v>
      </c>
      <c r="Z330" s="66">
        <v>0</v>
      </c>
      <c r="AA330" s="66">
        <v>0</v>
      </c>
      <c r="AB330" s="66">
        <v>0</v>
      </c>
      <c r="AC330" s="66">
        <v>0</v>
      </c>
    </row>
    <row r="331" spans="1:29">
      <c r="A331" s="43" t="s">
        <v>576</v>
      </c>
      <c r="B331" s="43" t="s">
        <v>752</v>
      </c>
      <c r="C331" s="72">
        <v>32.54</v>
      </c>
      <c r="D331" s="72">
        <v>34</v>
      </c>
      <c r="E331" s="72">
        <v>35.04</v>
      </c>
      <c r="F331" s="72">
        <v>38.24</v>
      </c>
      <c r="G331" s="72">
        <v>39.24</v>
      </c>
      <c r="H331" s="72">
        <v>39.200000000000003</v>
      </c>
      <c r="I331" s="72">
        <v>34.6</v>
      </c>
      <c r="J331" s="72">
        <v>30</v>
      </c>
      <c r="K331" s="72">
        <v>28</v>
      </c>
      <c r="M331" s="72">
        <v>15.5</v>
      </c>
      <c r="N331" s="73">
        <v>12.9</v>
      </c>
      <c r="O331" s="73">
        <v>4.8899999999999997</v>
      </c>
      <c r="P331" s="73">
        <v>4.26</v>
      </c>
      <c r="Q331" s="73">
        <f>1.4+(1*0.6)</f>
        <v>2</v>
      </c>
      <c r="R331" s="50">
        <v>0</v>
      </c>
      <c r="S331" s="50">
        <v>0</v>
      </c>
      <c r="T331" s="66" t="s">
        <v>685</v>
      </c>
      <c r="U331" s="66" t="s">
        <v>685</v>
      </c>
      <c r="V331" s="66" t="s">
        <v>685</v>
      </c>
      <c r="W331" s="66" t="s">
        <v>685</v>
      </c>
      <c r="X331" s="66" t="s">
        <v>685</v>
      </c>
      <c r="Y331" s="66" t="s">
        <v>685</v>
      </c>
      <c r="Z331" s="66" t="s">
        <v>685</v>
      </c>
      <c r="AA331" s="66">
        <v>0</v>
      </c>
      <c r="AB331" s="66">
        <v>0</v>
      </c>
      <c r="AC331" s="66">
        <v>0</v>
      </c>
    </row>
    <row r="332" spans="1:29">
      <c r="A332" s="43" t="s">
        <v>576</v>
      </c>
      <c r="B332" s="43" t="s">
        <v>663</v>
      </c>
      <c r="C332" s="72">
        <v>0</v>
      </c>
      <c r="D332" s="72">
        <v>0</v>
      </c>
      <c r="E332" s="72">
        <v>0</v>
      </c>
      <c r="F332" s="72">
        <v>0</v>
      </c>
      <c r="G332" s="72">
        <v>0</v>
      </c>
      <c r="H332" s="72">
        <v>0</v>
      </c>
      <c r="I332" s="72">
        <v>0</v>
      </c>
      <c r="J332" s="72">
        <v>0</v>
      </c>
      <c r="K332" s="72">
        <v>0</v>
      </c>
      <c r="M332" s="72">
        <v>0</v>
      </c>
      <c r="N332" s="73">
        <v>0</v>
      </c>
      <c r="O332" s="73">
        <v>0</v>
      </c>
      <c r="P332" s="73">
        <v>4.3999999999999997E-2</v>
      </c>
      <c r="Q332" s="73">
        <f>0.02*1.1</f>
        <v>2.2000000000000002E-2</v>
      </c>
      <c r="R332" s="50">
        <v>0</v>
      </c>
      <c r="S332" s="50">
        <v>0</v>
      </c>
      <c r="T332" s="66" t="s">
        <v>685</v>
      </c>
      <c r="U332" s="66" t="s">
        <v>685</v>
      </c>
      <c r="V332" s="66" t="s">
        <v>685</v>
      </c>
      <c r="W332" s="66" t="s">
        <v>685</v>
      </c>
      <c r="X332" s="66" t="s">
        <v>685</v>
      </c>
      <c r="Y332" s="66" t="s">
        <v>685</v>
      </c>
      <c r="Z332" s="66" t="s">
        <v>685</v>
      </c>
      <c r="AA332" s="66">
        <v>0</v>
      </c>
      <c r="AB332" s="66">
        <v>0</v>
      </c>
      <c r="AC332" s="66">
        <v>0</v>
      </c>
    </row>
    <row r="333" spans="1:29" ht="12.6" customHeight="1">
      <c r="A333" s="43" t="s">
        <v>576</v>
      </c>
      <c r="B333" s="43" t="s">
        <v>243</v>
      </c>
      <c r="C333" s="72">
        <v>3</v>
      </c>
      <c r="D333" s="72">
        <v>0.15</v>
      </c>
      <c r="E333" s="72">
        <v>0.09</v>
      </c>
      <c r="F333" s="72">
        <v>0.9</v>
      </c>
      <c r="G333" s="72">
        <v>0.9</v>
      </c>
      <c r="H333" s="72">
        <v>0.9</v>
      </c>
      <c r="I333" s="72">
        <v>0.9</v>
      </c>
      <c r="J333" s="72">
        <v>0.9</v>
      </c>
      <c r="K333" s="72">
        <v>0.9</v>
      </c>
      <c r="M333" s="72">
        <v>0.42</v>
      </c>
      <c r="N333" s="73">
        <v>1</v>
      </c>
      <c r="O333" s="73">
        <v>0</v>
      </c>
      <c r="P333" s="73">
        <v>0</v>
      </c>
      <c r="Q333" s="73">
        <v>0</v>
      </c>
      <c r="R333" s="50">
        <v>0</v>
      </c>
      <c r="S333" s="50">
        <v>0</v>
      </c>
      <c r="T333" s="66" t="s">
        <v>685</v>
      </c>
      <c r="U333" s="66" t="s">
        <v>685</v>
      </c>
      <c r="V333" s="66" t="s">
        <v>685</v>
      </c>
      <c r="W333" s="66" t="s">
        <v>685</v>
      </c>
      <c r="X333" s="66" t="s">
        <v>685</v>
      </c>
      <c r="Y333" s="66" t="s">
        <v>685</v>
      </c>
      <c r="Z333" s="66" t="s">
        <v>685</v>
      </c>
      <c r="AA333" s="66">
        <v>0</v>
      </c>
      <c r="AB333" s="66">
        <v>0</v>
      </c>
      <c r="AC333" s="66">
        <v>0</v>
      </c>
    </row>
    <row r="334" spans="1:29">
      <c r="A334" s="43" t="s">
        <v>576</v>
      </c>
      <c r="B334" s="43" t="s">
        <v>95</v>
      </c>
      <c r="C334" s="73">
        <v>1.2925</v>
      </c>
      <c r="D334" s="73">
        <v>1.32</v>
      </c>
      <c r="E334" s="73">
        <v>1.4228500000000002</v>
      </c>
      <c r="F334" s="73">
        <v>1.54</v>
      </c>
      <c r="G334" s="73">
        <v>0</v>
      </c>
      <c r="H334" s="73">
        <v>0</v>
      </c>
      <c r="I334" s="73">
        <v>0</v>
      </c>
      <c r="J334" s="73">
        <v>0</v>
      </c>
      <c r="K334" s="73">
        <v>0</v>
      </c>
      <c r="M334" s="73">
        <v>0</v>
      </c>
      <c r="N334" s="73">
        <v>0</v>
      </c>
      <c r="O334" s="50">
        <v>3.3000000000000002E-2</v>
      </c>
      <c r="P334" s="50">
        <v>3.6850000000000001E-2</v>
      </c>
      <c r="Q334" s="73">
        <v>0</v>
      </c>
      <c r="R334" s="50">
        <f>205*0.055</f>
        <v>11.275</v>
      </c>
      <c r="S334" s="50">
        <f>200*0.055</f>
        <v>11</v>
      </c>
      <c r="T334" s="66">
        <f>196.36*0.055</f>
        <v>10.799800000000001</v>
      </c>
      <c r="U334" s="66">
        <f>99.2*0.055</f>
        <v>5.4560000000000004</v>
      </c>
      <c r="V334" s="66">
        <f>77.2*0.055</f>
        <v>4.2460000000000004</v>
      </c>
      <c r="W334" s="66">
        <f>85.2*0.055</f>
        <v>4.6859999999999999</v>
      </c>
      <c r="X334" s="66">
        <f>83.4*0.055</f>
        <v>4.5870000000000006</v>
      </c>
      <c r="Y334" s="66">
        <f>76*0.055</f>
        <v>4.18</v>
      </c>
      <c r="Z334" s="66">
        <f>72*0.055</f>
        <v>3.96</v>
      </c>
      <c r="AA334" s="66">
        <f>64.1*0.055</f>
        <v>3.5254999999999996</v>
      </c>
      <c r="AB334" s="66">
        <f>62*0.055</f>
        <v>3.41</v>
      </c>
      <c r="AC334" s="66">
        <f>61.2*0.055</f>
        <v>3.3660000000000001</v>
      </c>
    </row>
    <row r="335" spans="1:29">
      <c r="A335" s="43" t="s">
        <v>576</v>
      </c>
      <c r="B335" s="43" t="s">
        <v>825</v>
      </c>
      <c r="Q335" s="73">
        <v>0</v>
      </c>
      <c r="R335" s="50">
        <v>0</v>
      </c>
      <c r="S335" s="50">
        <v>0</v>
      </c>
      <c r="T335" s="66">
        <v>0</v>
      </c>
      <c r="U335" s="66">
        <v>0</v>
      </c>
      <c r="V335" s="66">
        <v>0</v>
      </c>
      <c r="W335" s="66">
        <v>0</v>
      </c>
      <c r="X335" s="66">
        <v>0</v>
      </c>
      <c r="Y335" s="66">
        <v>0</v>
      </c>
      <c r="Z335" s="66">
        <v>0</v>
      </c>
      <c r="AA335" s="66">
        <v>0</v>
      </c>
      <c r="AB335" s="66">
        <v>0</v>
      </c>
      <c r="AC335" s="66">
        <v>0</v>
      </c>
    </row>
    <row r="336" spans="1:29">
      <c r="A336" s="43" t="s">
        <v>576</v>
      </c>
      <c r="B336" s="43" t="s">
        <v>574</v>
      </c>
      <c r="C336" s="72">
        <v>18</v>
      </c>
      <c r="D336" s="72">
        <v>19.2</v>
      </c>
      <c r="E336" s="72">
        <v>21</v>
      </c>
      <c r="F336" s="72">
        <v>21.6</v>
      </c>
      <c r="G336" s="72">
        <v>21.6</v>
      </c>
      <c r="H336" s="72">
        <v>17.399999999999999</v>
      </c>
      <c r="I336" s="72">
        <v>14.4</v>
      </c>
      <c r="J336" s="72">
        <v>12</v>
      </c>
      <c r="K336" s="72">
        <v>10.8</v>
      </c>
      <c r="M336" s="72">
        <v>6.6</v>
      </c>
      <c r="N336" s="73">
        <v>0</v>
      </c>
      <c r="O336" s="73">
        <v>0.14580000000000001</v>
      </c>
      <c r="P336" s="73">
        <v>4.32</v>
      </c>
      <c r="Q336" s="73">
        <v>0</v>
      </c>
      <c r="R336" s="50">
        <v>0</v>
      </c>
      <c r="S336" s="50">
        <v>0</v>
      </c>
      <c r="T336" s="66">
        <v>0</v>
      </c>
      <c r="U336" s="66">
        <v>0</v>
      </c>
      <c r="V336" s="66">
        <v>0</v>
      </c>
      <c r="W336" s="66">
        <v>0</v>
      </c>
      <c r="X336" s="66">
        <v>0</v>
      </c>
      <c r="Y336" s="66">
        <v>0</v>
      </c>
      <c r="Z336" s="66">
        <v>0</v>
      </c>
      <c r="AA336" s="66">
        <v>0</v>
      </c>
      <c r="AB336" s="66">
        <v>0</v>
      </c>
      <c r="AC336" s="66">
        <v>0</v>
      </c>
    </row>
    <row r="337" spans="1:29">
      <c r="A337" s="43" t="s">
        <v>576</v>
      </c>
      <c r="B337" s="43" t="s">
        <v>535</v>
      </c>
      <c r="C337" s="72">
        <v>0.45600000000000002</v>
      </c>
      <c r="D337" s="72">
        <v>0.45600000000000002</v>
      </c>
      <c r="E337" s="72">
        <v>0.45600000000000002</v>
      </c>
      <c r="F337" s="72">
        <v>0.45600000000000002</v>
      </c>
      <c r="G337" s="72">
        <v>0.45600000000000002</v>
      </c>
      <c r="H337" s="72">
        <v>0.45600000000000002</v>
      </c>
      <c r="I337" s="72">
        <v>0.4</v>
      </c>
      <c r="J337" s="72">
        <v>0.38</v>
      </c>
      <c r="K337" s="72">
        <v>0</v>
      </c>
      <c r="M337" s="72">
        <v>0</v>
      </c>
      <c r="N337" s="73">
        <v>0</v>
      </c>
      <c r="O337" s="73">
        <v>0</v>
      </c>
      <c r="P337" s="73">
        <v>0</v>
      </c>
      <c r="Q337" s="73">
        <v>0</v>
      </c>
      <c r="R337" s="50">
        <v>0</v>
      </c>
      <c r="S337" s="50">
        <v>0</v>
      </c>
      <c r="T337" s="66">
        <v>0</v>
      </c>
      <c r="U337" s="66">
        <v>0</v>
      </c>
      <c r="V337" s="66">
        <v>0</v>
      </c>
      <c r="W337" s="66">
        <v>0</v>
      </c>
      <c r="X337" s="66">
        <v>0</v>
      </c>
      <c r="Y337" s="66">
        <v>0</v>
      </c>
      <c r="Z337" s="66">
        <v>0</v>
      </c>
      <c r="AA337" s="66">
        <v>0</v>
      </c>
      <c r="AB337" s="66">
        <v>0</v>
      </c>
      <c r="AC337" s="66">
        <v>0</v>
      </c>
    </row>
    <row r="338" spans="1:29">
      <c r="A338" s="43" t="s">
        <v>577</v>
      </c>
      <c r="B338" s="43" t="s">
        <v>752</v>
      </c>
      <c r="E338" s="72">
        <v>13.75</v>
      </c>
      <c r="F338" s="72">
        <v>19.106000000000002</v>
      </c>
      <c r="G338" s="72">
        <v>9.3800000000000008</v>
      </c>
      <c r="H338" s="72">
        <v>0</v>
      </c>
      <c r="I338" s="72">
        <v>0</v>
      </c>
      <c r="J338" s="72">
        <v>0</v>
      </c>
      <c r="K338" s="72">
        <v>0</v>
      </c>
      <c r="L338" s="72">
        <v>0</v>
      </c>
      <c r="M338" s="72">
        <v>0</v>
      </c>
      <c r="N338" s="73">
        <v>0</v>
      </c>
      <c r="O338" s="73">
        <v>0</v>
      </c>
      <c r="P338" s="73">
        <v>0</v>
      </c>
      <c r="Q338" s="73">
        <v>0</v>
      </c>
      <c r="R338" s="50">
        <v>0</v>
      </c>
      <c r="S338" s="50">
        <v>0</v>
      </c>
      <c r="T338" s="66" t="s">
        <v>685</v>
      </c>
      <c r="U338" s="66" t="s">
        <v>685</v>
      </c>
      <c r="V338" s="66" t="s">
        <v>685</v>
      </c>
      <c r="W338" s="66" t="s">
        <v>685</v>
      </c>
      <c r="X338" s="66" t="s">
        <v>685</v>
      </c>
      <c r="Y338" s="66" t="s">
        <v>685</v>
      </c>
      <c r="Z338" s="66" t="s">
        <v>685</v>
      </c>
      <c r="AA338" s="66">
        <v>0</v>
      </c>
      <c r="AB338" s="66">
        <v>0</v>
      </c>
      <c r="AC338" s="66">
        <v>0</v>
      </c>
    </row>
    <row r="339" spans="1:29">
      <c r="A339" s="43" t="s">
        <v>577</v>
      </c>
      <c r="B339" s="43" t="s">
        <v>663</v>
      </c>
      <c r="E339" s="72">
        <v>0</v>
      </c>
      <c r="F339" s="72">
        <v>0</v>
      </c>
      <c r="G339" s="72">
        <v>0</v>
      </c>
      <c r="H339" s="72">
        <v>0</v>
      </c>
      <c r="I339" s="72">
        <v>0</v>
      </c>
      <c r="J339" s="72">
        <v>0</v>
      </c>
      <c r="K339" s="72">
        <v>0</v>
      </c>
      <c r="L339" s="72">
        <v>0</v>
      </c>
      <c r="M339" s="72">
        <v>0</v>
      </c>
      <c r="N339" s="73">
        <v>0</v>
      </c>
      <c r="O339" s="73">
        <v>0</v>
      </c>
      <c r="P339" s="73">
        <v>0</v>
      </c>
      <c r="Q339" s="73">
        <v>0</v>
      </c>
      <c r="R339" s="50">
        <v>0</v>
      </c>
      <c r="S339" s="50">
        <v>0</v>
      </c>
      <c r="T339" s="66" t="s">
        <v>685</v>
      </c>
      <c r="U339" s="66" t="s">
        <v>685</v>
      </c>
      <c r="V339" s="66" t="s">
        <v>685</v>
      </c>
      <c r="W339" s="66" t="s">
        <v>685</v>
      </c>
      <c r="X339" s="66" t="s">
        <v>685</v>
      </c>
      <c r="Y339" s="66" t="s">
        <v>685</v>
      </c>
      <c r="Z339" s="66" t="s">
        <v>685</v>
      </c>
      <c r="AA339" s="66">
        <v>0</v>
      </c>
      <c r="AB339" s="66">
        <v>0</v>
      </c>
      <c r="AC339" s="66">
        <v>0</v>
      </c>
    </row>
    <row r="340" spans="1:29">
      <c r="A340" s="43" t="s">
        <v>577</v>
      </c>
      <c r="B340" s="43" t="s">
        <v>243</v>
      </c>
      <c r="E340" s="72">
        <v>0</v>
      </c>
      <c r="F340" s="72">
        <v>0</v>
      </c>
      <c r="G340" s="72">
        <v>0</v>
      </c>
      <c r="H340" s="72">
        <v>0</v>
      </c>
      <c r="I340" s="72">
        <v>0</v>
      </c>
      <c r="J340" s="72">
        <v>0</v>
      </c>
      <c r="K340" s="72">
        <v>0</v>
      </c>
      <c r="L340" s="72">
        <v>0</v>
      </c>
      <c r="M340" s="72">
        <v>0</v>
      </c>
      <c r="N340" s="73">
        <v>-3.32</v>
      </c>
      <c r="O340" s="73">
        <v>0</v>
      </c>
      <c r="P340" s="73">
        <v>0</v>
      </c>
      <c r="Q340" s="73">
        <v>0</v>
      </c>
      <c r="R340" s="50">
        <v>0</v>
      </c>
      <c r="S340" s="50">
        <v>0</v>
      </c>
      <c r="T340" s="66" t="s">
        <v>685</v>
      </c>
      <c r="U340" s="66" t="s">
        <v>685</v>
      </c>
      <c r="V340" s="66" t="s">
        <v>685</v>
      </c>
      <c r="W340" s="66" t="s">
        <v>685</v>
      </c>
      <c r="X340" s="66" t="s">
        <v>685</v>
      </c>
      <c r="Y340" s="66" t="s">
        <v>685</v>
      </c>
      <c r="Z340" s="66" t="s">
        <v>685</v>
      </c>
      <c r="AA340" s="66">
        <v>0</v>
      </c>
      <c r="AB340" s="66">
        <v>0</v>
      </c>
      <c r="AC340" s="66">
        <v>0</v>
      </c>
    </row>
    <row r="341" spans="1:29">
      <c r="A341" s="43" t="s">
        <v>577</v>
      </c>
      <c r="B341" s="43" t="s">
        <v>95</v>
      </c>
      <c r="E341" s="73">
        <v>3.8884999999999996E-2</v>
      </c>
      <c r="F341" s="73">
        <v>2.4035000000000002</v>
      </c>
      <c r="G341" s="73">
        <v>1.012</v>
      </c>
      <c r="H341" s="73">
        <v>1.5565</v>
      </c>
      <c r="I341" s="73">
        <v>1.375</v>
      </c>
      <c r="J341" s="73">
        <v>0.44700000000000001</v>
      </c>
      <c r="K341" s="73">
        <v>-2.1901000000000002</v>
      </c>
      <c r="L341" s="73">
        <v>3.689873</v>
      </c>
      <c r="M341" s="73">
        <v>5.1397500000000003</v>
      </c>
      <c r="N341" s="73">
        <v>4.6975499999999997</v>
      </c>
      <c r="O341" s="73">
        <v>4.0683499999999997</v>
      </c>
      <c r="P341" s="73">
        <v>4.733136</v>
      </c>
      <c r="Q341" s="73">
        <f>((139.7569-1.7136)*0.055)+(0.6486*0.065)</f>
        <v>7.6345404999999991</v>
      </c>
      <c r="R341" s="50">
        <f>((167.6993-1.463)*0.055)+((0.695-0.0463)*0.065)</f>
        <v>9.185162</v>
      </c>
      <c r="S341" s="50">
        <f>((265.6994-3.1688)*0.055)+(0.3243*0.065)</f>
        <v>14.460262500000004</v>
      </c>
      <c r="T341" s="66">
        <f>((263.5897-2.748)*0.055)+((0.3938-0.0139)*0.065)</f>
        <v>14.370987</v>
      </c>
      <c r="U341" s="66">
        <f>((185.034-62.0717)*0.055)+(-0.0185*0.065)</f>
        <v>6.7617240000000001</v>
      </c>
      <c r="V341" s="66">
        <f>((158.87-37.38)*0.055)+((0.54-0.26)*0.065)</f>
        <v>6.7001500000000007</v>
      </c>
      <c r="W341" s="66">
        <f>((151.27-81.24)*0.055)+(0.32*0.065)</f>
        <v>3.8724500000000006</v>
      </c>
      <c r="X341" s="66">
        <f>((181.31-106.88)*0.055)+(0.09*0.065)</f>
        <v>4.0994999999999999</v>
      </c>
      <c r="Y341" s="66">
        <f>(160.58-92.98)*0.055</f>
        <v>3.7180000000000004</v>
      </c>
      <c r="Z341" s="66">
        <f>((161.63-86.4)*0.055)+(0.04633*0.065)</f>
        <v>4.1406614499999996</v>
      </c>
      <c r="AA341" s="66">
        <f>((176.63-92.72)*0.055)+(0.05*0.065)</f>
        <v>4.6183000000000005</v>
      </c>
      <c r="AB341" s="66">
        <f>(110.1139-71.5804)*0.055</f>
        <v>2.1193425000000001</v>
      </c>
      <c r="AC341" s="66">
        <f>(51.809-49.339)*0.055</f>
        <v>0.13584999999999994</v>
      </c>
    </row>
    <row r="342" spans="1:29">
      <c r="A342" s="43" t="s">
        <v>577</v>
      </c>
      <c r="B342" s="43" t="s">
        <v>825</v>
      </c>
      <c r="Q342" s="73">
        <v>0</v>
      </c>
      <c r="R342" s="50">
        <v>0</v>
      </c>
      <c r="S342" s="50">
        <v>0</v>
      </c>
      <c r="T342" s="66">
        <v>0</v>
      </c>
      <c r="U342" s="66">
        <v>0</v>
      </c>
      <c r="V342" s="66">
        <v>0</v>
      </c>
      <c r="W342" s="66">
        <v>0</v>
      </c>
      <c r="X342" s="66">
        <v>0</v>
      </c>
      <c r="Y342" s="66">
        <v>0</v>
      </c>
      <c r="Z342" s="66">
        <v>0</v>
      </c>
      <c r="AA342" s="66">
        <v>0</v>
      </c>
      <c r="AB342" s="66">
        <v>0</v>
      </c>
      <c r="AC342" s="66">
        <v>0</v>
      </c>
    </row>
    <row r="343" spans="1:29">
      <c r="A343" s="43" t="s">
        <v>577</v>
      </c>
      <c r="B343" s="43" t="s">
        <v>574</v>
      </c>
      <c r="E343" s="72">
        <v>1.54</v>
      </c>
      <c r="F343" s="72">
        <v>1.2</v>
      </c>
      <c r="G343" s="72">
        <v>0.42</v>
      </c>
      <c r="H343" s="72">
        <v>0</v>
      </c>
      <c r="I343" s="72">
        <v>0.06</v>
      </c>
      <c r="J343" s="72">
        <v>5.34</v>
      </c>
      <c r="K343" s="72">
        <v>3</v>
      </c>
      <c r="L343" s="72">
        <v>4.5</v>
      </c>
      <c r="M343" s="72">
        <v>4.968</v>
      </c>
      <c r="N343" s="73">
        <v>0.66600000000000004</v>
      </c>
      <c r="O343" s="73">
        <v>0.28799999999999998</v>
      </c>
      <c r="P343" s="73">
        <v>0.13200000000000001</v>
      </c>
      <c r="Q343" s="73">
        <v>0</v>
      </c>
      <c r="R343" s="50">
        <v>0</v>
      </c>
      <c r="S343" s="50">
        <v>0</v>
      </c>
      <c r="T343" s="66">
        <v>0</v>
      </c>
      <c r="U343" s="66">
        <v>0</v>
      </c>
      <c r="V343" s="66">
        <v>0</v>
      </c>
      <c r="W343" s="66">
        <v>0</v>
      </c>
      <c r="X343" s="66">
        <v>0</v>
      </c>
      <c r="Y343" s="66">
        <v>0</v>
      </c>
      <c r="Z343" s="66">
        <v>0</v>
      </c>
      <c r="AA343" s="66">
        <v>0</v>
      </c>
      <c r="AB343" s="66">
        <v>0</v>
      </c>
      <c r="AC343" s="66">
        <v>0</v>
      </c>
    </row>
    <row r="344" spans="1:29">
      <c r="A344" s="43" t="s">
        <v>577</v>
      </c>
      <c r="B344" s="43" t="s">
        <v>535</v>
      </c>
      <c r="E344" s="72">
        <v>0</v>
      </c>
      <c r="F344" s="72">
        <v>0</v>
      </c>
      <c r="G344" s="72">
        <v>0</v>
      </c>
      <c r="H344" s="72">
        <v>0</v>
      </c>
      <c r="I344" s="72">
        <v>0</v>
      </c>
      <c r="J344" s="72">
        <v>0</v>
      </c>
      <c r="K344" s="72">
        <v>0</v>
      </c>
      <c r="L344" s="72">
        <v>0</v>
      </c>
      <c r="M344" s="72">
        <v>0</v>
      </c>
      <c r="N344" s="73">
        <v>0</v>
      </c>
      <c r="O344" s="73">
        <v>0</v>
      </c>
      <c r="P344" s="73">
        <v>0</v>
      </c>
      <c r="Q344" s="73">
        <v>0</v>
      </c>
      <c r="R344" s="50">
        <v>0</v>
      </c>
      <c r="S344" s="50">
        <v>0</v>
      </c>
      <c r="T344" s="66">
        <v>0</v>
      </c>
      <c r="U344" s="66">
        <v>0</v>
      </c>
      <c r="V344" s="66">
        <v>0</v>
      </c>
      <c r="W344" s="66">
        <v>0</v>
      </c>
      <c r="X344" s="66">
        <v>0</v>
      </c>
      <c r="Y344" s="66">
        <v>0</v>
      </c>
      <c r="Z344" s="66">
        <v>0</v>
      </c>
      <c r="AA344" s="66">
        <v>0</v>
      </c>
      <c r="AB344" s="66">
        <v>0</v>
      </c>
      <c r="AC344" s="66">
        <v>0</v>
      </c>
    </row>
    <row r="345" spans="1:29">
      <c r="A345" s="43" t="s">
        <v>578</v>
      </c>
      <c r="B345" s="43" t="s">
        <v>752</v>
      </c>
      <c r="F345" s="72">
        <v>11.509</v>
      </c>
      <c r="G345" s="72">
        <v>8.27</v>
      </c>
      <c r="H345" s="72">
        <v>13.14</v>
      </c>
      <c r="I345" s="72">
        <v>6.37</v>
      </c>
      <c r="J345" s="72">
        <v>5.01</v>
      </c>
      <c r="K345" s="72">
        <v>5</v>
      </c>
      <c r="L345" s="72">
        <v>4.5199999999999996</v>
      </c>
      <c r="M345" s="72">
        <v>2.11</v>
      </c>
      <c r="N345" s="73">
        <v>1.2</v>
      </c>
      <c r="O345" s="73">
        <v>0</v>
      </c>
      <c r="P345" s="73">
        <v>0</v>
      </c>
      <c r="Q345" s="73">
        <v>0</v>
      </c>
      <c r="R345" s="50">
        <v>0</v>
      </c>
      <c r="S345" s="50">
        <v>0</v>
      </c>
      <c r="T345" s="66">
        <v>0</v>
      </c>
      <c r="U345" s="66">
        <v>0</v>
      </c>
      <c r="V345" s="66" t="s">
        <v>685</v>
      </c>
      <c r="W345" s="66" t="s">
        <v>685</v>
      </c>
      <c r="X345" s="66" t="s">
        <v>685</v>
      </c>
      <c r="Y345" s="66" t="s">
        <v>685</v>
      </c>
      <c r="Z345" s="66" t="s">
        <v>685</v>
      </c>
      <c r="AA345" s="66">
        <v>0</v>
      </c>
      <c r="AB345" s="66">
        <v>0</v>
      </c>
      <c r="AC345" s="66">
        <v>0</v>
      </c>
    </row>
    <row r="346" spans="1:29">
      <c r="A346" s="43" t="s">
        <v>578</v>
      </c>
      <c r="B346" s="43" t="s">
        <v>663</v>
      </c>
      <c r="F346" s="72">
        <v>0</v>
      </c>
      <c r="G346" s="72">
        <v>0</v>
      </c>
      <c r="H346" s="72">
        <v>0</v>
      </c>
      <c r="I346" s="72">
        <v>0</v>
      </c>
      <c r="J346" s="72">
        <v>0</v>
      </c>
      <c r="K346" s="72">
        <v>0</v>
      </c>
      <c r="L346" s="72">
        <v>0</v>
      </c>
      <c r="M346" s="72">
        <v>0</v>
      </c>
      <c r="N346" s="73">
        <v>0</v>
      </c>
      <c r="O346" s="73">
        <v>0</v>
      </c>
      <c r="P346" s="73">
        <v>0</v>
      </c>
      <c r="Q346" s="73">
        <v>0</v>
      </c>
      <c r="R346" s="50">
        <v>0</v>
      </c>
      <c r="S346" s="50">
        <v>0</v>
      </c>
      <c r="T346" s="66">
        <v>0</v>
      </c>
      <c r="U346" s="66">
        <v>0</v>
      </c>
      <c r="V346" s="66" t="s">
        <v>685</v>
      </c>
      <c r="W346" s="66" t="s">
        <v>685</v>
      </c>
      <c r="X346" s="66" t="s">
        <v>685</v>
      </c>
      <c r="Y346" s="66" t="s">
        <v>685</v>
      </c>
      <c r="Z346" s="66" t="s">
        <v>685</v>
      </c>
      <c r="AA346" s="66">
        <v>0</v>
      </c>
      <c r="AB346" s="66">
        <v>0</v>
      </c>
      <c r="AC346" s="66">
        <v>0</v>
      </c>
    </row>
    <row r="347" spans="1:29">
      <c r="A347" s="43" t="s">
        <v>578</v>
      </c>
      <c r="B347" s="43" t="s">
        <v>243</v>
      </c>
      <c r="F347" s="72">
        <v>0</v>
      </c>
      <c r="G347" s="72">
        <v>0</v>
      </c>
      <c r="H347" s="72">
        <v>0</v>
      </c>
      <c r="I347" s="72">
        <v>0</v>
      </c>
      <c r="J347" s="72">
        <v>0</v>
      </c>
      <c r="K347" s="72">
        <v>0</v>
      </c>
      <c r="L347" s="72">
        <v>0</v>
      </c>
      <c r="M347" s="72">
        <v>0</v>
      </c>
      <c r="N347" s="73">
        <v>0</v>
      </c>
      <c r="O347" s="73">
        <v>0</v>
      </c>
      <c r="P347" s="73">
        <v>0</v>
      </c>
      <c r="Q347" s="73">
        <v>0</v>
      </c>
      <c r="R347" s="50">
        <v>0</v>
      </c>
      <c r="S347" s="50">
        <v>0</v>
      </c>
      <c r="T347" s="66">
        <v>0</v>
      </c>
      <c r="U347" s="66">
        <v>0</v>
      </c>
      <c r="V347" s="66" t="s">
        <v>685</v>
      </c>
      <c r="W347" s="66" t="s">
        <v>685</v>
      </c>
      <c r="X347" s="66" t="s">
        <v>685</v>
      </c>
      <c r="Y347" s="66" t="s">
        <v>685</v>
      </c>
      <c r="Z347" s="66" t="s">
        <v>685</v>
      </c>
      <c r="AA347" s="66">
        <v>0</v>
      </c>
      <c r="AB347" s="66">
        <v>0</v>
      </c>
      <c r="AC347" s="66">
        <v>0</v>
      </c>
    </row>
    <row r="348" spans="1:29">
      <c r="A348" s="43" t="s">
        <v>578</v>
      </c>
      <c r="B348" s="43" t="s">
        <v>95</v>
      </c>
      <c r="F348" s="73">
        <v>2.036705</v>
      </c>
      <c r="G348" s="73">
        <v>1.9052549999999999</v>
      </c>
      <c r="H348" s="73">
        <v>2.5027750000000002</v>
      </c>
      <c r="I348" s="73">
        <v>1.9750499999999998</v>
      </c>
      <c r="J348" s="73">
        <v>1.9123500000000002</v>
      </c>
      <c r="K348" s="73">
        <v>1.9112499999999999</v>
      </c>
      <c r="L348" s="73">
        <v>1.7363</v>
      </c>
      <c r="M348" s="73">
        <v>1.5268000000000002</v>
      </c>
      <c r="N348" s="73">
        <v>3.2790999999999997</v>
      </c>
      <c r="O348" s="73">
        <v>4.0975000000000001</v>
      </c>
      <c r="P348" s="73">
        <v>5.1589999999999998</v>
      </c>
      <c r="Q348" s="73">
        <f>(539.35*0.055)+(0.1*0.065)</f>
        <v>29.670750000000002</v>
      </c>
      <c r="R348" s="50">
        <f>557*0.055</f>
        <v>30.635000000000002</v>
      </c>
      <c r="S348" s="50">
        <f>835.5*0.055</f>
        <v>45.952500000000001</v>
      </c>
      <c r="T348" s="66">
        <f>550*0.055</f>
        <v>30.25</v>
      </c>
      <c r="U348" s="66">
        <f>550*0.055</f>
        <v>30.25</v>
      </c>
      <c r="V348" s="66">
        <f>480*0.055</f>
        <v>26.4</v>
      </c>
      <c r="W348" s="66">
        <f>350*0.055</f>
        <v>19.25</v>
      </c>
      <c r="X348" s="66">
        <f>380*0.055</f>
        <v>20.9</v>
      </c>
      <c r="Y348" s="66">
        <f>360*0.055</f>
        <v>19.8</v>
      </c>
      <c r="Z348" s="66">
        <f>365*0.055</f>
        <v>20.074999999999999</v>
      </c>
      <c r="AA348" s="66">
        <f>330*0.055</f>
        <v>18.149999999999999</v>
      </c>
      <c r="AB348" s="66">
        <f>280*0.055</f>
        <v>15.4</v>
      </c>
      <c r="AC348" s="66">
        <f>195*0.055</f>
        <v>10.725</v>
      </c>
    </row>
    <row r="349" spans="1:29">
      <c r="A349" s="43" t="s">
        <v>578</v>
      </c>
      <c r="B349" s="43" t="s">
        <v>825</v>
      </c>
      <c r="Q349" s="73">
        <v>0</v>
      </c>
      <c r="R349" s="50">
        <v>0</v>
      </c>
      <c r="S349" s="50">
        <v>0</v>
      </c>
      <c r="T349" s="66">
        <v>0</v>
      </c>
      <c r="U349" s="66">
        <v>0</v>
      </c>
      <c r="V349" s="66">
        <v>0</v>
      </c>
      <c r="W349" s="66">
        <v>0</v>
      </c>
      <c r="X349" s="66">
        <v>0</v>
      </c>
      <c r="Y349" s="66">
        <v>0</v>
      </c>
      <c r="Z349" s="66">
        <v>0</v>
      </c>
      <c r="AA349" s="66">
        <v>0</v>
      </c>
      <c r="AB349" s="66">
        <v>0</v>
      </c>
      <c r="AC349" s="66">
        <v>0</v>
      </c>
    </row>
    <row r="350" spans="1:29">
      <c r="A350" s="43" t="s">
        <v>578</v>
      </c>
      <c r="B350" s="43" t="s">
        <v>574</v>
      </c>
      <c r="F350" s="72">
        <v>0</v>
      </c>
      <c r="G350" s="72">
        <v>0</v>
      </c>
      <c r="H350" s="72">
        <v>0</v>
      </c>
      <c r="I350" s="72">
        <v>0</v>
      </c>
      <c r="J350" s="72">
        <v>0</v>
      </c>
      <c r="K350" s="72">
        <v>0</v>
      </c>
      <c r="L350" s="72">
        <v>0</v>
      </c>
      <c r="M350" s="72">
        <v>0</v>
      </c>
      <c r="N350" s="73">
        <v>0</v>
      </c>
      <c r="O350" s="73">
        <v>0</v>
      </c>
      <c r="P350" s="73">
        <v>0</v>
      </c>
      <c r="Q350" s="73">
        <v>0</v>
      </c>
      <c r="R350" s="50">
        <v>0</v>
      </c>
      <c r="S350" s="50">
        <v>0</v>
      </c>
      <c r="T350" s="66">
        <v>0</v>
      </c>
      <c r="U350" s="66">
        <v>0</v>
      </c>
      <c r="V350" s="66">
        <v>0</v>
      </c>
      <c r="W350" s="66">
        <v>0</v>
      </c>
      <c r="X350" s="66">
        <v>0</v>
      </c>
      <c r="Y350" s="66">
        <v>0</v>
      </c>
      <c r="Z350" s="66">
        <v>0</v>
      </c>
      <c r="AA350" s="66">
        <v>0</v>
      </c>
      <c r="AB350" s="66">
        <v>0</v>
      </c>
      <c r="AC350" s="66">
        <v>0</v>
      </c>
    </row>
    <row r="351" spans="1:29">
      <c r="A351" s="43" t="s">
        <v>578</v>
      </c>
      <c r="B351" s="43" t="s">
        <v>535</v>
      </c>
      <c r="F351" s="72">
        <v>0</v>
      </c>
      <c r="G351" s="72">
        <v>0</v>
      </c>
      <c r="H351" s="72">
        <v>0</v>
      </c>
      <c r="I351" s="72">
        <v>0</v>
      </c>
      <c r="J351" s="72">
        <v>0</v>
      </c>
      <c r="K351" s="72">
        <v>0</v>
      </c>
      <c r="L351" s="72">
        <v>0</v>
      </c>
      <c r="M351" s="72">
        <v>0</v>
      </c>
      <c r="N351" s="73">
        <v>0</v>
      </c>
      <c r="O351" s="73">
        <v>0</v>
      </c>
      <c r="P351" s="73">
        <v>0</v>
      </c>
      <c r="Q351" s="73">
        <v>0</v>
      </c>
      <c r="R351" s="50">
        <v>0</v>
      </c>
      <c r="S351" s="50">
        <v>0</v>
      </c>
      <c r="T351" s="66">
        <v>0</v>
      </c>
      <c r="U351" s="66">
        <v>0</v>
      </c>
      <c r="V351" s="66">
        <v>0</v>
      </c>
      <c r="W351" s="66">
        <v>0</v>
      </c>
      <c r="X351" s="66">
        <v>0</v>
      </c>
      <c r="Y351" s="66">
        <v>0</v>
      </c>
      <c r="Z351" s="66">
        <v>0</v>
      </c>
      <c r="AA351" s="66">
        <v>0</v>
      </c>
      <c r="AB351" s="66">
        <v>0</v>
      </c>
      <c r="AC351" s="66">
        <v>0</v>
      </c>
    </row>
    <row r="352" spans="1:29">
      <c r="A352" s="43" t="s">
        <v>579</v>
      </c>
      <c r="B352" s="43" t="s">
        <v>752</v>
      </c>
      <c r="C352" s="72">
        <v>22.7</v>
      </c>
      <c r="D352" s="72">
        <v>20.64</v>
      </c>
      <c r="E352" s="72">
        <v>28</v>
      </c>
      <c r="F352" s="72">
        <v>10.9</v>
      </c>
      <c r="G352" s="72">
        <v>6.89</v>
      </c>
      <c r="H352" s="72">
        <v>6.06</v>
      </c>
      <c r="I352" s="72">
        <v>5.81</v>
      </c>
      <c r="J352" s="72">
        <v>4.66</v>
      </c>
      <c r="N352" s="73">
        <v>1.042</v>
      </c>
      <c r="O352" s="73">
        <v>0.60599999999999998</v>
      </c>
      <c r="P352" s="73">
        <v>0.35599999999999998</v>
      </c>
      <c r="Q352" s="73">
        <v>0.06</v>
      </c>
      <c r="R352" s="50">
        <v>0</v>
      </c>
      <c r="S352" s="50">
        <v>0</v>
      </c>
      <c r="T352" s="66">
        <v>0</v>
      </c>
      <c r="U352" s="66" t="s">
        <v>685</v>
      </c>
      <c r="V352" s="66" t="s">
        <v>685</v>
      </c>
      <c r="W352" s="66" t="s">
        <v>685</v>
      </c>
      <c r="X352" s="66" t="s">
        <v>685</v>
      </c>
      <c r="Y352" s="66" t="s">
        <v>685</v>
      </c>
      <c r="Z352" s="66" t="s">
        <v>685</v>
      </c>
      <c r="AA352" s="66">
        <v>0</v>
      </c>
      <c r="AB352" s="66">
        <v>0</v>
      </c>
      <c r="AC352" s="66">
        <v>0</v>
      </c>
    </row>
    <row r="353" spans="1:29">
      <c r="A353" s="43" t="s">
        <v>579</v>
      </c>
      <c r="B353" s="43" t="s">
        <v>663</v>
      </c>
      <c r="C353" s="72">
        <v>0</v>
      </c>
      <c r="D353" s="72">
        <v>0</v>
      </c>
      <c r="E353" s="72">
        <v>0</v>
      </c>
      <c r="F353" s="72">
        <v>0</v>
      </c>
      <c r="G353" s="72">
        <v>0</v>
      </c>
      <c r="H353" s="72">
        <v>0</v>
      </c>
      <c r="I353" s="72">
        <v>0</v>
      </c>
      <c r="J353" s="72">
        <v>0</v>
      </c>
      <c r="N353" s="73">
        <v>0</v>
      </c>
      <c r="O353" s="73">
        <v>0</v>
      </c>
      <c r="P353" s="73">
        <v>0</v>
      </c>
      <c r="Q353" s="73">
        <v>0</v>
      </c>
      <c r="R353" s="50">
        <v>0</v>
      </c>
      <c r="S353" s="50">
        <v>0</v>
      </c>
      <c r="T353" s="66">
        <v>0</v>
      </c>
      <c r="U353" s="66" t="s">
        <v>685</v>
      </c>
      <c r="V353" s="66" t="s">
        <v>685</v>
      </c>
      <c r="W353" s="66" t="s">
        <v>685</v>
      </c>
      <c r="X353" s="66" t="s">
        <v>685</v>
      </c>
      <c r="Y353" s="66" t="s">
        <v>685</v>
      </c>
      <c r="Z353" s="66" t="s">
        <v>685</v>
      </c>
      <c r="AA353" s="66">
        <v>0</v>
      </c>
      <c r="AB353" s="66">
        <v>0</v>
      </c>
      <c r="AC353" s="66">
        <v>0</v>
      </c>
    </row>
    <row r="354" spans="1:29">
      <c r="A354" s="43" t="s">
        <v>579</v>
      </c>
      <c r="B354" s="43" t="s">
        <v>243</v>
      </c>
      <c r="C354" s="72">
        <v>0</v>
      </c>
      <c r="D354" s="72">
        <v>0</v>
      </c>
      <c r="E354" s="72">
        <v>0</v>
      </c>
      <c r="F354" s="72">
        <v>0</v>
      </c>
      <c r="G354" s="72">
        <v>0</v>
      </c>
      <c r="H354" s="72">
        <v>0</v>
      </c>
      <c r="I354" s="72">
        <v>0</v>
      </c>
      <c r="J354" s="72">
        <v>0</v>
      </c>
      <c r="N354" s="73">
        <v>0</v>
      </c>
      <c r="O354" s="73">
        <v>0</v>
      </c>
      <c r="P354" s="73">
        <v>0</v>
      </c>
      <c r="Q354" s="73">
        <v>0</v>
      </c>
      <c r="R354" s="50">
        <v>0</v>
      </c>
      <c r="S354" s="50">
        <v>0</v>
      </c>
      <c r="T354" s="66">
        <v>0</v>
      </c>
      <c r="U354" s="66" t="s">
        <v>685</v>
      </c>
      <c r="V354" s="66" t="s">
        <v>685</v>
      </c>
      <c r="W354" s="66" t="s">
        <v>685</v>
      </c>
      <c r="X354" s="66" t="s">
        <v>685</v>
      </c>
      <c r="Y354" s="66" t="s">
        <v>685</v>
      </c>
      <c r="Z354" s="66" t="s">
        <v>685</v>
      </c>
      <c r="AA354" s="66">
        <v>0</v>
      </c>
      <c r="AB354" s="66">
        <v>0</v>
      </c>
      <c r="AC354" s="66">
        <v>0</v>
      </c>
    </row>
    <row r="355" spans="1:29">
      <c r="A355" s="43" t="s">
        <v>579</v>
      </c>
      <c r="B355" s="43" t="s">
        <v>95</v>
      </c>
      <c r="C355" s="73">
        <v>0</v>
      </c>
      <c r="D355" s="73">
        <v>0</v>
      </c>
      <c r="E355" s="73">
        <v>0.44</v>
      </c>
      <c r="F355" s="73">
        <v>0.1595</v>
      </c>
      <c r="G355" s="73">
        <v>0.14300000000000002</v>
      </c>
      <c r="H355" s="73">
        <v>0.12100000000000001</v>
      </c>
      <c r="I355" s="73">
        <v>0.11935</v>
      </c>
      <c r="J355" s="73">
        <v>0.154</v>
      </c>
      <c r="N355" s="73">
        <v>6.4899999999999999E-2</v>
      </c>
      <c r="O355" s="73">
        <v>9.5699999999999993E-2</v>
      </c>
      <c r="P355" s="73">
        <v>8.1949999999999995E-2</v>
      </c>
      <c r="Q355" s="73">
        <f>16.6*0.055</f>
        <v>0.91300000000000003</v>
      </c>
      <c r="R355" s="50">
        <f>(15*0.055)+(11*0.065)</f>
        <v>1.54</v>
      </c>
      <c r="S355" s="50">
        <f>17.8*0.055</f>
        <v>0.97900000000000009</v>
      </c>
      <c r="T355" s="66">
        <f>(16.7*0.055)</f>
        <v>0.91849999999999998</v>
      </c>
      <c r="U355" s="66">
        <f>15.7*0.055</f>
        <v>0.86349999999999993</v>
      </c>
      <c r="V355" s="66">
        <f>14*0.055</f>
        <v>0.77</v>
      </c>
      <c r="W355" s="66">
        <f>13.7*0.055</f>
        <v>0.75349999999999995</v>
      </c>
      <c r="X355" s="66">
        <f>9.08*0.055</f>
        <v>0.49940000000000001</v>
      </c>
      <c r="Y355" s="66">
        <f>8*0.055</f>
        <v>0.44</v>
      </c>
      <c r="Z355" s="66">
        <f>4*0.055</f>
        <v>0.22</v>
      </c>
      <c r="AA355" s="66">
        <f>3*0.055</f>
        <v>0.16500000000000001</v>
      </c>
      <c r="AB355" s="66">
        <f>3.8*0.055</f>
        <v>0.20899999999999999</v>
      </c>
      <c r="AC355" s="66">
        <f>3.5*0.055</f>
        <v>0.1925</v>
      </c>
    </row>
    <row r="356" spans="1:29">
      <c r="A356" s="43" t="s">
        <v>579</v>
      </c>
      <c r="B356" s="43" t="s">
        <v>825</v>
      </c>
      <c r="Q356" s="73">
        <v>0</v>
      </c>
      <c r="R356" s="50">
        <v>0</v>
      </c>
      <c r="S356" s="50">
        <v>0</v>
      </c>
      <c r="T356" s="50">
        <f>9*0.11</f>
        <v>0.99</v>
      </c>
      <c r="U356" s="66">
        <v>0</v>
      </c>
      <c r="V356" s="66">
        <v>0</v>
      </c>
      <c r="W356" s="66">
        <v>0</v>
      </c>
      <c r="X356" s="66">
        <v>0</v>
      </c>
      <c r="Y356" s="66">
        <v>0</v>
      </c>
      <c r="Z356" s="66">
        <v>0</v>
      </c>
      <c r="AA356" s="66">
        <v>0</v>
      </c>
      <c r="AB356" s="66">
        <v>0</v>
      </c>
      <c r="AC356" s="66">
        <v>0</v>
      </c>
    </row>
    <row r="357" spans="1:29">
      <c r="A357" s="43" t="s">
        <v>579</v>
      </c>
      <c r="B357" s="43" t="s">
        <v>574</v>
      </c>
      <c r="C357" s="72">
        <v>0</v>
      </c>
      <c r="D357" s="72">
        <v>0</v>
      </c>
      <c r="E357" s="72">
        <v>0</v>
      </c>
      <c r="F357" s="72">
        <v>0</v>
      </c>
      <c r="G357" s="72">
        <v>0</v>
      </c>
      <c r="H357" s="72">
        <v>0</v>
      </c>
      <c r="I357" s="72">
        <v>0</v>
      </c>
      <c r="J357" s="72">
        <v>0</v>
      </c>
      <c r="N357" s="73">
        <v>0</v>
      </c>
      <c r="O357" s="73">
        <v>0</v>
      </c>
      <c r="P357" s="73">
        <v>0</v>
      </c>
      <c r="Q357" s="73">
        <v>0</v>
      </c>
      <c r="R357" s="50">
        <v>0</v>
      </c>
      <c r="S357" s="50">
        <v>0</v>
      </c>
      <c r="T357" s="66">
        <v>0</v>
      </c>
      <c r="U357" s="66">
        <v>0</v>
      </c>
      <c r="V357" s="66">
        <v>0</v>
      </c>
      <c r="W357" s="66">
        <v>0</v>
      </c>
      <c r="X357" s="66">
        <v>0</v>
      </c>
      <c r="Y357" s="66">
        <v>0</v>
      </c>
      <c r="Z357" s="66">
        <v>0</v>
      </c>
      <c r="AA357" s="66">
        <v>0</v>
      </c>
      <c r="AB357" s="66">
        <v>0</v>
      </c>
      <c r="AC357" s="66">
        <v>0</v>
      </c>
    </row>
    <row r="358" spans="1:29">
      <c r="A358" s="43" t="s">
        <v>579</v>
      </c>
      <c r="B358" s="43" t="s">
        <v>535</v>
      </c>
      <c r="C358" s="72">
        <v>0</v>
      </c>
      <c r="D358" s="72">
        <v>0</v>
      </c>
      <c r="E358" s="72">
        <v>0</v>
      </c>
      <c r="F358" s="72">
        <v>0</v>
      </c>
      <c r="G358" s="72">
        <v>0</v>
      </c>
      <c r="H358" s="72">
        <v>0</v>
      </c>
      <c r="I358" s="72">
        <v>0</v>
      </c>
      <c r="J358" s="72">
        <v>0</v>
      </c>
      <c r="N358" s="73">
        <v>0</v>
      </c>
      <c r="O358" s="73">
        <v>0</v>
      </c>
      <c r="P358" s="73">
        <v>0</v>
      </c>
      <c r="Q358" s="73">
        <v>0</v>
      </c>
      <c r="R358" s="50">
        <v>0</v>
      </c>
      <c r="S358" s="50">
        <v>0</v>
      </c>
      <c r="T358" s="66">
        <v>0</v>
      </c>
      <c r="U358" s="66">
        <v>0</v>
      </c>
      <c r="V358" s="66">
        <v>0</v>
      </c>
      <c r="W358" s="66">
        <v>0</v>
      </c>
      <c r="X358" s="66">
        <v>0</v>
      </c>
      <c r="Y358" s="66">
        <v>0</v>
      </c>
      <c r="Z358" s="66">
        <v>0</v>
      </c>
      <c r="AA358" s="66">
        <v>0</v>
      </c>
      <c r="AB358" s="66">
        <v>0</v>
      </c>
      <c r="AC358" s="66">
        <v>0</v>
      </c>
    </row>
    <row r="359" spans="1:29">
      <c r="A359" s="43" t="s">
        <v>580</v>
      </c>
      <c r="B359" s="43" t="s">
        <v>752</v>
      </c>
      <c r="C359" s="72">
        <v>13.06</v>
      </c>
      <c r="D359" s="72">
        <v>23.48</v>
      </c>
      <c r="E359" s="72">
        <v>30.91</v>
      </c>
      <c r="F359" s="72">
        <v>26</v>
      </c>
      <c r="G359" s="72">
        <v>21.5</v>
      </c>
      <c r="H359" s="72">
        <v>21.5</v>
      </c>
      <c r="I359" s="72">
        <v>18.8</v>
      </c>
      <c r="J359" s="72">
        <v>15.5</v>
      </c>
      <c r="K359" s="72">
        <v>12.6</v>
      </c>
      <c r="L359" s="72">
        <v>8.5500000000000007</v>
      </c>
      <c r="M359" s="72">
        <v>8.18</v>
      </c>
      <c r="N359" s="73">
        <v>5.8</v>
      </c>
      <c r="O359" s="73">
        <v>2.7</v>
      </c>
      <c r="P359" s="73">
        <v>0</v>
      </c>
      <c r="Q359" s="73">
        <v>0</v>
      </c>
      <c r="R359" s="50">
        <v>0</v>
      </c>
      <c r="S359" s="50">
        <v>0</v>
      </c>
      <c r="T359" s="66" t="s">
        <v>685</v>
      </c>
      <c r="U359" s="66" t="s">
        <v>685</v>
      </c>
      <c r="V359" s="66" t="s">
        <v>685</v>
      </c>
      <c r="W359" s="66" t="s">
        <v>685</v>
      </c>
      <c r="X359" s="66" t="s">
        <v>685</v>
      </c>
      <c r="Y359" s="66" t="s">
        <v>685</v>
      </c>
      <c r="Z359" s="66" t="s">
        <v>685</v>
      </c>
      <c r="AA359" s="66">
        <v>0</v>
      </c>
      <c r="AB359" s="66">
        <v>0</v>
      </c>
      <c r="AC359" s="66">
        <v>0</v>
      </c>
    </row>
    <row r="360" spans="1:29">
      <c r="A360" s="43" t="s">
        <v>580</v>
      </c>
      <c r="B360" s="43" t="s">
        <v>663</v>
      </c>
      <c r="C360" s="72">
        <v>0</v>
      </c>
      <c r="D360" s="72">
        <v>0</v>
      </c>
      <c r="E360" s="72">
        <v>0</v>
      </c>
      <c r="F360" s="72">
        <v>0</v>
      </c>
      <c r="G360" s="72">
        <v>0</v>
      </c>
      <c r="H360" s="72">
        <v>0</v>
      </c>
      <c r="I360" s="72">
        <v>0</v>
      </c>
      <c r="J360" s="72">
        <v>0</v>
      </c>
      <c r="K360" s="72">
        <v>0</v>
      </c>
      <c r="L360" s="72">
        <v>0</v>
      </c>
      <c r="M360" s="72">
        <v>0</v>
      </c>
      <c r="N360" s="73">
        <v>0</v>
      </c>
      <c r="O360" s="73">
        <v>0</v>
      </c>
      <c r="P360" s="73">
        <v>0</v>
      </c>
      <c r="Q360" s="73">
        <v>0</v>
      </c>
      <c r="R360" s="50">
        <v>0</v>
      </c>
      <c r="S360" s="50">
        <v>0</v>
      </c>
      <c r="T360" s="66" t="s">
        <v>685</v>
      </c>
      <c r="U360" s="66" t="s">
        <v>685</v>
      </c>
      <c r="V360" s="66" t="s">
        <v>685</v>
      </c>
      <c r="W360" s="66" t="s">
        <v>685</v>
      </c>
      <c r="X360" s="66" t="s">
        <v>685</v>
      </c>
      <c r="Y360" s="66" t="s">
        <v>685</v>
      </c>
      <c r="Z360" s="66" t="s">
        <v>685</v>
      </c>
      <c r="AA360" s="66">
        <v>0</v>
      </c>
      <c r="AB360" s="66">
        <v>0</v>
      </c>
      <c r="AC360" s="66">
        <v>0</v>
      </c>
    </row>
    <row r="361" spans="1:29">
      <c r="A361" s="43" t="s">
        <v>580</v>
      </c>
      <c r="B361" s="43" t="s">
        <v>243</v>
      </c>
      <c r="C361" s="72">
        <v>0</v>
      </c>
      <c r="D361" s="72">
        <v>0</v>
      </c>
      <c r="E361" s="72">
        <v>0</v>
      </c>
      <c r="F361" s="72">
        <v>0</v>
      </c>
      <c r="G361" s="72">
        <v>0</v>
      </c>
      <c r="H361" s="72">
        <v>0</v>
      </c>
      <c r="I361" s="72">
        <v>0</v>
      </c>
      <c r="J361" s="72">
        <v>0</v>
      </c>
      <c r="K361" s="72">
        <v>0</v>
      </c>
      <c r="L361" s="72">
        <v>36.200000000000003</v>
      </c>
      <c r="M361" s="72">
        <v>16.5</v>
      </c>
      <c r="N361" s="73">
        <v>0</v>
      </c>
      <c r="O361" s="73">
        <v>0</v>
      </c>
      <c r="P361" s="73">
        <v>0</v>
      </c>
      <c r="Q361" s="73">
        <v>0</v>
      </c>
      <c r="R361" s="50">
        <v>0</v>
      </c>
      <c r="S361" s="50">
        <v>0</v>
      </c>
      <c r="T361" s="66" t="s">
        <v>685</v>
      </c>
      <c r="U361" s="66" t="s">
        <v>685</v>
      </c>
      <c r="V361" s="66" t="s">
        <v>685</v>
      </c>
      <c r="W361" s="66" t="s">
        <v>685</v>
      </c>
      <c r="X361" s="66" t="s">
        <v>685</v>
      </c>
      <c r="Y361" s="66" t="s">
        <v>685</v>
      </c>
      <c r="Z361" s="66" t="s">
        <v>685</v>
      </c>
      <c r="AA361" s="66">
        <v>0</v>
      </c>
      <c r="AB361" s="66">
        <v>0</v>
      </c>
      <c r="AC361" s="66">
        <v>0</v>
      </c>
    </row>
    <row r="362" spans="1:29">
      <c r="A362" s="43" t="s">
        <v>580</v>
      </c>
      <c r="B362" s="43" t="s">
        <v>95</v>
      </c>
      <c r="C362" s="73">
        <v>0.21725</v>
      </c>
      <c r="D362" s="73">
        <v>1.0658999999999998</v>
      </c>
      <c r="E362" s="73">
        <v>1.4674</v>
      </c>
      <c r="F362" s="73">
        <v>0.66</v>
      </c>
      <c r="G362" s="73">
        <v>0.52800000000000002</v>
      </c>
      <c r="H362" s="73">
        <v>0.82499999999999996</v>
      </c>
      <c r="I362" s="73">
        <v>0.82499999999999996</v>
      </c>
      <c r="J362" s="73">
        <v>0.94050000000000011</v>
      </c>
      <c r="K362" s="73">
        <v>0.90199999999999991</v>
      </c>
      <c r="L362" s="73">
        <v>1.0769</v>
      </c>
      <c r="M362" s="73">
        <v>1.1132</v>
      </c>
      <c r="N362" s="73">
        <v>1.5785</v>
      </c>
      <c r="O362" s="73">
        <v>1.7875000000000001</v>
      </c>
      <c r="P362" s="73">
        <v>5.8761999999999999</v>
      </c>
      <c r="Q362" s="73">
        <v>4.5660000000000007</v>
      </c>
      <c r="R362" s="50">
        <f>(95*0.055)+(9.8*0.065)</f>
        <v>5.8620000000000001</v>
      </c>
      <c r="S362" s="50">
        <f>(72.4*0.055)+(5*0.065)</f>
        <v>4.3070000000000004</v>
      </c>
      <c r="T362" s="66">
        <f>48.3*0.055</f>
        <v>2.6564999999999999</v>
      </c>
      <c r="U362" s="66">
        <f>25.1*0.055</f>
        <v>1.3805000000000001</v>
      </c>
      <c r="V362" s="66">
        <f>22.3*0.055</f>
        <v>1.2265000000000001</v>
      </c>
      <c r="W362" s="66">
        <f>30.6*0.055</f>
        <v>1.6830000000000001</v>
      </c>
      <c r="X362" s="66">
        <f>25.2*0.055</f>
        <v>1.3859999999999999</v>
      </c>
      <c r="Y362" s="66">
        <f>38.2*0.055</f>
        <v>2.101</v>
      </c>
      <c r="Z362" s="66">
        <f>34.32*0.055</f>
        <v>1.8875999999999999</v>
      </c>
      <c r="AA362" s="66">
        <f>43.59*0.055</f>
        <v>2.3974500000000001</v>
      </c>
      <c r="AB362" s="66">
        <f>15.504*0.055</f>
        <v>0.85272000000000003</v>
      </c>
      <c r="AC362" s="66">
        <f>16.694*0.055</f>
        <v>0.91816999999999993</v>
      </c>
    </row>
    <row r="363" spans="1:29">
      <c r="A363" s="43" t="s">
        <v>580</v>
      </c>
      <c r="B363" s="43" t="s">
        <v>825</v>
      </c>
      <c r="Q363" s="73">
        <v>0</v>
      </c>
      <c r="R363" s="50">
        <v>0</v>
      </c>
      <c r="S363" s="50">
        <v>0</v>
      </c>
      <c r="T363" s="66">
        <v>0</v>
      </c>
      <c r="U363" s="66">
        <v>0</v>
      </c>
      <c r="V363" s="66">
        <v>0</v>
      </c>
      <c r="W363" s="66">
        <v>0</v>
      </c>
      <c r="X363" s="66">
        <v>0</v>
      </c>
      <c r="Y363" s="66">
        <v>0</v>
      </c>
      <c r="Z363" s="66">
        <v>0</v>
      </c>
      <c r="AA363" s="66">
        <v>0</v>
      </c>
      <c r="AB363" s="66">
        <v>0</v>
      </c>
      <c r="AC363" s="66">
        <v>0</v>
      </c>
    </row>
    <row r="364" spans="1:29">
      <c r="A364" s="43" t="s">
        <v>580</v>
      </c>
      <c r="B364" s="43" t="s">
        <v>574</v>
      </c>
      <c r="C364" s="72">
        <v>21</v>
      </c>
      <c r="D364" s="72">
        <v>14.4</v>
      </c>
      <c r="E364" s="72">
        <v>10.8</v>
      </c>
      <c r="F364" s="72">
        <v>8.4</v>
      </c>
      <c r="G364" s="72">
        <v>10.5</v>
      </c>
      <c r="H364" s="72">
        <v>13.2</v>
      </c>
      <c r="I364" s="72">
        <v>10.8</v>
      </c>
      <c r="J364" s="72">
        <v>10.5</v>
      </c>
      <c r="K364" s="72">
        <v>10.199999999999999</v>
      </c>
      <c r="L364" s="72">
        <v>9.9</v>
      </c>
      <c r="M364" s="72">
        <v>8.64</v>
      </c>
      <c r="N364" s="73">
        <v>7.2</v>
      </c>
      <c r="O364" s="73">
        <v>1.8</v>
      </c>
      <c r="P364" s="73">
        <v>0</v>
      </c>
      <c r="Q364" s="73">
        <v>0</v>
      </c>
      <c r="R364" s="50">
        <v>0</v>
      </c>
      <c r="S364" s="50">
        <v>0</v>
      </c>
      <c r="T364" s="66">
        <v>0</v>
      </c>
      <c r="U364" s="66">
        <v>0</v>
      </c>
      <c r="V364" s="66">
        <v>0</v>
      </c>
      <c r="W364" s="66">
        <v>0</v>
      </c>
      <c r="X364" s="66">
        <v>0</v>
      </c>
      <c r="Y364" s="66">
        <v>0</v>
      </c>
      <c r="Z364" s="66">
        <v>0</v>
      </c>
      <c r="AA364" s="66">
        <v>0</v>
      </c>
      <c r="AB364" s="66">
        <v>0</v>
      </c>
      <c r="AC364" s="66">
        <v>0</v>
      </c>
    </row>
    <row r="365" spans="1:29">
      <c r="A365" s="43" t="s">
        <v>580</v>
      </c>
      <c r="B365" s="43" t="s">
        <v>535</v>
      </c>
      <c r="C365" s="72">
        <v>0</v>
      </c>
      <c r="D365" s="72">
        <v>0</v>
      </c>
      <c r="E365" s="72">
        <v>0</v>
      </c>
      <c r="F365" s="72">
        <v>0</v>
      </c>
      <c r="G365" s="72">
        <v>0</v>
      </c>
      <c r="H365" s="72">
        <v>0</v>
      </c>
      <c r="I365" s="72">
        <v>0</v>
      </c>
      <c r="J365" s="72">
        <v>0</v>
      </c>
      <c r="K365" s="72">
        <v>0</v>
      </c>
      <c r="L365" s="72">
        <v>0</v>
      </c>
      <c r="M365" s="72">
        <v>0</v>
      </c>
      <c r="N365" s="73">
        <v>0</v>
      </c>
      <c r="O365" s="73">
        <v>0</v>
      </c>
      <c r="P365" s="73">
        <v>0</v>
      </c>
      <c r="Q365" s="73">
        <v>0</v>
      </c>
      <c r="R365" s="50">
        <v>0</v>
      </c>
      <c r="S365" s="50">
        <v>0</v>
      </c>
      <c r="T365" s="66">
        <v>0</v>
      </c>
      <c r="U365" s="66">
        <v>0</v>
      </c>
      <c r="V365" s="66">
        <v>0</v>
      </c>
      <c r="W365" s="66">
        <v>0</v>
      </c>
      <c r="X365" s="66">
        <v>0</v>
      </c>
      <c r="Y365" s="66">
        <v>0</v>
      </c>
      <c r="Z365" s="66">
        <v>0</v>
      </c>
      <c r="AA365" s="66">
        <v>0</v>
      </c>
      <c r="AB365" s="66">
        <v>0</v>
      </c>
      <c r="AC365" s="66">
        <v>0</v>
      </c>
    </row>
    <row r="366" spans="1:29">
      <c r="A366" s="43" t="s">
        <v>581</v>
      </c>
      <c r="B366" s="43" t="s">
        <v>752</v>
      </c>
      <c r="C366" s="72">
        <v>43.95</v>
      </c>
      <c r="D366" s="72">
        <v>14.2</v>
      </c>
      <c r="E366" s="72">
        <v>48.68</v>
      </c>
      <c r="G366" s="72">
        <v>43.76</v>
      </c>
      <c r="H366" s="72">
        <v>47.03</v>
      </c>
      <c r="I366" s="72">
        <v>35.57</v>
      </c>
      <c r="J366" s="72">
        <v>21.2</v>
      </c>
      <c r="K366" s="72">
        <v>31.98</v>
      </c>
      <c r="L366" s="72">
        <v>35.58</v>
      </c>
      <c r="M366" s="72">
        <v>17.5</v>
      </c>
      <c r="N366" s="73">
        <v>13.08</v>
      </c>
      <c r="O366" s="73">
        <v>4.16</v>
      </c>
      <c r="P366" s="73">
        <v>0</v>
      </c>
      <c r="Q366" s="73">
        <v>3.4</v>
      </c>
      <c r="R366" s="50">
        <v>3.4</v>
      </c>
      <c r="S366" s="50">
        <v>0</v>
      </c>
      <c r="T366" s="66">
        <v>0</v>
      </c>
      <c r="U366" s="66">
        <v>0</v>
      </c>
      <c r="V366" s="66" t="s">
        <v>685</v>
      </c>
      <c r="W366" s="66" t="s">
        <v>685</v>
      </c>
      <c r="X366" s="66" t="s">
        <v>685</v>
      </c>
      <c r="Y366" s="66" t="s">
        <v>685</v>
      </c>
      <c r="Z366" s="66" t="s">
        <v>685</v>
      </c>
      <c r="AA366" s="66">
        <v>0</v>
      </c>
      <c r="AB366" s="66">
        <v>0</v>
      </c>
      <c r="AC366" s="66">
        <v>0</v>
      </c>
    </row>
    <row r="367" spans="1:29">
      <c r="A367" s="43" t="s">
        <v>581</v>
      </c>
      <c r="B367" s="43" t="s">
        <v>663</v>
      </c>
      <c r="C367" s="72">
        <v>1.155</v>
      </c>
      <c r="D367" s="72">
        <v>0</v>
      </c>
      <c r="E367" s="72">
        <v>0</v>
      </c>
      <c r="G367" s="72">
        <v>0.33</v>
      </c>
      <c r="H367" s="72">
        <v>0.39600000000000002</v>
      </c>
      <c r="I367" s="72">
        <v>0</v>
      </c>
      <c r="J367" s="72">
        <v>0</v>
      </c>
      <c r="K367" s="72">
        <v>0.44</v>
      </c>
      <c r="L367" s="72">
        <v>0</v>
      </c>
      <c r="M367" s="72">
        <v>0</v>
      </c>
      <c r="N367" s="73">
        <v>0</v>
      </c>
      <c r="O367" s="73">
        <v>0</v>
      </c>
      <c r="P367" s="73">
        <v>0</v>
      </c>
      <c r="Q367" s="73">
        <v>0</v>
      </c>
      <c r="R367" s="50">
        <v>0</v>
      </c>
      <c r="S367" s="50">
        <v>0</v>
      </c>
      <c r="T367" s="66">
        <v>0</v>
      </c>
      <c r="U367" s="66">
        <v>0</v>
      </c>
      <c r="V367" s="66" t="s">
        <v>685</v>
      </c>
      <c r="W367" s="66" t="s">
        <v>685</v>
      </c>
      <c r="X367" s="66" t="s">
        <v>685</v>
      </c>
      <c r="Y367" s="66" t="s">
        <v>685</v>
      </c>
      <c r="Z367" s="66" t="s">
        <v>685</v>
      </c>
      <c r="AA367" s="66">
        <v>0</v>
      </c>
      <c r="AB367" s="66">
        <v>0</v>
      </c>
      <c r="AC367" s="66">
        <v>0</v>
      </c>
    </row>
    <row r="368" spans="1:29">
      <c r="A368" s="43" t="s">
        <v>581</v>
      </c>
      <c r="B368" s="43" t="s">
        <v>243</v>
      </c>
      <c r="C368" s="72">
        <v>0</v>
      </c>
      <c r="D368" s="72">
        <v>0</v>
      </c>
      <c r="E368" s="72">
        <v>0</v>
      </c>
      <c r="G368" s="72">
        <v>0</v>
      </c>
      <c r="H368" s="72">
        <v>0</v>
      </c>
      <c r="I368" s="72">
        <v>0</v>
      </c>
      <c r="J368" s="72">
        <v>0</v>
      </c>
      <c r="K368" s="72">
        <v>0</v>
      </c>
      <c r="L368" s="72">
        <v>0</v>
      </c>
      <c r="M368" s="72">
        <v>0</v>
      </c>
      <c r="N368" s="73">
        <v>0</v>
      </c>
      <c r="O368" s="73">
        <v>0</v>
      </c>
      <c r="P368" s="73">
        <v>0</v>
      </c>
      <c r="Q368" s="73">
        <v>0</v>
      </c>
      <c r="R368" s="50">
        <v>0</v>
      </c>
      <c r="S368" s="50">
        <v>0</v>
      </c>
      <c r="T368" s="66">
        <v>0</v>
      </c>
      <c r="U368" s="66">
        <v>0</v>
      </c>
      <c r="V368" s="66" t="s">
        <v>685</v>
      </c>
      <c r="W368" s="66" t="s">
        <v>685</v>
      </c>
      <c r="X368" s="66" t="s">
        <v>685</v>
      </c>
      <c r="Y368" s="66" t="s">
        <v>685</v>
      </c>
      <c r="Z368" s="66" t="s">
        <v>685</v>
      </c>
      <c r="AA368" s="66">
        <v>0</v>
      </c>
      <c r="AB368" s="66">
        <v>0</v>
      </c>
      <c r="AC368" s="66">
        <v>0</v>
      </c>
    </row>
    <row r="369" spans="1:29">
      <c r="A369" s="43" t="s">
        <v>581</v>
      </c>
      <c r="B369" s="43" t="s">
        <v>95</v>
      </c>
      <c r="C369" s="73">
        <v>3.3528000000000002</v>
      </c>
      <c r="D369" s="73">
        <v>1.5015000000000001</v>
      </c>
      <c r="E369" s="73">
        <v>2.8479000000000001</v>
      </c>
      <c r="G369" s="73">
        <v>3.1074999999999999</v>
      </c>
      <c r="H369" s="73">
        <v>2.9535</v>
      </c>
      <c r="I369" s="73">
        <v>5.4906499999999996</v>
      </c>
      <c r="J369" s="73">
        <v>2.8170999999999999</v>
      </c>
      <c r="K369" s="73">
        <v>5.2525000000000004</v>
      </c>
      <c r="L369" s="73">
        <v>11.904199999999999</v>
      </c>
      <c r="M369" s="73">
        <v>7.7247499999999993</v>
      </c>
      <c r="N369" s="73">
        <v>10.851500000000001</v>
      </c>
      <c r="O369" s="73">
        <v>19.541899999999998</v>
      </c>
      <c r="P369" s="73">
        <v>21.645</v>
      </c>
      <c r="Q369" s="73">
        <v>77.325000000000003</v>
      </c>
      <c r="R369" s="50">
        <f>(961.9*0.055)+(375.7*0.065)</f>
        <v>77.325000000000003</v>
      </c>
      <c r="S369" s="50">
        <f>(451.7*0.055)+(90.3*0.065)</f>
        <v>30.713000000000001</v>
      </c>
      <c r="T369" s="66">
        <f>502.499*0.055</f>
        <v>27.637445000000003</v>
      </c>
      <c r="U369" s="66">
        <f>(418.29*0.055)+(36.72*0.065)</f>
        <v>25.392750000000003</v>
      </c>
      <c r="V369" s="66">
        <f>(384.7*0.055)+(33.58*0.065)</f>
        <v>23.341200000000001</v>
      </c>
      <c r="W369" s="66">
        <f>(284.14*0.055)+(73.63*0.065)</f>
        <v>20.413649999999997</v>
      </c>
      <c r="X369" s="66">
        <f>(318.37*0.055)+(15.9*0.065)</f>
        <v>18.543849999999999</v>
      </c>
      <c r="Y369" s="66">
        <f>(311.6*0.055)+(36.7*0.065)</f>
        <v>19.523500000000002</v>
      </c>
      <c r="Z369" s="66">
        <f>(305.3*0.055)+(16.1*0.065)</f>
        <v>17.838000000000001</v>
      </c>
      <c r="AA369" s="66">
        <f>(298.18*0.055)+(11.45*0.065)</f>
        <v>17.14415</v>
      </c>
      <c r="AB369" s="66">
        <f>(276.41*0.055)+(11.86*0.065)</f>
        <v>15.973450000000001</v>
      </c>
      <c r="AC369" s="66">
        <f>(292.5*0.055)+(7.544*0.065)</f>
        <v>16.577859999999998</v>
      </c>
    </row>
    <row r="370" spans="1:29">
      <c r="A370" s="43" t="s">
        <v>581</v>
      </c>
      <c r="B370" s="43" t="s">
        <v>825</v>
      </c>
      <c r="Q370" s="73">
        <v>0</v>
      </c>
      <c r="R370" s="50">
        <v>0</v>
      </c>
      <c r="S370" s="50">
        <v>0</v>
      </c>
      <c r="T370" s="66">
        <v>0</v>
      </c>
      <c r="U370" s="66">
        <v>0</v>
      </c>
      <c r="V370" s="66">
        <v>0</v>
      </c>
      <c r="W370" s="66">
        <v>0</v>
      </c>
      <c r="X370" s="66">
        <v>0</v>
      </c>
      <c r="Y370" s="66">
        <v>0</v>
      </c>
      <c r="Z370" s="66">
        <v>0</v>
      </c>
      <c r="AA370" s="66">
        <v>0</v>
      </c>
      <c r="AB370" s="66">
        <v>0</v>
      </c>
      <c r="AC370" s="66">
        <v>0</v>
      </c>
    </row>
    <row r="371" spans="1:29">
      <c r="A371" s="43" t="s">
        <v>581</v>
      </c>
      <c r="B371" s="43" t="s">
        <v>574</v>
      </c>
      <c r="C371" s="72">
        <v>0</v>
      </c>
      <c r="D371" s="72">
        <v>0</v>
      </c>
      <c r="E371" s="72">
        <v>0</v>
      </c>
      <c r="G371" s="72">
        <v>4.5</v>
      </c>
      <c r="H371" s="72">
        <v>0</v>
      </c>
      <c r="I371" s="72">
        <v>0</v>
      </c>
      <c r="J371" s="72">
        <v>0</v>
      </c>
      <c r="K371" s="72">
        <v>0</v>
      </c>
      <c r="L371" s="72">
        <v>0</v>
      </c>
      <c r="M371" s="72">
        <v>0</v>
      </c>
      <c r="N371" s="73">
        <v>0</v>
      </c>
      <c r="O371" s="73">
        <v>0</v>
      </c>
      <c r="P371" s="73">
        <v>0</v>
      </c>
      <c r="Q371" s="73">
        <v>0</v>
      </c>
      <c r="R371" s="50">
        <v>0</v>
      </c>
      <c r="S371" s="50">
        <v>0</v>
      </c>
      <c r="T371" s="66">
        <v>0</v>
      </c>
      <c r="U371" s="66">
        <v>0</v>
      </c>
      <c r="V371" s="66">
        <v>0</v>
      </c>
      <c r="W371" s="66">
        <v>0</v>
      </c>
      <c r="X371" s="66">
        <v>0</v>
      </c>
      <c r="Y371" s="66">
        <v>0</v>
      </c>
      <c r="Z371" s="66">
        <v>0</v>
      </c>
      <c r="AA371" s="66">
        <v>0</v>
      </c>
      <c r="AB371" s="66">
        <v>0</v>
      </c>
      <c r="AC371" s="66">
        <v>0</v>
      </c>
    </row>
    <row r="372" spans="1:29">
      <c r="A372" s="43" t="s">
        <v>581</v>
      </c>
      <c r="B372" s="43" t="s">
        <v>535</v>
      </c>
      <c r="C372" s="72">
        <v>1.2999999999999999E-2</v>
      </c>
      <c r="D372" s="72">
        <v>1E-3</v>
      </c>
      <c r="E372" s="72">
        <v>0</v>
      </c>
      <c r="G372" s="72">
        <v>0</v>
      </c>
      <c r="H372" s="72">
        <v>0</v>
      </c>
      <c r="I372" s="72">
        <v>0</v>
      </c>
      <c r="J372" s="72">
        <v>0</v>
      </c>
      <c r="K372" s="72">
        <v>0</v>
      </c>
      <c r="L372" s="72">
        <v>0</v>
      </c>
      <c r="M372" s="72">
        <v>0</v>
      </c>
      <c r="N372" s="73">
        <v>0</v>
      </c>
      <c r="O372" s="73">
        <v>0</v>
      </c>
      <c r="P372" s="73">
        <v>0</v>
      </c>
      <c r="Q372" s="73">
        <v>0</v>
      </c>
      <c r="R372" s="50">
        <v>0</v>
      </c>
      <c r="S372" s="50">
        <v>0</v>
      </c>
      <c r="T372" s="66">
        <v>0</v>
      </c>
      <c r="U372" s="66">
        <v>0</v>
      </c>
      <c r="V372" s="66">
        <v>0</v>
      </c>
      <c r="W372" s="66">
        <v>0</v>
      </c>
      <c r="X372" s="66">
        <v>0</v>
      </c>
      <c r="Y372" s="66">
        <v>0</v>
      </c>
      <c r="Z372" s="66">
        <v>0</v>
      </c>
      <c r="AA372" s="66">
        <v>0</v>
      </c>
      <c r="AB372" s="66">
        <v>0</v>
      </c>
      <c r="AC372" s="66">
        <v>0</v>
      </c>
    </row>
    <row r="373" spans="1:29">
      <c r="A373" s="43" t="s">
        <v>583</v>
      </c>
      <c r="B373" s="43" t="s">
        <v>752</v>
      </c>
      <c r="C373" s="72">
        <v>3.78</v>
      </c>
      <c r="D373" s="72">
        <v>4.8840000000000003</v>
      </c>
      <c r="E373" s="72">
        <v>6.5140000000000002</v>
      </c>
      <c r="F373" s="72">
        <v>3.84</v>
      </c>
      <c r="G373" s="72">
        <v>0.17</v>
      </c>
      <c r="H373" s="72">
        <v>2.8679999999999999</v>
      </c>
      <c r="I373" s="72">
        <v>1.31</v>
      </c>
      <c r="J373" s="72">
        <v>2.0699999999999998</v>
      </c>
      <c r="K373" s="72">
        <v>2.0939999999999999</v>
      </c>
      <c r="L373" s="72">
        <v>1.9</v>
      </c>
      <c r="M373" s="72">
        <v>0.55000000000000004</v>
      </c>
      <c r="N373" s="73">
        <v>0</v>
      </c>
      <c r="O373" s="73">
        <v>0</v>
      </c>
      <c r="P373" s="73">
        <v>0</v>
      </c>
      <c r="Q373" s="73">
        <v>0</v>
      </c>
      <c r="R373" s="50">
        <v>0</v>
      </c>
      <c r="S373" s="50">
        <v>0</v>
      </c>
      <c r="T373" s="66" t="s">
        <v>685</v>
      </c>
      <c r="U373" s="66" t="s">
        <v>685</v>
      </c>
      <c r="V373" s="66" t="s">
        <v>685</v>
      </c>
      <c r="W373" s="66" t="s">
        <v>685</v>
      </c>
      <c r="X373" s="66" t="s">
        <v>685</v>
      </c>
      <c r="Y373" s="66" t="s">
        <v>685</v>
      </c>
      <c r="Z373" s="66" t="s">
        <v>685</v>
      </c>
      <c r="AA373" s="66">
        <v>0</v>
      </c>
      <c r="AB373" s="66">
        <v>0</v>
      </c>
      <c r="AC373" s="66">
        <v>0</v>
      </c>
    </row>
    <row r="374" spans="1:29">
      <c r="A374" s="43" t="s">
        <v>583</v>
      </c>
      <c r="B374" s="43" t="s">
        <v>663</v>
      </c>
      <c r="C374" s="72">
        <v>0</v>
      </c>
      <c r="D374" s="72">
        <v>0</v>
      </c>
      <c r="E374" s="72">
        <v>0</v>
      </c>
      <c r="F374" s="72">
        <v>0</v>
      </c>
      <c r="G374" s="72">
        <v>0</v>
      </c>
      <c r="H374" s="72">
        <v>0</v>
      </c>
      <c r="I374" s="72">
        <v>0</v>
      </c>
      <c r="J374" s="72">
        <v>0</v>
      </c>
      <c r="K374" s="72">
        <v>0</v>
      </c>
      <c r="L374" s="72">
        <v>0</v>
      </c>
      <c r="M374" s="72">
        <v>0</v>
      </c>
      <c r="N374" s="73">
        <v>0</v>
      </c>
      <c r="O374" s="73">
        <v>0</v>
      </c>
      <c r="P374" s="73">
        <v>0</v>
      </c>
      <c r="Q374" s="73">
        <v>0</v>
      </c>
      <c r="R374" s="50">
        <v>0</v>
      </c>
      <c r="S374" s="50">
        <v>0</v>
      </c>
      <c r="T374" s="66" t="s">
        <v>685</v>
      </c>
      <c r="U374" s="66" t="s">
        <v>685</v>
      </c>
      <c r="V374" s="66" t="s">
        <v>685</v>
      </c>
      <c r="W374" s="66" t="s">
        <v>685</v>
      </c>
      <c r="X374" s="66" t="s">
        <v>685</v>
      </c>
      <c r="Y374" s="66" t="s">
        <v>685</v>
      </c>
      <c r="Z374" s="66" t="s">
        <v>685</v>
      </c>
      <c r="AA374" s="66">
        <v>0</v>
      </c>
      <c r="AB374" s="66">
        <v>0</v>
      </c>
      <c r="AC374" s="66">
        <v>0</v>
      </c>
    </row>
    <row r="375" spans="1:29">
      <c r="A375" s="43" t="s">
        <v>583</v>
      </c>
      <c r="B375" s="43" t="s">
        <v>243</v>
      </c>
      <c r="C375" s="72">
        <v>0</v>
      </c>
      <c r="D375" s="72">
        <v>0</v>
      </c>
      <c r="E375" s="72">
        <v>0</v>
      </c>
      <c r="F375" s="72">
        <v>0</v>
      </c>
      <c r="G375" s="72">
        <v>0</v>
      </c>
      <c r="H375" s="72">
        <v>0</v>
      </c>
      <c r="I375" s="72">
        <v>0</v>
      </c>
      <c r="J375" s="72">
        <v>0</v>
      </c>
      <c r="K375" s="72">
        <v>0</v>
      </c>
      <c r="L375" s="72">
        <v>0</v>
      </c>
      <c r="M375" s="72">
        <v>0</v>
      </c>
      <c r="N375" s="73">
        <v>0</v>
      </c>
      <c r="O375" s="73">
        <v>0</v>
      </c>
      <c r="P375" s="73">
        <v>0</v>
      </c>
      <c r="Q375" s="73">
        <v>0</v>
      </c>
      <c r="R375" s="50">
        <v>0</v>
      </c>
      <c r="S375" s="50">
        <v>0</v>
      </c>
      <c r="T375" s="66" t="s">
        <v>685</v>
      </c>
      <c r="U375" s="66" t="s">
        <v>685</v>
      </c>
      <c r="V375" s="66" t="s">
        <v>685</v>
      </c>
      <c r="W375" s="66" t="s">
        <v>685</v>
      </c>
      <c r="X375" s="66" t="s">
        <v>685</v>
      </c>
      <c r="Y375" s="66" t="s">
        <v>685</v>
      </c>
      <c r="Z375" s="66" t="s">
        <v>685</v>
      </c>
      <c r="AA375" s="66">
        <v>0</v>
      </c>
      <c r="AB375" s="66">
        <v>0</v>
      </c>
      <c r="AC375" s="66">
        <v>0</v>
      </c>
    </row>
    <row r="376" spans="1:29">
      <c r="A376" s="43" t="s">
        <v>583</v>
      </c>
      <c r="B376" s="43" t="s">
        <v>95</v>
      </c>
      <c r="C376" s="73">
        <v>0.29110399999999997</v>
      </c>
      <c r="D376" s="73">
        <v>0.23610399999999998</v>
      </c>
      <c r="E376" s="73">
        <v>0.41667999999999999</v>
      </c>
      <c r="F376" s="73">
        <v>0.28897</v>
      </c>
      <c r="G376" s="73">
        <v>0</v>
      </c>
      <c r="H376" s="73">
        <v>0.15345</v>
      </c>
      <c r="I376" s="73">
        <v>4.4550000000000006E-2</v>
      </c>
      <c r="J376" s="73">
        <v>0.24255000000000002</v>
      </c>
      <c r="K376" s="73">
        <v>0.20130000000000001</v>
      </c>
      <c r="L376" s="73">
        <v>0.47960000000000003</v>
      </c>
      <c r="M376" s="73">
        <v>9.4049999999999995E-2</v>
      </c>
      <c r="N376" s="73">
        <v>0.2959</v>
      </c>
      <c r="O376" s="73">
        <v>0.20294999999999999</v>
      </c>
      <c r="P376" s="73">
        <v>0.46640000000000004</v>
      </c>
      <c r="Q376" s="73">
        <v>0.82994999999999997</v>
      </c>
      <c r="R376" s="50">
        <f>15.1*0.055</f>
        <v>0.83050000000000002</v>
      </c>
      <c r="S376" s="50">
        <f>3.26*0.055</f>
        <v>0.17929999999999999</v>
      </c>
      <c r="T376" s="66">
        <f>4.64*0.055</f>
        <v>0.25519999999999998</v>
      </c>
      <c r="U376" s="66">
        <f>5.91*0.055</f>
        <v>0.32505000000000001</v>
      </c>
      <c r="V376" s="66">
        <f>6.627*0.055</f>
        <v>0.364485</v>
      </c>
      <c r="W376" s="66">
        <f>3.936*0.055</f>
        <v>0.21648000000000001</v>
      </c>
      <c r="X376" s="66">
        <f>3.659*0.055</f>
        <v>0.20124499999999998</v>
      </c>
      <c r="Y376" s="66">
        <f>3.97*0.055</f>
        <v>0.21835000000000002</v>
      </c>
      <c r="Z376" s="66">
        <f>3.763*0.055</f>
        <v>0.20696499999999998</v>
      </c>
      <c r="AA376" s="66">
        <f>3.25*0.055</f>
        <v>0.17874999999999999</v>
      </c>
      <c r="AB376" s="66">
        <f>3.3*0.055</f>
        <v>0.18149999999999999</v>
      </c>
      <c r="AC376" s="66">
        <f>2.28*0.055</f>
        <v>0.12539999999999998</v>
      </c>
    </row>
    <row r="377" spans="1:29">
      <c r="A377" s="43" t="s">
        <v>583</v>
      </c>
      <c r="B377" s="43" t="s">
        <v>825</v>
      </c>
      <c r="Q377" s="73">
        <v>0</v>
      </c>
      <c r="R377" s="50">
        <v>0</v>
      </c>
      <c r="S377" s="50">
        <v>0</v>
      </c>
      <c r="T377" s="66">
        <v>0</v>
      </c>
      <c r="U377" s="66">
        <v>0</v>
      </c>
      <c r="V377" s="66">
        <v>0</v>
      </c>
      <c r="W377" s="66">
        <v>0</v>
      </c>
      <c r="X377" s="66">
        <v>0</v>
      </c>
      <c r="Y377" s="66">
        <v>0</v>
      </c>
      <c r="Z377" s="66">
        <v>0</v>
      </c>
      <c r="AA377" s="66">
        <v>0</v>
      </c>
      <c r="AB377" s="66">
        <v>0</v>
      </c>
      <c r="AC377" s="66">
        <v>0</v>
      </c>
    </row>
    <row r="378" spans="1:29">
      <c r="A378" s="43" t="s">
        <v>583</v>
      </c>
      <c r="B378" s="43" t="s">
        <v>574</v>
      </c>
      <c r="C378" s="72">
        <v>0</v>
      </c>
      <c r="D378" s="72">
        <v>0</v>
      </c>
      <c r="E378" s="72">
        <v>0</v>
      </c>
      <c r="F378" s="72">
        <v>0</v>
      </c>
      <c r="G378" s="72">
        <v>0</v>
      </c>
      <c r="H378" s="72">
        <v>0</v>
      </c>
      <c r="I378" s="72">
        <v>0</v>
      </c>
      <c r="J378" s="72">
        <v>0</v>
      </c>
      <c r="K378" s="72">
        <v>0</v>
      </c>
      <c r="L378" s="72">
        <v>0</v>
      </c>
      <c r="M378" s="72">
        <v>0</v>
      </c>
      <c r="N378" s="73">
        <v>0</v>
      </c>
      <c r="O378" s="73">
        <v>0</v>
      </c>
      <c r="P378" s="73">
        <v>0</v>
      </c>
      <c r="Q378" s="73">
        <v>0</v>
      </c>
      <c r="R378" s="50">
        <v>0</v>
      </c>
      <c r="S378" s="50">
        <v>0</v>
      </c>
      <c r="T378" s="66">
        <v>0</v>
      </c>
      <c r="U378" s="66">
        <v>0</v>
      </c>
      <c r="V378" s="66">
        <v>0</v>
      </c>
      <c r="W378" s="66">
        <v>0</v>
      </c>
      <c r="X378" s="66">
        <v>0</v>
      </c>
      <c r="Y378" s="66">
        <v>0</v>
      </c>
      <c r="Z378" s="66">
        <v>0</v>
      </c>
      <c r="AA378" s="66">
        <v>0</v>
      </c>
      <c r="AB378" s="66">
        <v>0</v>
      </c>
      <c r="AC378" s="66">
        <v>0</v>
      </c>
    </row>
    <row r="379" spans="1:29">
      <c r="A379" s="43" t="s">
        <v>583</v>
      </c>
      <c r="B379" s="43" t="s">
        <v>535</v>
      </c>
      <c r="C379" s="72">
        <v>0</v>
      </c>
      <c r="D379" s="72">
        <v>0</v>
      </c>
      <c r="E379" s="72">
        <v>0</v>
      </c>
      <c r="F379" s="72">
        <v>0</v>
      </c>
      <c r="G379" s="72">
        <v>0</v>
      </c>
      <c r="H379" s="72">
        <v>0</v>
      </c>
      <c r="I379" s="72">
        <v>0</v>
      </c>
      <c r="J379" s="72">
        <v>0</v>
      </c>
      <c r="K379" s="72">
        <v>0</v>
      </c>
      <c r="L379" s="72">
        <v>0</v>
      </c>
      <c r="M379" s="72">
        <v>0</v>
      </c>
      <c r="N379" s="73">
        <v>0</v>
      </c>
      <c r="O379" s="73">
        <v>0</v>
      </c>
      <c r="P379" s="73">
        <v>0</v>
      </c>
      <c r="Q379" s="73">
        <v>0</v>
      </c>
      <c r="R379" s="50">
        <v>0</v>
      </c>
      <c r="S379" s="50">
        <v>0</v>
      </c>
      <c r="T379" s="66">
        <v>0</v>
      </c>
      <c r="U379" s="66">
        <v>0</v>
      </c>
      <c r="V379" s="66">
        <v>0</v>
      </c>
      <c r="W379" s="66">
        <v>0</v>
      </c>
      <c r="X379" s="66">
        <v>0</v>
      </c>
      <c r="Y379" s="66">
        <v>0</v>
      </c>
      <c r="Z379" s="66">
        <v>0</v>
      </c>
      <c r="AA379" s="66">
        <v>0</v>
      </c>
      <c r="AB379" s="66">
        <v>0</v>
      </c>
      <c r="AC379" s="66">
        <v>0</v>
      </c>
    </row>
    <row r="380" spans="1:29">
      <c r="A380" s="43" t="s">
        <v>584</v>
      </c>
      <c r="B380" s="43" t="s">
        <v>752</v>
      </c>
      <c r="C380" s="72">
        <v>231</v>
      </c>
      <c r="D380" s="72">
        <v>235.6</v>
      </c>
      <c r="E380" s="72">
        <v>207.3</v>
      </c>
      <c r="F380" s="72">
        <v>188.7</v>
      </c>
      <c r="G380" s="72">
        <v>191.1</v>
      </c>
      <c r="H380" s="72">
        <v>187.9</v>
      </c>
      <c r="I380" s="72">
        <v>265</v>
      </c>
      <c r="J380" s="72">
        <v>240.51</v>
      </c>
      <c r="K380" s="72">
        <v>147.07</v>
      </c>
      <c r="L380" s="72">
        <v>65.400000000000006</v>
      </c>
      <c r="M380" s="72">
        <v>57.5</v>
      </c>
      <c r="N380" s="73">
        <v>12.69</v>
      </c>
      <c r="O380" s="73">
        <v>5.85</v>
      </c>
      <c r="P380" s="73">
        <v>1.42</v>
      </c>
      <c r="Q380" s="73">
        <v>0</v>
      </c>
      <c r="R380" s="50">
        <v>0</v>
      </c>
      <c r="S380" s="50">
        <v>0</v>
      </c>
      <c r="T380" s="66">
        <v>0</v>
      </c>
      <c r="U380" s="66" t="s">
        <v>685</v>
      </c>
      <c r="V380" s="66" t="s">
        <v>685</v>
      </c>
      <c r="W380" s="66" t="s">
        <v>685</v>
      </c>
      <c r="X380" s="66" t="s">
        <v>685</v>
      </c>
      <c r="Y380" s="66" t="s">
        <v>685</v>
      </c>
      <c r="Z380" s="66" t="s">
        <v>685</v>
      </c>
      <c r="AA380" s="66">
        <v>0</v>
      </c>
      <c r="AB380" s="66">
        <v>0</v>
      </c>
      <c r="AC380" s="66">
        <v>0</v>
      </c>
    </row>
    <row r="381" spans="1:29">
      <c r="A381" s="43" t="s">
        <v>584</v>
      </c>
      <c r="B381" s="43" t="s">
        <v>663</v>
      </c>
      <c r="C381" s="72">
        <v>13.42</v>
      </c>
      <c r="D381" s="72">
        <v>13.31</v>
      </c>
      <c r="E381" s="72">
        <v>16.059999999999999</v>
      </c>
      <c r="F381" s="72">
        <v>19.489999999999998</v>
      </c>
      <c r="G381" s="72">
        <v>12.32</v>
      </c>
      <c r="H381" s="72">
        <v>0</v>
      </c>
      <c r="I381" s="72">
        <v>0</v>
      </c>
      <c r="J381" s="72">
        <v>0</v>
      </c>
      <c r="K381" s="72">
        <v>0</v>
      </c>
      <c r="L381" s="72">
        <v>0</v>
      </c>
      <c r="M381" s="72">
        <v>0</v>
      </c>
      <c r="N381" s="73">
        <v>0</v>
      </c>
      <c r="O381" s="73">
        <v>0</v>
      </c>
      <c r="P381" s="73">
        <v>0</v>
      </c>
      <c r="Q381" s="73">
        <v>0</v>
      </c>
      <c r="R381" s="50">
        <v>0</v>
      </c>
      <c r="S381" s="50">
        <v>0</v>
      </c>
      <c r="T381" s="66">
        <v>0</v>
      </c>
      <c r="U381" s="66" t="s">
        <v>685</v>
      </c>
      <c r="V381" s="66" t="s">
        <v>685</v>
      </c>
      <c r="W381" s="66" t="s">
        <v>685</v>
      </c>
      <c r="X381" s="66" t="s">
        <v>685</v>
      </c>
      <c r="Y381" s="66" t="s">
        <v>685</v>
      </c>
      <c r="Z381" s="66" t="s">
        <v>685</v>
      </c>
      <c r="AA381" s="66">
        <v>0</v>
      </c>
      <c r="AB381" s="66">
        <v>0</v>
      </c>
      <c r="AC381" s="66">
        <v>0</v>
      </c>
    </row>
    <row r="382" spans="1:29">
      <c r="A382" s="43" t="s">
        <v>584</v>
      </c>
      <c r="B382" s="43" t="s">
        <v>243</v>
      </c>
      <c r="C382" s="72">
        <v>0.6</v>
      </c>
      <c r="D382" s="72">
        <v>0</v>
      </c>
      <c r="E382" s="72">
        <v>0</v>
      </c>
      <c r="F382" s="72">
        <v>0</v>
      </c>
      <c r="G382" s="72">
        <v>0</v>
      </c>
      <c r="H382" s="72">
        <v>0</v>
      </c>
      <c r="I382" s="72">
        <v>0</v>
      </c>
      <c r="J382" s="72">
        <v>0</v>
      </c>
      <c r="K382" s="72">
        <v>0</v>
      </c>
      <c r="L382" s="72">
        <v>0</v>
      </c>
      <c r="M382" s="72">
        <v>0</v>
      </c>
      <c r="N382" s="73">
        <v>0</v>
      </c>
      <c r="O382" s="73">
        <v>0</v>
      </c>
      <c r="P382" s="73">
        <v>0</v>
      </c>
      <c r="Q382" s="73">
        <v>0</v>
      </c>
      <c r="R382" s="50">
        <v>0</v>
      </c>
      <c r="S382" s="50">
        <v>0</v>
      </c>
      <c r="T382" s="66">
        <v>0</v>
      </c>
      <c r="U382" s="66" t="s">
        <v>685</v>
      </c>
      <c r="V382" s="66" t="s">
        <v>685</v>
      </c>
      <c r="W382" s="66" t="s">
        <v>685</v>
      </c>
      <c r="X382" s="66" t="s">
        <v>685</v>
      </c>
      <c r="Y382" s="66" t="s">
        <v>685</v>
      </c>
      <c r="Z382" s="66" t="s">
        <v>685</v>
      </c>
      <c r="AA382" s="66">
        <v>0</v>
      </c>
      <c r="AB382" s="66">
        <v>0</v>
      </c>
      <c r="AC382" s="66">
        <v>0</v>
      </c>
    </row>
    <row r="383" spans="1:29">
      <c r="A383" s="43" t="s">
        <v>584</v>
      </c>
      <c r="B383" s="43" t="s">
        <v>95</v>
      </c>
      <c r="C383" s="73">
        <v>1.54</v>
      </c>
      <c r="D383" s="73">
        <v>1.1000000000000001</v>
      </c>
      <c r="E383" s="73">
        <v>1.089</v>
      </c>
      <c r="F383" s="73">
        <v>2.1384000000000003</v>
      </c>
      <c r="G383" s="73">
        <v>2.2494999999999998</v>
      </c>
      <c r="H383" s="73">
        <v>1.1769999999999998</v>
      </c>
      <c r="I383" s="73">
        <v>3.8170000000000002</v>
      </c>
      <c r="J383" s="73">
        <v>3.3165</v>
      </c>
      <c r="K383" s="73">
        <v>2.2000000000000002</v>
      </c>
      <c r="L383" s="73">
        <v>6.4954999999999998</v>
      </c>
      <c r="M383" s="73">
        <v>5.94</v>
      </c>
      <c r="N383" s="73">
        <v>8.6875</v>
      </c>
      <c r="O383" s="73">
        <v>6.0796799999999998</v>
      </c>
      <c r="P383" s="73">
        <v>9.8932000000000002</v>
      </c>
      <c r="Q383" s="73">
        <v>9.3890999999999991</v>
      </c>
      <c r="R383" s="50">
        <f>(110*0.055)+(9*0.11)+(1*0.065)+(4*0.022)+(0.18*0.033)</f>
        <v>7.1989400000000003</v>
      </c>
      <c r="S383" s="50">
        <f>(130*0.055)+(23*0.11)+(1*0.065)+(2.6*0.022)</f>
        <v>9.8021999999999991</v>
      </c>
      <c r="T383" s="66">
        <f>(131*0.055)+(13.4*0.11)+(1*0.065)</f>
        <v>8.7439999999999998</v>
      </c>
      <c r="U383" s="66">
        <f>(136.97*0.055)+(21.82*0.11)+(0.045*0.02)+(0.043*0.022)</f>
        <v>9.9353960000000008</v>
      </c>
      <c r="V383" s="66">
        <f>((66.07-1.42)*0.055)+(10.76*0.11)+(0.05*0.02)+(0.43*0.022)</f>
        <v>4.7498100000000001</v>
      </c>
      <c r="W383" s="66">
        <f>(61.8*0.055)+(9.89*0.11)+(0.49*0.022)</f>
        <v>4.4976799999999999</v>
      </c>
      <c r="X383" s="66">
        <f>(66.97*0.055)+(17.29*0.11)+(0.45*0.02)</f>
        <v>5.5942500000000006</v>
      </c>
      <c r="Y383" s="66">
        <f>(49.66*0.055)+(5.53*0.11)+(0.73*0.02)</f>
        <v>3.3542000000000001</v>
      </c>
      <c r="Z383" s="66">
        <f>(67.97*0.055)+(5.22*0.11)</f>
        <v>4.3125499999999999</v>
      </c>
      <c r="AA383" s="66">
        <f>(61.62*0.055)+(4.19*0.11)+(0.54*0.02)</f>
        <v>3.8608000000000002</v>
      </c>
      <c r="AB383" s="66">
        <f>(68.58*0.055)+(1.88*0.11)+(0.95*0.02)</f>
        <v>3.9977</v>
      </c>
      <c r="AC383" s="66">
        <f>(48.66*0.055)+(1.77*0.11)</f>
        <v>2.871</v>
      </c>
    </row>
    <row r="384" spans="1:29">
      <c r="A384" s="43" t="s">
        <v>584</v>
      </c>
      <c r="B384" s="43" t="s">
        <v>825</v>
      </c>
      <c r="Q384" s="73">
        <v>0</v>
      </c>
      <c r="R384" s="50">
        <f>4*0.11</f>
        <v>0.44</v>
      </c>
      <c r="S384" s="50">
        <f>10*0.11</f>
        <v>1.1000000000000001</v>
      </c>
      <c r="T384" s="50">
        <f>29*0.11</f>
        <v>3.19</v>
      </c>
      <c r="U384" s="50">
        <v>0</v>
      </c>
      <c r="V384" s="66">
        <f>17.6*0.11</f>
        <v>1.9360000000000002</v>
      </c>
      <c r="W384" s="66">
        <f>13.81*0.11</f>
        <v>1.5191000000000001</v>
      </c>
      <c r="X384" s="66">
        <f>7.74*0.11</f>
        <v>0.85140000000000005</v>
      </c>
      <c r="Y384" s="66">
        <f>0.27*0.11</f>
        <v>2.9700000000000001E-2</v>
      </c>
      <c r="Z384" s="66">
        <v>0</v>
      </c>
      <c r="AA384" s="66">
        <v>0</v>
      </c>
      <c r="AB384" s="66">
        <v>0</v>
      </c>
      <c r="AC384" s="66">
        <v>0</v>
      </c>
    </row>
    <row r="385" spans="1:29">
      <c r="A385" s="43" t="s">
        <v>584</v>
      </c>
      <c r="B385" s="43" t="s">
        <v>574</v>
      </c>
      <c r="C385" s="72">
        <v>-250.8</v>
      </c>
      <c r="D385" s="72">
        <v>-255.6</v>
      </c>
      <c r="E385" s="72">
        <v>525</v>
      </c>
      <c r="F385" s="72">
        <v>585.6</v>
      </c>
      <c r="G385" s="72">
        <v>513.96</v>
      </c>
      <c r="H385" s="72">
        <v>702</v>
      </c>
      <c r="I385" s="72">
        <v>786.6</v>
      </c>
      <c r="J385" s="72">
        <v>709.38</v>
      </c>
      <c r="K385" s="72">
        <v>527.70000000000005</v>
      </c>
      <c r="L385" s="72">
        <v>484.2</v>
      </c>
      <c r="M385" s="72">
        <v>522.79200000000003</v>
      </c>
      <c r="N385" s="73">
        <v>333.38</v>
      </c>
      <c r="O385" s="73">
        <v>290.76</v>
      </c>
      <c r="P385" s="73">
        <v>172.98</v>
      </c>
      <c r="Q385" s="73">
        <v>239.88</v>
      </c>
      <c r="R385" s="50">
        <v>0</v>
      </c>
      <c r="S385" s="50">
        <v>0</v>
      </c>
      <c r="T385" s="66">
        <v>0</v>
      </c>
      <c r="U385" s="66">
        <f>400*0.6</f>
        <v>240</v>
      </c>
      <c r="V385" s="66">
        <v>0</v>
      </c>
      <c r="W385" s="66">
        <v>0</v>
      </c>
      <c r="X385" s="66">
        <v>0</v>
      </c>
      <c r="Y385" s="66">
        <v>0</v>
      </c>
      <c r="Z385" s="66">
        <v>0</v>
      </c>
      <c r="AA385" s="66">
        <v>0</v>
      </c>
      <c r="AB385" s="66">
        <v>0</v>
      </c>
      <c r="AC385" s="66">
        <v>0</v>
      </c>
    </row>
    <row r="386" spans="1:29">
      <c r="A386" s="43" t="s">
        <v>584</v>
      </c>
      <c r="B386" s="43" t="s">
        <v>535</v>
      </c>
      <c r="C386" s="72">
        <v>0</v>
      </c>
      <c r="D386" s="72">
        <v>0</v>
      </c>
      <c r="E386" s="72">
        <v>0</v>
      </c>
      <c r="F386" s="72">
        <v>0</v>
      </c>
      <c r="G386" s="72">
        <v>0</v>
      </c>
      <c r="H386" s="72">
        <v>0</v>
      </c>
      <c r="I386" s="72">
        <v>0</v>
      </c>
      <c r="J386" s="72">
        <v>0</v>
      </c>
      <c r="K386" s="72">
        <v>0</v>
      </c>
      <c r="L386" s="72">
        <v>0</v>
      </c>
      <c r="M386" s="72">
        <v>0</v>
      </c>
      <c r="N386" s="73">
        <v>0</v>
      </c>
      <c r="O386" s="73">
        <v>0</v>
      </c>
      <c r="P386" s="73">
        <v>0</v>
      </c>
      <c r="Q386" s="73">
        <v>0</v>
      </c>
      <c r="R386" s="50">
        <v>0</v>
      </c>
      <c r="S386" s="50">
        <v>0</v>
      </c>
      <c r="T386" s="66">
        <v>0</v>
      </c>
      <c r="U386" s="66">
        <v>0</v>
      </c>
      <c r="V386" s="66">
        <v>0</v>
      </c>
      <c r="W386" s="66">
        <v>0</v>
      </c>
      <c r="X386" s="66">
        <v>0</v>
      </c>
      <c r="Y386" s="66">
        <v>0</v>
      </c>
      <c r="Z386" s="66">
        <v>0</v>
      </c>
      <c r="AA386" s="66">
        <v>0</v>
      </c>
      <c r="AB386" s="66">
        <v>0</v>
      </c>
      <c r="AC386" s="66">
        <v>0</v>
      </c>
    </row>
    <row r="387" spans="1:29">
      <c r="A387" s="43" t="s">
        <v>585</v>
      </c>
      <c r="B387" s="43" t="s">
        <v>752</v>
      </c>
      <c r="C387" s="72">
        <v>37.36</v>
      </c>
      <c r="D387" s="72">
        <v>43.97</v>
      </c>
      <c r="E387" s="72">
        <v>45.9</v>
      </c>
      <c r="F387" s="72">
        <v>41.78</v>
      </c>
      <c r="G387" s="72">
        <v>39.93</v>
      </c>
      <c r="H387" s="72">
        <v>38.32</v>
      </c>
      <c r="I387" s="72">
        <v>35.387999999999998</v>
      </c>
      <c r="J387" s="72">
        <v>31.35</v>
      </c>
      <c r="K387" s="72">
        <v>25.91</v>
      </c>
      <c r="L387" s="72">
        <v>16.690000000000001</v>
      </c>
      <c r="M387" s="72">
        <v>9.2759999999999998</v>
      </c>
      <c r="N387" s="73">
        <v>4.9020000000000001</v>
      </c>
      <c r="O387" s="73">
        <v>2.9180000000000001</v>
      </c>
      <c r="P387" s="73">
        <v>1.48</v>
      </c>
      <c r="Q387" s="73">
        <v>0</v>
      </c>
      <c r="R387" s="50">
        <v>0</v>
      </c>
      <c r="S387" s="66">
        <v>0</v>
      </c>
      <c r="T387" s="66" t="s">
        <v>685</v>
      </c>
      <c r="U387" s="66">
        <v>0</v>
      </c>
      <c r="V387" s="66">
        <v>0</v>
      </c>
      <c r="W387" s="66">
        <v>0</v>
      </c>
      <c r="X387" s="66">
        <v>0</v>
      </c>
      <c r="Y387" s="66" t="s">
        <v>685</v>
      </c>
      <c r="Z387" s="66" t="s">
        <v>685</v>
      </c>
      <c r="AA387" s="66">
        <v>0</v>
      </c>
      <c r="AB387" s="66">
        <v>0</v>
      </c>
      <c r="AC387" s="66">
        <v>0</v>
      </c>
    </row>
    <row r="388" spans="1:29">
      <c r="A388" s="43" t="s">
        <v>585</v>
      </c>
      <c r="B388" s="43" t="s">
        <v>663</v>
      </c>
      <c r="C388" s="72">
        <v>0</v>
      </c>
      <c r="D388" s="72">
        <v>0</v>
      </c>
      <c r="E388" s="72">
        <v>0</v>
      </c>
      <c r="F388" s="72">
        <v>0</v>
      </c>
      <c r="G388" s="72">
        <v>0</v>
      </c>
      <c r="H388" s="72">
        <v>0</v>
      </c>
      <c r="I388" s="72">
        <v>0</v>
      </c>
      <c r="J388" s="72">
        <v>0</v>
      </c>
      <c r="K388" s="72">
        <v>0</v>
      </c>
      <c r="L388" s="72">
        <v>0</v>
      </c>
      <c r="M388" s="72">
        <v>0</v>
      </c>
      <c r="N388" s="73">
        <v>0</v>
      </c>
      <c r="O388" s="73">
        <v>0</v>
      </c>
      <c r="P388" s="73">
        <v>0</v>
      </c>
      <c r="Q388" s="73">
        <v>0</v>
      </c>
      <c r="R388" s="50">
        <v>0</v>
      </c>
      <c r="S388" s="66">
        <v>0</v>
      </c>
      <c r="T388" s="66" t="s">
        <v>685</v>
      </c>
      <c r="U388" s="66">
        <v>0</v>
      </c>
      <c r="V388" s="66">
        <v>0</v>
      </c>
      <c r="W388" s="66">
        <v>0</v>
      </c>
      <c r="X388" s="66">
        <v>0</v>
      </c>
      <c r="Y388" s="66" t="s">
        <v>685</v>
      </c>
      <c r="Z388" s="66" t="s">
        <v>685</v>
      </c>
      <c r="AA388" s="66">
        <v>0</v>
      </c>
      <c r="AB388" s="66">
        <v>0</v>
      </c>
      <c r="AC388" s="66">
        <v>0</v>
      </c>
    </row>
    <row r="389" spans="1:29" ht="12.6" customHeight="1">
      <c r="A389" s="43" t="s">
        <v>585</v>
      </c>
      <c r="B389" s="43" t="s">
        <v>243</v>
      </c>
      <c r="C389" s="72">
        <v>11.06</v>
      </c>
      <c r="D389" s="72">
        <v>8.43</v>
      </c>
      <c r="E389" s="72">
        <v>6.03</v>
      </c>
      <c r="F389" s="72">
        <v>0.2</v>
      </c>
      <c r="G389" s="72">
        <v>0.1</v>
      </c>
      <c r="H389" s="72">
        <v>0.1</v>
      </c>
      <c r="I389" s="72">
        <v>0.1</v>
      </c>
      <c r="J389" s="72">
        <v>0.1</v>
      </c>
      <c r="K389" s="72">
        <v>1.599</v>
      </c>
      <c r="L389" s="72">
        <v>0</v>
      </c>
      <c r="M389" s="72">
        <v>0</v>
      </c>
      <c r="N389" s="73">
        <v>0</v>
      </c>
      <c r="O389" s="73">
        <v>0</v>
      </c>
      <c r="P389" s="73">
        <v>0</v>
      </c>
      <c r="Q389" s="73">
        <v>0</v>
      </c>
      <c r="R389" s="50">
        <v>0</v>
      </c>
      <c r="S389" s="66">
        <v>0</v>
      </c>
      <c r="T389" s="66" t="s">
        <v>685</v>
      </c>
      <c r="U389" s="66">
        <v>0</v>
      </c>
      <c r="V389" s="66">
        <v>0</v>
      </c>
      <c r="W389" s="66">
        <v>0</v>
      </c>
      <c r="X389" s="66">
        <v>0</v>
      </c>
      <c r="Y389" s="66" t="s">
        <v>685</v>
      </c>
      <c r="Z389" s="66" t="s">
        <v>685</v>
      </c>
      <c r="AA389" s="66">
        <v>0</v>
      </c>
      <c r="AB389" s="66">
        <v>0</v>
      </c>
      <c r="AC389" s="66">
        <v>0</v>
      </c>
    </row>
    <row r="390" spans="1:29">
      <c r="A390" s="43" t="s">
        <v>585</v>
      </c>
      <c r="B390" s="43" t="s">
        <v>95</v>
      </c>
      <c r="C390" s="73">
        <v>0</v>
      </c>
      <c r="D390" s="73">
        <v>0</v>
      </c>
      <c r="E390" s="73">
        <v>0</v>
      </c>
      <c r="F390" s="73">
        <v>0</v>
      </c>
      <c r="G390" s="73">
        <v>0</v>
      </c>
      <c r="H390" s="73">
        <v>0</v>
      </c>
      <c r="I390" s="73">
        <v>0</v>
      </c>
      <c r="J390" s="73">
        <v>0</v>
      </c>
      <c r="K390" s="73">
        <v>0</v>
      </c>
      <c r="L390" s="73">
        <v>0</v>
      </c>
      <c r="M390" s="73">
        <v>0</v>
      </c>
      <c r="N390" s="73">
        <v>0</v>
      </c>
      <c r="O390" s="73">
        <v>0</v>
      </c>
      <c r="P390" s="73">
        <v>1.1368500000000001</v>
      </c>
      <c r="Q390" s="73">
        <f>395.88*0.055</f>
        <v>21.773399999999999</v>
      </c>
      <c r="R390" s="50">
        <f>426.3*0.055</f>
        <v>23.4465</v>
      </c>
      <c r="S390" s="66">
        <f>445.95*0.055</f>
        <v>24.527249999999999</v>
      </c>
      <c r="T390" s="66">
        <f>403.56*0.055</f>
        <v>22.195800000000002</v>
      </c>
      <c r="U390" s="66">
        <f>128.8*0.055</f>
        <v>7.0840000000000005</v>
      </c>
      <c r="V390" s="66">
        <f>125.3*0.055</f>
        <v>6.8914999999999997</v>
      </c>
      <c r="W390" s="66">
        <f>102.65*0.055</f>
        <v>5.6457500000000005</v>
      </c>
      <c r="X390" s="66">
        <f>85.45*0.055</f>
        <v>4.6997499999999999</v>
      </c>
      <c r="Y390" s="66">
        <f>46.12*0.055</f>
        <v>2.5366</v>
      </c>
      <c r="Z390" s="66">
        <f>40*0.055</f>
        <v>2.2000000000000002</v>
      </c>
      <c r="AA390" s="66">
        <f>35*0.055</f>
        <v>1.925</v>
      </c>
      <c r="AB390" s="66">
        <f>30*0.055</f>
        <v>1.65</v>
      </c>
      <c r="AC390" s="66">
        <f>25*0.055</f>
        <v>1.375</v>
      </c>
    </row>
    <row r="391" spans="1:29">
      <c r="A391" s="43" t="s">
        <v>585</v>
      </c>
      <c r="B391" s="43" t="s">
        <v>825</v>
      </c>
      <c r="Q391" s="73">
        <v>0</v>
      </c>
      <c r="R391" s="50">
        <v>0</v>
      </c>
      <c r="S391" s="50">
        <v>0</v>
      </c>
      <c r="T391" s="66">
        <v>0</v>
      </c>
      <c r="U391" s="66">
        <v>0</v>
      </c>
      <c r="V391" s="66">
        <v>0</v>
      </c>
      <c r="W391" s="66">
        <v>0</v>
      </c>
      <c r="X391" s="66">
        <v>0</v>
      </c>
      <c r="Y391" s="66">
        <v>0</v>
      </c>
      <c r="Z391" s="66">
        <v>0</v>
      </c>
      <c r="AA391" s="66">
        <v>0</v>
      </c>
      <c r="AB391" s="66">
        <v>0</v>
      </c>
      <c r="AC391" s="66">
        <v>0</v>
      </c>
    </row>
    <row r="392" spans="1:29">
      <c r="A392" s="43" t="s">
        <v>585</v>
      </c>
      <c r="B392" s="43" t="s">
        <v>574</v>
      </c>
      <c r="C392" s="72">
        <v>0</v>
      </c>
      <c r="D392" s="72">
        <v>0</v>
      </c>
      <c r="E392" s="72">
        <v>0</v>
      </c>
      <c r="F392" s="72">
        <v>0</v>
      </c>
      <c r="G392" s="72">
        <v>0</v>
      </c>
      <c r="H392" s="72">
        <v>0</v>
      </c>
      <c r="I392" s="72">
        <v>0</v>
      </c>
      <c r="J392" s="72">
        <v>0</v>
      </c>
      <c r="K392" s="72">
        <v>0</v>
      </c>
      <c r="L392" s="72">
        <v>0</v>
      </c>
      <c r="M392" s="72">
        <v>0</v>
      </c>
      <c r="N392" s="73">
        <v>0</v>
      </c>
      <c r="O392" s="73">
        <v>0</v>
      </c>
      <c r="P392" s="73">
        <v>0</v>
      </c>
      <c r="Q392" s="73">
        <v>0</v>
      </c>
      <c r="R392" s="50">
        <v>0</v>
      </c>
      <c r="S392" s="66">
        <v>0</v>
      </c>
      <c r="T392" s="66">
        <v>0</v>
      </c>
      <c r="U392" s="66">
        <v>0</v>
      </c>
      <c r="V392" s="66">
        <v>0</v>
      </c>
      <c r="W392" s="66">
        <v>0</v>
      </c>
      <c r="X392" s="66">
        <v>0</v>
      </c>
      <c r="Y392" s="66">
        <v>0</v>
      </c>
      <c r="Z392" s="66">
        <v>0</v>
      </c>
      <c r="AA392" s="66">
        <v>0</v>
      </c>
      <c r="AB392" s="66">
        <v>0</v>
      </c>
      <c r="AC392" s="66">
        <v>0</v>
      </c>
    </row>
    <row r="393" spans="1:29">
      <c r="A393" s="43" t="s">
        <v>585</v>
      </c>
      <c r="B393" s="43" t="s">
        <v>535</v>
      </c>
      <c r="C393" s="72">
        <v>0</v>
      </c>
      <c r="D393" s="72">
        <v>0</v>
      </c>
      <c r="E393" s="72">
        <v>0</v>
      </c>
      <c r="F393" s="72">
        <v>0</v>
      </c>
      <c r="G393" s="72">
        <v>0</v>
      </c>
      <c r="H393" s="72">
        <v>0</v>
      </c>
      <c r="I393" s="72">
        <v>0</v>
      </c>
      <c r="J393" s="72">
        <v>0</v>
      </c>
      <c r="K393" s="72">
        <v>0</v>
      </c>
      <c r="L393" s="72">
        <v>0</v>
      </c>
      <c r="M393" s="72">
        <v>0</v>
      </c>
      <c r="N393" s="73">
        <v>0</v>
      </c>
      <c r="O393" s="73">
        <v>0</v>
      </c>
      <c r="P393" s="73">
        <v>0</v>
      </c>
      <c r="Q393" s="73">
        <v>0</v>
      </c>
      <c r="R393" s="50">
        <v>0</v>
      </c>
      <c r="S393" s="66">
        <v>0</v>
      </c>
      <c r="T393" s="66">
        <v>0</v>
      </c>
      <c r="U393" s="66">
        <v>0</v>
      </c>
      <c r="V393" s="66">
        <v>0</v>
      </c>
      <c r="W393" s="66">
        <v>0</v>
      </c>
      <c r="X393" s="66">
        <v>0</v>
      </c>
      <c r="Y393" s="66">
        <v>0</v>
      </c>
      <c r="Z393" s="66">
        <v>0</v>
      </c>
      <c r="AA393" s="66">
        <v>0</v>
      </c>
      <c r="AB393" s="66">
        <v>0</v>
      </c>
      <c r="AC393" s="66">
        <v>0</v>
      </c>
    </row>
    <row r="394" spans="1:29">
      <c r="A394" s="68" t="s">
        <v>771</v>
      </c>
      <c r="B394" s="68" t="s">
        <v>752</v>
      </c>
      <c r="C394" s="72">
        <v>24.94</v>
      </c>
      <c r="D394" s="72">
        <v>25.46</v>
      </c>
      <c r="E394" s="72">
        <v>26</v>
      </c>
      <c r="F394" s="72">
        <v>26.29</v>
      </c>
      <c r="G394" s="72">
        <v>25.21</v>
      </c>
      <c r="H394" s="72">
        <v>25.24</v>
      </c>
      <c r="I394" s="72">
        <v>26.06</v>
      </c>
      <c r="J394" s="72">
        <v>26.57</v>
      </c>
      <c r="K394" s="72">
        <v>28.54</v>
      </c>
      <c r="L394" s="72">
        <v>25.864000000000001</v>
      </c>
      <c r="M394" s="72">
        <v>12.5</v>
      </c>
      <c r="O394" s="73">
        <v>2.9220000000000002</v>
      </c>
      <c r="P394" s="73">
        <v>1.4</v>
      </c>
      <c r="Q394" s="73">
        <v>0</v>
      </c>
      <c r="R394" s="50">
        <v>0</v>
      </c>
      <c r="S394" s="50">
        <v>0</v>
      </c>
      <c r="T394" s="66" t="s">
        <v>685</v>
      </c>
      <c r="U394" s="66" t="s">
        <v>685</v>
      </c>
      <c r="V394" s="66" t="s">
        <v>685</v>
      </c>
      <c r="W394" s="66" t="s">
        <v>685</v>
      </c>
      <c r="X394" s="66" t="s">
        <v>685</v>
      </c>
      <c r="Y394" s="66" t="s">
        <v>685</v>
      </c>
      <c r="Z394" s="66" t="s">
        <v>685</v>
      </c>
      <c r="AA394" s="66">
        <v>0</v>
      </c>
      <c r="AB394" s="66">
        <v>0</v>
      </c>
      <c r="AC394" s="66">
        <v>0</v>
      </c>
    </row>
    <row r="395" spans="1:29">
      <c r="A395" s="68" t="s">
        <v>771</v>
      </c>
      <c r="B395" s="68" t="s">
        <v>663</v>
      </c>
      <c r="C395" s="72">
        <v>0</v>
      </c>
      <c r="D395" s="72">
        <v>0</v>
      </c>
      <c r="E395" s="72">
        <v>0</v>
      </c>
      <c r="F395" s="72">
        <v>0</v>
      </c>
      <c r="G395" s="72">
        <v>0</v>
      </c>
      <c r="H395" s="72">
        <v>0</v>
      </c>
      <c r="I395" s="72">
        <v>0</v>
      </c>
      <c r="J395" s="72">
        <v>0</v>
      </c>
      <c r="K395" s="72">
        <v>0</v>
      </c>
      <c r="L395" s="72">
        <v>0</v>
      </c>
      <c r="M395" s="72">
        <v>0</v>
      </c>
      <c r="O395" s="73">
        <v>0</v>
      </c>
      <c r="P395" s="73">
        <v>0</v>
      </c>
      <c r="Q395" s="73">
        <v>0</v>
      </c>
      <c r="R395" s="50">
        <v>0</v>
      </c>
      <c r="S395" s="50">
        <v>0</v>
      </c>
      <c r="T395" s="66" t="s">
        <v>685</v>
      </c>
      <c r="U395" s="66" t="s">
        <v>685</v>
      </c>
      <c r="V395" s="66" t="s">
        <v>685</v>
      </c>
      <c r="W395" s="66" t="s">
        <v>685</v>
      </c>
      <c r="X395" s="66" t="s">
        <v>685</v>
      </c>
      <c r="Y395" s="66" t="s">
        <v>685</v>
      </c>
      <c r="Z395" s="66" t="s">
        <v>685</v>
      </c>
      <c r="AA395" s="66">
        <v>0</v>
      </c>
      <c r="AB395" s="66">
        <v>0</v>
      </c>
      <c r="AC395" s="66">
        <v>0</v>
      </c>
    </row>
    <row r="396" spans="1:29">
      <c r="A396" s="68" t="s">
        <v>771</v>
      </c>
      <c r="B396" s="43" t="s">
        <v>243</v>
      </c>
      <c r="C396" s="72">
        <v>0</v>
      </c>
      <c r="D396" s="72">
        <v>0</v>
      </c>
      <c r="E396" s="72">
        <v>0</v>
      </c>
      <c r="F396" s="72">
        <v>0</v>
      </c>
      <c r="G396" s="72">
        <v>0</v>
      </c>
      <c r="H396" s="72">
        <v>0</v>
      </c>
      <c r="I396" s="72">
        <v>0</v>
      </c>
      <c r="J396" s="72">
        <v>0</v>
      </c>
      <c r="K396" s="72">
        <v>0</v>
      </c>
      <c r="L396" s="72">
        <v>0</v>
      </c>
      <c r="M396" s="72">
        <v>0</v>
      </c>
      <c r="O396" s="73">
        <v>0</v>
      </c>
      <c r="P396" s="73">
        <v>0</v>
      </c>
      <c r="Q396" s="73">
        <v>0</v>
      </c>
      <c r="R396" s="50">
        <v>0</v>
      </c>
      <c r="S396" s="50">
        <v>0</v>
      </c>
      <c r="T396" s="66" t="s">
        <v>685</v>
      </c>
      <c r="U396" s="66" t="s">
        <v>685</v>
      </c>
      <c r="V396" s="66" t="s">
        <v>685</v>
      </c>
      <c r="W396" s="66" t="s">
        <v>685</v>
      </c>
      <c r="X396" s="66" t="s">
        <v>685</v>
      </c>
      <c r="Y396" s="66" t="s">
        <v>685</v>
      </c>
      <c r="Z396" s="66" t="s">
        <v>685</v>
      </c>
      <c r="AA396" s="66">
        <v>0</v>
      </c>
      <c r="AB396" s="66">
        <v>0</v>
      </c>
      <c r="AC396" s="66">
        <v>0</v>
      </c>
    </row>
    <row r="397" spans="1:29">
      <c r="A397" s="68" t="s">
        <v>771</v>
      </c>
      <c r="B397" s="43" t="s">
        <v>95</v>
      </c>
      <c r="C397" s="73">
        <v>0</v>
      </c>
      <c r="D397" s="73">
        <v>0</v>
      </c>
      <c r="E397" s="73">
        <v>0</v>
      </c>
      <c r="F397" s="73">
        <v>0</v>
      </c>
      <c r="G397" s="73">
        <v>0</v>
      </c>
      <c r="H397" s="73">
        <v>0</v>
      </c>
      <c r="I397" s="73">
        <v>0</v>
      </c>
      <c r="J397" s="73">
        <v>0</v>
      </c>
      <c r="K397" s="73">
        <v>0</v>
      </c>
      <c r="L397" s="73">
        <v>0</v>
      </c>
      <c r="M397" s="73">
        <v>1.375</v>
      </c>
      <c r="O397" s="73">
        <v>0.16500000000000001</v>
      </c>
      <c r="P397" s="73">
        <v>0.82499999999999996</v>
      </c>
      <c r="Q397" s="73">
        <f>49.53*0.055</f>
        <v>2.7241500000000003</v>
      </c>
      <c r="R397" s="50">
        <f>52*0.055</f>
        <v>2.86</v>
      </c>
      <c r="S397" s="50">
        <f>52*0.055</f>
        <v>2.86</v>
      </c>
      <c r="T397" s="66">
        <f>49*0.055</f>
        <v>2.6949999999999998</v>
      </c>
      <c r="U397" s="66">
        <f>42*0.055</f>
        <v>2.31</v>
      </c>
      <c r="V397" s="66">
        <f>51*0.055</f>
        <v>2.8050000000000002</v>
      </c>
      <c r="W397" s="66">
        <f>45*0.055</f>
        <v>2.4750000000000001</v>
      </c>
      <c r="X397" s="66">
        <f>42*0.055</f>
        <v>2.31</v>
      </c>
      <c r="Y397" s="66">
        <f>36*0.055</f>
        <v>1.98</v>
      </c>
      <c r="Z397" s="66">
        <f>28*0.055</f>
        <v>1.54</v>
      </c>
      <c r="AA397" s="66">
        <f>23*0.055</f>
        <v>1.2649999999999999</v>
      </c>
      <c r="AB397" s="66">
        <f>20*0.055</f>
        <v>1.1000000000000001</v>
      </c>
      <c r="AC397" s="66">
        <f>15*0.055</f>
        <v>0.82499999999999996</v>
      </c>
    </row>
    <row r="398" spans="1:29">
      <c r="A398" s="68" t="s">
        <v>771</v>
      </c>
      <c r="B398" s="43" t="s">
        <v>825</v>
      </c>
      <c r="Q398" s="73">
        <v>0</v>
      </c>
      <c r="R398" s="50">
        <v>0</v>
      </c>
      <c r="S398" s="50">
        <v>0</v>
      </c>
      <c r="T398" s="66">
        <v>0</v>
      </c>
      <c r="U398" s="66">
        <v>0</v>
      </c>
      <c r="V398" s="66">
        <v>0</v>
      </c>
      <c r="W398" s="66">
        <v>0</v>
      </c>
      <c r="X398" s="66">
        <v>0</v>
      </c>
      <c r="Y398" s="66">
        <v>0</v>
      </c>
      <c r="Z398" s="66">
        <v>0</v>
      </c>
      <c r="AA398" s="66">
        <v>0</v>
      </c>
      <c r="AB398" s="66">
        <v>0</v>
      </c>
      <c r="AC398" s="66">
        <v>0</v>
      </c>
    </row>
    <row r="399" spans="1:29">
      <c r="A399" s="68" t="s">
        <v>771</v>
      </c>
      <c r="B399" s="43" t="s">
        <v>574</v>
      </c>
      <c r="C399" s="72">
        <v>0</v>
      </c>
      <c r="D399" s="72">
        <v>0</v>
      </c>
      <c r="E399" s="72">
        <v>0</v>
      </c>
      <c r="F399" s="72">
        <v>0</v>
      </c>
      <c r="G399" s="72">
        <v>0</v>
      </c>
      <c r="H399" s="72">
        <v>0</v>
      </c>
      <c r="I399" s="72">
        <v>0</v>
      </c>
      <c r="J399" s="72">
        <v>0</v>
      </c>
      <c r="K399" s="72">
        <v>0</v>
      </c>
      <c r="L399" s="72">
        <v>0</v>
      </c>
      <c r="M399" s="72">
        <v>0</v>
      </c>
      <c r="O399" s="73">
        <v>0</v>
      </c>
      <c r="P399" s="73">
        <v>0</v>
      </c>
      <c r="Q399" s="73">
        <v>0</v>
      </c>
      <c r="R399" s="50">
        <v>0</v>
      </c>
      <c r="S399" s="50">
        <v>0</v>
      </c>
      <c r="T399" s="66">
        <v>0</v>
      </c>
      <c r="U399" s="66">
        <v>0</v>
      </c>
      <c r="V399" s="66">
        <v>0</v>
      </c>
      <c r="W399" s="66">
        <v>0</v>
      </c>
      <c r="X399" s="66">
        <v>0</v>
      </c>
      <c r="Y399" s="66">
        <v>0</v>
      </c>
      <c r="Z399" s="66">
        <v>0</v>
      </c>
      <c r="AA399" s="66">
        <v>0</v>
      </c>
      <c r="AB399" s="66">
        <v>0</v>
      </c>
      <c r="AC399" s="66">
        <v>0</v>
      </c>
    </row>
    <row r="400" spans="1:29">
      <c r="A400" s="68" t="s">
        <v>771</v>
      </c>
      <c r="B400" s="68" t="s">
        <v>535</v>
      </c>
      <c r="C400" s="72">
        <v>0</v>
      </c>
      <c r="D400" s="72">
        <v>0</v>
      </c>
      <c r="E400" s="72">
        <v>0</v>
      </c>
      <c r="F400" s="72">
        <v>0</v>
      </c>
      <c r="G400" s="72">
        <v>0</v>
      </c>
      <c r="H400" s="72">
        <v>0</v>
      </c>
      <c r="I400" s="72">
        <v>0</v>
      </c>
      <c r="J400" s="72">
        <v>0</v>
      </c>
      <c r="K400" s="72">
        <v>0</v>
      </c>
      <c r="L400" s="72">
        <v>0</v>
      </c>
      <c r="M400" s="72">
        <v>0</v>
      </c>
      <c r="O400" s="73">
        <v>0</v>
      </c>
      <c r="P400" s="73">
        <v>0</v>
      </c>
      <c r="Q400" s="73">
        <v>0</v>
      </c>
      <c r="R400" s="50">
        <v>0</v>
      </c>
      <c r="S400" s="50">
        <v>0</v>
      </c>
      <c r="T400" s="66">
        <v>0</v>
      </c>
      <c r="U400" s="66">
        <v>0</v>
      </c>
      <c r="V400" s="66">
        <v>0</v>
      </c>
      <c r="W400" s="66">
        <v>0</v>
      </c>
      <c r="X400" s="66">
        <v>0</v>
      </c>
      <c r="Y400" s="66">
        <v>0</v>
      </c>
      <c r="Z400" s="66">
        <v>0</v>
      </c>
      <c r="AA400" s="66">
        <v>0</v>
      </c>
      <c r="AB400" s="66">
        <v>0</v>
      </c>
      <c r="AC400" s="66">
        <v>0</v>
      </c>
    </row>
    <row r="401" spans="1:29">
      <c r="A401" s="43" t="s">
        <v>586</v>
      </c>
      <c r="B401" s="43" t="s">
        <v>752</v>
      </c>
      <c r="C401" s="72">
        <v>38.24</v>
      </c>
      <c r="D401" s="72">
        <v>41.03</v>
      </c>
      <c r="E401" s="72">
        <v>35.122</v>
      </c>
      <c r="F401" s="72">
        <v>29.24</v>
      </c>
      <c r="G401" s="72">
        <v>39.9</v>
      </c>
      <c r="H401" s="72">
        <v>24.37</v>
      </c>
      <c r="I401" s="72">
        <v>19.850000000000001</v>
      </c>
      <c r="J401" s="72">
        <v>14.34</v>
      </c>
      <c r="K401" s="72">
        <v>5.44</v>
      </c>
      <c r="L401" s="72">
        <v>10.16</v>
      </c>
      <c r="M401" s="72">
        <v>23.468</v>
      </c>
      <c r="N401" s="73">
        <v>8.8239999999999998</v>
      </c>
      <c r="O401" s="73">
        <v>0.14000000000000001</v>
      </c>
      <c r="P401" s="73">
        <v>1.74</v>
      </c>
      <c r="Q401" s="73">
        <v>0</v>
      </c>
      <c r="R401" s="50">
        <v>0</v>
      </c>
      <c r="S401" s="50">
        <v>0</v>
      </c>
      <c r="T401" s="66" t="s">
        <v>685</v>
      </c>
      <c r="U401" s="66" t="s">
        <v>685</v>
      </c>
      <c r="V401" s="66" t="s">
        <v>685</v>
      </c>
      <c r="W401" s="66" t="s">
        <v>685</v>
      </c>
      <c r="X401" s="66" t="s">
        <v>685</v>
      </c>
      <c r="Y401" s="66" t="s">
        <v>685</v>
      </c>
      <c r="Z401" s="66" t="s">
        <v>685</v>
      </c>
      <c r="AA401" s="66">
        <v>0</v>
      </c>
      <c r="AB401" s="66">
        <v>0</v>
      </c>
      <c r="AC401" s="66">
        <v>0</v>
      </c>
    </row>
    <row r="402" spans="1:29">
      <c r="A402" s="43" t="s">
        <v>586</v>
      </c>
      <c r="B402" s="43" t="s">
        <v>663</v>
      </c>
      <c r="C402" s="72">
        <v>0.90200000000000002</v>
      </c>
      <c r="D402" s="72">
        <v>0</v>
      </c>
      <c r="E402" s="72">
        <v>0</v>
      </c>
      <c r="F402" s="72">
        <v>0</v>
      </c>
      <c r="G402" s="72">
        <v>0</v>
      </c>
      <c r="H402" s="72">
        <v>0</v>
      </c>
      <c r="I402" s="72">
        <v>0</v>
      </c>
      <c r="J402" s="72">
        <v>0</v>
      </c>
      <c r="K402" s="72">
        <v>0</v>
      </c>
      <c r="L402" s="72">
        <v>0</v>
      </c>
      <c r="M402" s="72">
        <v>0</v>
      </c>
      <c r="N402" s="73">
        <v>0</v>
      </c>
      <c r="O402" s="73">
        <v>0</v>
      </c>
      <c r="P402" s="73">
        <v>0</v>
      </c>
      <c r="Q402" s="73">
        <f>0.01*1.1</f>
        <v>1.1000000000000001E-2</v>
      </c>
      <c r="R402" s="50">
        <v>0</v>
      </c>
      <c r="S402" s="50">
        <v>0</v>
      </c>
      <c r="T402" s="66" t="s">
        <v>685</v>
      </c>
      <c r="U402" s="66" t="s">
        <v>685</v>
      </c>
      <c r="V402" s="66" t="s">
        <v>685</v>
      </c>
      <c r="W402" s="66" t="s">
        <v>685</v>
      </c>
      <c r="X402" s="66" t="s">
        <v>685</v>
      </c>
      <c r="Y402" s="66" t="s">
        <v>685</v>
      </c>
      <c r="Z402" s="66" t="s">
        <v>685</v>
      </c>
      <c r="AA402" s="66">
        <v>0</v>
      </c>
      <c r="AB402" s="66">
        <v>0</v>
      </c>
      <c r="AC402" s="66">
        <v>0</v>
      </c>
    </row>
    <row r="403" spans="1:29">
      <c r="A403" s="43" t="s">
        <v>586</v>
      </c>
      <c r="B403" s="43" t="s">
        <v>243</v>
      </c>
      <c r="C403" s="72">
        <v>0.3</v>
      </c>
      <c r="D403" s="72">
        <v>0.21</v>
      </c>
      <c r="E403" s="72">
        <v>0.24</v>
      </c>
      <c r="F403" s="72">
        <v>0.24</v>
      </c>
      <c r="G403" s="72">
        <v>0.24</v>
      </c>
      <c r="H403" s="72">
        <v>0.24</v>
      </c>
      <c r="I403" s="72">
        <v>0.06</v>
      </c>
      <c r="J403" s="72">
        <v>0</v>
      </c>
      <c r="K403" s="72">
        <v>0</v>
      </c>
      <c r="L403" s="72">
        <v>0</v>
      </c>
      <c r="M403" s="72">
        <v>0</v>
      </c>
      <c r="N403" s="73">
        <v>0</v>
      </c>
      <c r="O403" s="73">
        <v>0</v>
      </c>
      <c r="P403" s="73">
        <v>0</v>
      </c>
      <c r="Q403" s="73">
        <v>0</v>
      </c>
      <c r="R403" s="50">
        <v>0</v>
      </c>
      <c r="S403" s="50">
        <v>0</v>
      </c>
      <c r="T403" s="66" t="s">
        <v>685</v>
      </c>
      <c r="U403" s="66" t="s">
        <v>685</v>
      </c>
      <c r="V403" s="66" t="s">
        <v>685</v>
      </c>
      <c r="W403" s="66" t="s">
        <v>685</v>
      </c>
      <c r="X403" s="66" t="s">
        <v>685</v>
      </c>
      <c r="Y403" s="66" t="s">
        <v>685</v>
      </c>
      <c r="Z403" s="66" t="s">
        <v>685</v>
      </c>
      <c r="AA403" s="66">
        <v>0</v>
      </c>
      <c r="AB403" s="66">
        <v>0</v>
      </c>
      <c r="AC403" s="66">
        <v>0</v>
      </c>
    </row>
    <row r="404" spans="1:29">
      <c r="A404" s="43" t="s">
        <v>586</v>
      </c>
      <c r="B404" s="43" t="s">
        <v>95</v>
      </c>
      <c r="C404" s="73">
        <v>0.28655000000000003</v>
      </c>
      <c r="D404" s="73">
        <v>0.46474999999999994</v>
      </c>
      <c r="E404" s="73">
        <v>1.4294499999999999</v>
      </c>
      <c r="F404" s="73">
        <v>1.4536499999999999</v>
      </c>
      <c r="G404" s="73">
        <v>0.99770000000000003</v>
      </c>
      <c r="H404" s="73">
        <v>1.16875</v>
      </c>
      <c r="I404" s="73">
        <v>0.66659999999999997</v>
      </c>
      <c r="J404" s="73">
        <v>1.276</v>
      </c>
      <c r="K404" s="73">
        <v>1.23255</v>
      </c>
      <c r="L404" s="73">
        <v>0.58574999999999999</v>
      </c>
      <c r="M404" s="73">
        <v>2.4530000000000003</v>
      </c>
      <c r="N404" s="73">
        <v>0.38170000000000004</v>
      </c>
      <c r="O404" s="73">
        <v>0.53349999999999997</v>
      </c>
      <c r="P404" s="73">
        <v>1.7253500000000002</v>
      </c>
      <c r="Q404" s="73">
        <f>19.27*0.055</f>
        <v>1.05985</v>
      </c>
      <c r="R404" s="50">
        <f>42.76*0.055</f>
        <v>2.3517999999999999</v>
      </c>
      <c r="S404" s="50">
        <f>43.901*0.055</f>
        <v>2.414555</v>
      </c>
      <c r="T404" s="66">
        <f>24.685*0.055</f>
        <v>1.357675</v>
      </c>
      <c r="U404" s="66">
        <f>17.424*0.055</f>
        <v>0.95831999999999995</v>
      </c>
      <c r="V404" s="66">
        <f>14.5*0.055</f>
        <v>0.79749999999999999</v>
      </c>
      <c r="W404" s="66">
        <f>(20.3*0.055)+(1.991*0.11)</f>
        <v>1.33551</v>
      </c>
      <c r="X404" s="66">
        <f>28.67*0.055</f>
        <v>1.5768500000000001</v>
      </c>
      <c r="Y404" s="66">
        <f>(22.82*0.055)+(0.68*0.11)</f>
        <v>1.3299000000000001</v>
      </c>
      <c r="Z404" s="66">
        <f>19.63*0.055</f>
        <v>1.07965</v>
      </c>
      <c r="AA404" s="66">
        <f>17.94*0.055</f>
        <v>0.98670000000000002</v>
      </c>
      <c r="AB404" s="66">
        <f>16.34*0.055</f>
        <v>0.89869999999999994</v>
      </c>
      <c r="AC404" s="66">
        <f>9.05*0.055</f>
        <v>0.49775000000000003</v>
      </c>
    </row>
    <row r="405" spans="1:29">
      <c r="A405" s="43" t="s">
        <v>586</v>
      </c>
      <c r="B405" s="43" t="s">
        <v>825</v>
      </c>
      <c r="Q405" s="73">
        <v>0</v>
      </c>
      <c r="R405" s="50">
        <v>0</v>
      </c>
      <c r="S405" s="50">
        <v>0</v>
      </c>
      <c r="T405" s="66">
        <v>0</v>
      </c>
      <c r="U405" s="66">
        <v>0</v>
      </c>
      <c r="V405" s="66">
        <v>0</v>
      </c>
      <c r="W405" s="66">
        <v>0</v>
      </c>
      <c r="X405" s="66">
        <v>0</v>
      </c>
      <c r="Y405" s="66">
        <v>0</v>
      </c>
      <c r="Z405" s="66">
        <v>0</v>
      </c>
      <c r="AA405" s="66">
        <v>0</v>
      </c>
      <c r="AB405" s="66">
        <v>0</v>
      </c>
      <c r="AC405" s="66">
        <v>0</v>
      </c>
    </row>
    <row r="406" spans="1:29">
      <c r="A406" s="43" t="s">
        <v>586</v>
      </c>
      <c r="B406" s="43" t="s">
        <v>574</v>
      </c>
      <c r="C406" s="72">
        <v>2.85</v>
      </c>
      <c r="D406" s="72">
        <v>2.72</v>
      </c>
      <c r="E406" s="72">
        <v>3.46</v>
      </c>
      <c r="F406" s="72">
        <v>2.73</v>
      </c>
      <c r="G406" s="72">
        <v>0.9</v>
      </c>
      <c r="H406" s="72">
        <v>0.9</v>
      </c>
      <c r="I406" s="72">
        <v>0.6</v>
      </c>
      <c r="J406" s="72">
        <v>0</v>
      </c>
      <c r="K406" s="72">
        <v>0</v>
      </c>
      <c r="L406" s="72">
        <v>0</v>
      </c>
      <c r="M406" s="72">
        <v>0</v>
      </c>
      <c r="N406" s="73">
        <v>0</v>
      </c>
      <c r="O406" s="73">
        <v>0</v>
      </c>
      <c r="P406" s="73">
        <v>0</v>
      </c>
      <c r="Q406" s="73">
        <v>0</v>
      </c>
      <c r="R406" s="50">
        <v>0</v>
      </c>
      <c r="S406" s="50">
        <v>0</v>
      </c>
      <c r="T406" s="66">
        <v>0</v>
      </c>
      <c r="U406" s="66">
        <v>0</v>
      </c>
      <c r="V406" s="66">
        <v>0</v>
      </c>
      <c r="W406" s="66">
        <v>0</v>
      </c>
      <c r="X406" s="66">
        <v>0</v>
      </c>
      <c r="Y406" s="66">
        <v>0</v>
      </c>
      <c r="Z406" s="66">
        <v>0</v>
      </c>
      <c r="AA406" s="66">
        <v>0</v>
      </c>
      <c r="AB406" s="66">
        <v>0</v>
      </c>
      <c r="AC406" s="66">
        <v>0</v>
      </c>
    </row>
    <row r="407" spans="1:29">
      <c r="A407" s="43" t="s">
        <v>586</v>
      </c>
      <c r="B407" s="43" t="s">
        <v>535</v>
      </c>
      <c r="C407" s="72">
        <v>1.6E-2</v>
      </c>
      <c r="D407" s="72">
        <v>3.0000000000000001E-3</v>
      </c>
      <c r="E407" s="72">
        <v>0</v>
      </c>
      <c r="F407" s="72">
        <v>0</v>
      </c>
      <c r="G407" s="72">
        <v>0</v>
      </c>
      <c r="H407" s="72">
        <v>0</v>
      </c>
      <c r="I407" s="72">
        <v>0</v>
      </c>
      <c r="J407" s="72">
        <v>0</v>
      </c>
      <c r="K407" s="72">
        <v>0</v>
      </c>
      <c r="L407" s="72">
        <v>8.5000000000000006E-2</v>
      </c>
      <c r="M407" s="72">
        <v>0</v>
      </c>
      <c r="N407" s="73">
        <v>0</v>
      </c>
      <c r="O407" s="73">
        <v>0</v>
      </c>
      <c r="P407" s="73">
        <v>0</v>
      </c>
      <c r="Q407" s="73">
        <v>0</v>
      </c>
      <c r="R407" s="50">
        <v>0</v>
      </c>
      <c r="S407" s="50">
        <v>0</v>
      </c>
      <c r="T407" s="66">
        <v>0</v>
      </c>
      <c r="U407" s="66">
        <v>0</v>
      </c>
      <c r="V407" s="66">
        <v>0</v>
      </c>
      <c r="W407" s="66">
        <v>0</v>
      </c>
      <c r="X407" s="66">
        <v>0</v>
      </c>
      <c r="Y407" s="66">
        <v>0</v>
      </c>
      <c r="Z407" s="66">
        <v>0</v>
      </c>
      <c r="AA407" s="66">
        <v>0</v>
      </c>
      <c r="AB407" s="66">
        <v>0</v>
      </c>
      <c r="AC407" s="66">
        <v>0</v>
      </c>
    </row>
    <row r="408" spans="1:29">
      <c r="A408" s="67" t="s">
        <v>582</v>
      </c>
      <c r="B408" s="67" t="s">
        <v>752</v>
      </c>
      <c r="I408" s="72">
        <v>168.95</v>
      </c>
      <c r="K408" s="72">
        <v>115.91</v>
      </c>
      <c r="L408" s="72">
        <v>132.5</v>
      </c>
      <c r="M408" s="72">
        <v>81.400000000000006</v>
      </c>
      <c r="N408" s="73">
        <v>50.362000000000002</v>
      </c>
      <c r="O408" s="73">
        <v>9.0239999999999991</v>
      </c>
      <c r="P408" s="73">
        <v>2.27</v>
      </c>
      <c r="Q408" s="73">
        <v>0</v>
      </c>
      <c r="R408" s="50">
        <v>0</v>
      </c>
      <c r="S408" s="50">
        <v>0</v>
      </c>
      <c r="T408" s="66" t="s">
        <v>685</v>
      </c>
      <c r="U408" s="66" t="s">
        <v>685</v>
      </c>
      <c r="V408" s="66" t="s">
        <v>685</v>
      </c>
      <c r="W408" s="66" t="s">
        <v>685</v>
      </c>
      <c r="X408" s="66" t="s">
        <v>685</v>
      </c>
      <c r="Y408" s="66" t="s">
        <v>685</v>
      </c>
      <c r="Z408" s="66" t="s">
        <v>685</v>
      </c>
      <c r="AA408" s="66">
        <v>0</v>
      </c>
      <c r="AB408" s="66">
        <v>0</v>
      </c>
      <c r="AC408" s="66">
        <v>0</v>
      </c>
    </row>
    <row r="409" spans="1:29">
      <c r="A409" s="67" t="s">
        <v>582</v>
      </c>
      <c r="B409" s="67" t="s">
        <v>663</v>
      </c>
      <c r="I409" s="72">
        <v>0</v>
      </c>
      <c r="K409" s="72">
        <v>0</v>
      </c>
      <c r="L409" s="72">
        <v>0</v>
      </c>
      <c r="M409" s="72">
        <v>0</v>
      </c>
      <c r="N409" s="73">
        <v>0</v>
      </c>
      <c r="O409" s="73">
        <v>0</v>
      </c>
      <c r="P409" s="73">
        <v>0</v>
      </c>
      <c r="Q409" s="73">
        <v>0</v>
      </c>
      <c r="R409" s="50">
        <v>0</v>
      </c>
      <c r="S409" s="50">
        <v>0</v>
      </c>
      <c r="T409" s="66" t="s">
        <v>685</v>
      </c>
      <c r="U409" s="66" t="s">
        <v>685</v>
      </c>
      <c r="V409" s="66" t="s">
        <v>685</v>
      </c>
      <c r="W409" s="66" t="s">
        <v>685</v>
      </c>
      <c r="X409" s="66" t="s">
        <v>685</v>
      </c>
      <c r="Y409" s="66" t="s">
        <v>685</v>
      </c>
      <c r="Z409" s="66" t="s">
        <v>685</v>
      </c>
      <c r="AA409" s="66">
        <v>0</v>
      </c>
      <c r="AB409" s="66">
        <v>0</v>
      </c>
      <c r="AC409" s="66">
        <v>0</v>
      </c>
    </row>
    <row r="410" spans="1:29">
      <c r="A410" s="67" t="s">
        <v>582</v>
      </c>
      <c r="B410" s="43" t="s">
        <v>243</v>
      </c>
      <c r="I410" s="72">
        <v>1.5</v>
      </c>
      <c r="K410" s="72">
        <v>5</v>
      </c>
      <c r="L410" s="72">
        <v>0</v>
      </c>
      <c r="M410" s="72">
        <v>0</v>
      </c>
      <c r="N410" s="73">
        <v>0</v>
      </c>
      <c r="O410" s="73">
        <v>0</v>
      </c>
      <c r="P410" s="73">
        <v>0</v>
      </c>
      <c r="Q410" s="73">
        <v>0</v>
      </c>
      <c r="R410" s="50">
        <v>0</v>
      </c>
      <c r="S410" s="50">
        <v>0</v>
      </c>
      <c r="T410" s="66" t="s">
        <v>685</v>
      </c>
      <c r="U410" s="66" t="s">
        <v>685</v>
      </c>
      <c r="V410" s="66" t="s">
        <v>685</v>
      </c>
      <c r="W410" s="66" t="s">
        <v>685</v>
      </c>
      <c r="X410" s="66" t="s">
        <v>685</v>
      </c>
      <c r="Y410" s="66" t="s">
        <v>685</v>
      </c>
      <c r="Z410" s="66" t="s">
        <v>685</v>
      </c>
      <c r="AA410" s="66">
        <v>0</v>
      </c>
      <c r="AB410" s="66">
        <v>0</v>
      </c>
      <c r="AC410" s="66">
        <v>0</v>
      </c>
    </row>
    <row r="411" spans="1:29">
      <c r="A411" s="67" t="s">
        <v>582</v>
      </c>
      <c r="B411" s="43" t="s">
        <v>95</v>
      </c>
      <c r="I411" s="73">
        <v>14.981999999999999</v>
      </c>
      <c r="K411" s="73">
        <v>3.6091000000000002</v>
      </c>
      <c r="L411" s="73">
        <v>8.1125000000000007</v>
      </c>
      <c r="M411" s="73">
        <v>4.1448</v>
      </c>
      <c r="N411" s="73">
        <v>4.4368499999999997</v>
      </c>
      <c r="O411" s="73">
        <v>0</v>
      </c>
      <c r="P411" s="73">
        <v>1.4135</v>
      </c>
      <c r="Q411" s="73">
        <f>35.308*0.055</f>
        <v>1.94194</v>
      </c>
      <c r="R411" s="50">
        <f>33.41*0.055</f>
        <v>1.8375499999999998</v>
      </c>
      <c r="S411" s="50">
        <f>77*0.055</f>
        <v>4.2350000000000003</v>
      </c>
      <c r="T411" s="66">
        <f>93.67*0.055</f>
        <v>5.1518500000000005</v>
      </c>
      <c r="U411" s="66">
        <f>35.37*0.055</f>
        <v>1.9453499999999999</v>
      </c>
      <c r="V411" s="66">
        <f>48.19*0.055</f>
        <v>2.6504499999999998</v>
      </c>
      <c r="W411" s="66">
        <f>(55.6*0.055)+(1.78*0.11)</f>
        <v>3.2538000000000005</v>
      </c>
      <c r="X411" s="66">
        <f>54.35*0.055</f>
        <v>2.9892500000000002</v>
      </c>
      <c r="Y411" s="66">
        <f>40.7*0.055</f>
        <v>2.2385000000000002</v>
      </c>
      <c r="Z411" s="66">
        <f>42.25*0.055</f>
        <v>2.32375</v>
      </c>
      <c r="AA411" s="66">
        <f>48.19*0.055</f>
        <v>2.6504499999999998</v>
      </c>
      <c r="AB411" s="66">
        <f>28.54*0.055</f>
        <v>1.5696999999999999</v>
      </c>
      <c r="AC411" s="66">
        <f>20.52*0.055</f>
        <v>1.1286</v>
      </c>
    </row>
    <row r="412" spans="1:29">
      <c r="A412" s="67" t="s">
        <v>582</v>
      </c>
      <c r="B412" s="43" t="s">
        <v>825</v>
      </c>
      <c r="Q412" s="73">
        <v>0</v>
      </c>
      <c r="R412" s="50">
        <v>0</v>
      </c>
      <c r="S412" s="50">
        <v>0</v>
      </c>
      <c r="T412" s="66">
        <v>0</v>
      </c>
      <c r="U412" s="66">
        <v>0</v>
      </c>
      <c r="V412" s="66">
        <v>0</v>
      </c>
      <c r="W412" s="66">
        <v>0</v>
      </c>
      <c r="X412" s="66">
        <v>0</v>
      </c>
      <c r="Y412" s="66">
        <v>0</v>
      </c>
      <c r="Z412" s="66">
        <v>0</v>
      </c>
      <c r="AA412" s="66">
        <v>0</v>
      </c>
      <c r="AB412" s="66">
        <v>0</v>
      </c>
      <c r="AC412" s="66">
        <v>0</v>
      </c>
    </row>
    <row r="413" spans="1:29">
      <c r="A413" s="67" t="s">
        <v>582</v>
      </c>
      <c r="B413" s="43" t="s">
        <v>574</v>
      </c>
      <c r="I413" s="72">
        <v>0</v>
      </c>
      <c r="K413" s="72">
        <v>0</v>
      </c>
      <c r="L413" s="72">
        <v>0</v>
      </c>
      <c r="M413" s="72">
        <v>0</v>
      </c>
      <c r="N413" s="73">
        <v>0</v>
      </c>
      <c r="O413" s="73">
        <v>0</v>
      </c>
      <c r="P413" s="73">
        <v>0</v>
      </c>
      <c r="Q413" s="73">
        <v>0</v>
      </c>
      <c r="R413" s="50">
        <v>0</v>
      </c>
      <c r="S413" s="50">
        <v>0</v>
      </c>
      <c r="T413" s="66">
        <v>0</v>
      </c>
      <c r="U413" s="66">
        <v>0</v>
      </c>
      <c r="V413" s="66">
        <v>0</v>
      </c>
      <c r="W413" s="66">
        <v>0</v>
      </c>
      <c r="X413" s="66">
        <v>0</v>
      </c>
      <c r="Y413" s="66">
        <v>0</v>
      </c>
      <c r="Z413" s="66">
        <v>0</v>
      </c>
      <c r="AA413" s="66">
        <v>0</v>
      </c>
      <c r="AB413" s="66">
        <v>0</v>
      </c>
      <c r="AC413" s="66">
        <v>0</v>
      </c>
    </row>
    <row r="414" spans="1:29">
      <c r="A414" s="67" t="s">
        <v>582</v>
      </c>
      <c r="B414" s="67" t="s">
        <v>535</v>
      </c>
      <c r="I414" s="72">
        <v>0.15</v>
      </c>
      <c r="K414" s="72">
        <v>0</v>
      </c>
      <c r="L414" s="72">
        <v>0</v>
      </c>
      <c r="M414" s="72">
        <v>0</v>
      </c>
      <c r="N414" s="73">
        <v>0</v>
      </c>
      <c r="O414" s="73">
        <v>0</v>
      </c>
      <c r="P414" s="73">
        <v>0</v>
      </c>
      <c r="Q414" s="73">
        <v>0</v>
      </c>
      <c r="R414" s="50">
        <v>0</v>
      </c>
      <c r="S414" s="50">
        <v>0</v>
      </c>
      <c r="T414" s="66">
        <v>0</v>
      </c>
      <c r="U414" s="66">
        <v>0</v>
      </c>
      <c r="V414" s="66">
        <v>0</v>
      </c>
      <c r="W414" s="66">
        <v>0</v>
      </c>
      <c r="X414" s="66">
        <v>0</v>
      </c>
      <c r="Y414" s="66">
        <v>0</v>
      </c>
      <c r="Z414" s="66">
        <v>0</v>
      </c>
      <c r="AA414" s="66">
        <v>0</v>
      </c>
      <c r="AB414" s="66">
        <v>0</v>
      </c>
      <c r="AC414" s="66">
        <v>0</v>
      </c>
    </row>
    <row r="415" spans="1:29">
      <c r="A415" s="43" t="s">
        <v>587</v>
      </c>
      <c r="B415" s="43" t="s">
        <v>752</v>
      </c>
      <c r="C415" s="72">
        <v>87.65</v>
      </c>
      <c r="D415" s="72">
        <v>519.29</v>
      </c>
      <c r="E415" s="72">
        <v>350</v>
      </c>
      <c r="G415" s="72">
        <v>253.06</v>
      </c>
      <c r="H415" s="72">
        <v>172.31</v>
      </c>
      <c r="I415" s="72">
        <v>121.61</v>
      </c>
      <c r="J415" s="72">
        <v>128.52000000000001</v>
      </c>
      <c r="K415" s="72">
        <v>219.08</v>
      </c>
      <c r="L415" s="72">
        <v>167.76599999999999</v>
      </c>
      <c r="M415" s="72">
        <v>122.6</v>
      </c>
      <c r="N415" s="73">
        <v>99.724000000000004</v>
      </c>
      <c r="O415" s="73">
        <v>39.655999999999999</v>
      </c>
      <c r="P415" s="73">
        <v>23.4</v>
      </c>
      <c r="Q415" s="73">
        <v>0</v>
      </c>
      <c r="R415" s="50">
        <v>0</v>
      </c>
      <c r="S415" s="50">
        <v>0</v>
      </c>
      <c r="T415" s="66" t="s">
        <v>685</v>
      </c>
      <c r="U415" s="66" t="s">
        <v>685</v>
      </c>
      <c r="V415" s="66" t="s">
        <v>685</v>
      </c>
      <c r="W415" s="66" t="s">
        <v>685</v>
      </c>
      <c r="X415" s="66" t="s">
        <v>685</v>
      </c>
      <c r="Y415" s="66" t="s">
        <v>685</v>
      </c>
      <c r="Z415" s="66" t="s">
        <v>685</v>
      </c>
      <c r="AA415" s="66">
        <v>0</v>
      </c>
      <c r="AB415" s="66">
        <v>0</v>
      </c>
      <c r="AC415" s="66">
        <v>0</v>
      </c>
    </row>
    <row r="416" spans="1:29">
      <c r="A416" s="43" t="s">
        <v>587</v>
      </c>
      <c r="B416" s="43" t="s">
        <v>663</v>
      </c>
      <c r="C416" s="72">
        <v>0</v>
      </c>
      <c r="D416" s="72">
        <v>0</v>
      </c>
      <c r="E416" s="72">
        <v>0</v>
      </c>
      <c r="F416" s="72">
        <v>0</v>
      </c>
      <c r="G416" s="72">
        <v>0</v>
      </c>
      <c r="H416" s="72">
        <v>0</v>
      </c>
      <c r="I416" s="72">
        <v>0</v>
      </c>
      <c r="J416" s="72">
        <v>0</v>
      </c>
      <c r="K416" s="72">
        <v>0</v>
      </c>
      <c r="L416" s="72">
        <v>0</v>
      </c>
      <c r="M416" s="72">
        <v>0</v>
      </c>
      <c r="N416" s="73">
        <v>0</v>
      </c>
      <c r="O416" s="73">
        <v>0</v>
      </c>
      <c r="P416" s="73">
        <v>0</v>
      </c>
      <c r="Q416" s="73">
        <v>0</v>
      </c>
      <c r="R416" s="50">
        <v>0</v>
      </c>
      <c r="S416" s="50">
        <v>0</v>
      </c>
      <c r="T416" s="66" t="s">
        <v>685</v>
      </c>
      <c r="U416" s="66" t="s">
        <v>685</v>
      </c>
      <c r="V416" s="66" t="s">
        <v>685</v>
      </c>
      <c r="W416" s="66" t="s">
        <v>685</v>
      </c>
      <c r="X416" s="66" t="s">
        <v>685</v>
      </c>
      <c r="Y416" s="66" t="s">
        <v>685</v>
      </c>
      <c r="Z416" s="66" t="s">
        <v>685</v>
      </c>
      <c r="AA416" s="66">
        <v>0</v>
      </c>
      <c r="AB416" s="66">
        <v>0</v>
      </c>
      <c r="AC416" s="66">
        <v>0</v>
      </c>
    </row>
    <row r="417" spans="1:30">
      <c r="A417" s="43" t="s">
        <v>587</v>
      </c>
      <c r="B417" s="43" t="s">
        <v>243</v>
      </c>
      <c r="C417" s="72">
        <v>0</v>
      </c>
      <c r="D417" s="72">
        <v>0</v>
      </c>
      <c r="E417" s="72">
        <v>0</v>
      </c>
      <c r="F417" s="72">
        <v>0</v>
      </c>
      <c r="G417" s="72">
        <v>0</v>
      </c>
      <c r="H417" s="72">
        <v>0</v>
      </c>
      <c r="I417" s="72">
        <v>0</v>
      </c>
      <c r="J417" s="72">
        <v>0</v>
      </c>
      <c r="K417" s="72">
        <v>0</v>
      </c>
      <c r="L417" s="72">
        <v>0</v>
      </c>
      <c r="M417" s="72">
        <v>0</v>
      </c>
      <c r="N417" s="73">
        <v>0</v>
      </c>
      <c r="O417" s="73">
        <v>0</v>
      </c>
      <c r="P417" s="73">
        <v>0</v>
      </c>
      <c r="Q417" s="73">
        <v>0</v>
      </c>
      <c r="R417" s="50">
        <v>0</v>
      </c>
      <c r="S417" s="50">
        <v>0</v>
      </c>
      <c r="T417" s="66" t="s">
        <v>685</v>
      </c>
      <c r="U417" s="66" t="s">
        <v>685</v>
      </c>
      <c r="V417" s="66" t="s">
        <v>685</v>
      </c>
      <c r="W417" s="66" t="s">
        <v>685</v>
      </c>
      <c r="X417" s="66" t="s">
        <v>685</v>
      </c>
      <c r="Y417" s="66" t="s">
        <v>685</v>
      </c>
      <c r="Z417" s="66" t="s">
        <v>685</v>
      </c>
      <c r="AA417" s="66">
        <v>0</v>
      </c>
      <c r="AB417" s="66">
        <v>0</v>
      </c>
      <c r="AC417" s="66">
        <v>0</v>
      </c>
    </row>
    <row r="418" spans="1:30">
      <c r="A418" s="43" t="s">
        <v>587</v>
      </c>
      <c r="B418" s="43" t="s">
        <v>95</v>
      </c>
      <c r="C418" s="73">
        <v>0</v>
      </c>
      <c r="D418" s="73">
        <v>0</v>
      </c>
      <c r="E418" s="73">
        <v>0</v>
      </c>
      <c r="G418" s="73">
        <v>7.900199999999999</v>
      </c>
      <c r="H418" s="73">
        <v>6.2782500000000008</v>
      </c>
      <c r="I418" s="73">
        <v>6.7649999999999997</v>
      </c>
      <c r="J418" s="73">
        <v>11.9603</v>
      </c>
      <c r="K418" s="73">
        <v>5.8916000000000004</v>
      </c>
      <c r="L418" s="73">
        <v>10.88945</v>
      </c>
      <c r="M418" s="73">
        <v>9.3829999999999991</v>
      </c>
      <c r="N418" s="73">
        <v>12.221</v>
      </c>
      <c r="O418" s="73">
        <v>17.21885</v>
      </c>
      <c r="P418" s="73">
        <v>20.56945</v>
      </c>
      <c r="Q418" s="73">
        <v>17.814499999999999</v>
      </c>
      <c r="R418" s="50">
        <f>(364.29*0.055)+(17.8*0.11)</f>
        <v>21.993949999999998</v>
      </c>
      <c r="S418" s="50">
        <f>(372*0.055)+(19.1*0.11)</f>
        <v>22.561</v>
      </c>
      <c r="T418" s="66">
        <f>(381.48*0.055)+(28.45*0.11)</f>
        <v>24.110900000000001</v>
      </c>
      <c r="U418" s="66">
        <f>(291.46*0.055)+(26.41*0.11)</f>
        <v>18.935400000000001</v>
      </c>
      <c r="V418" s="66">
        <f>(208.08*0.055)+(15.75*0.11)</f>
        <v>13.1769</v>
      </c>
      <c r="W418" s="66">
        <f>(184.02*0.055)+(9.72*0.11)</f>
        <v>11.190300000000001</v>
      </c>
      <c r="X418" s="66">
        <f>(225.5*0.055)+(9.4*0.11)</f>
        <v>13.436500000000001</v>
      </c>
      <c r="Y418" s="66">
        <f>196.45*0.055</f>
        <v>10.80475</v>
      </c>
      <c r="Z418" s="66">
        <f>170.32*0.055</f>
        <v>9.3675999999999995</v>
      </c>
      <c r="AA418" s="66">
        <f>164.36*0.055</f>
        <v>9.0398000000000014</v>
      </c>
      <c r="AB418" s="66">
        <f>130.39*0.055</f>
        <v>7.1714499999999992</v>
      </c>
      <c r="AC418" s="66">
        <f>120.59*0.055</f>
        <v>6.6324500000000004</v>
      </c>
    </row>
    <row r="419" spans="1:30">
      <c r="A419" s="43" t="s">
        <v>587</v>
      </c>
      <c r="B419" s="43" t="s">
        <v>825</v>
      </c>
      <c r="Q419" s="73">
        <v>0</v>
      </c>
      <c r="R419" s="50">
        <f>34.84*0.11</f>
        <v>3.8324000000000003</v>
      </c>
      <c r="S419" s="50">
        <f>37.76*0.11</f>
        <v>4.1536</v>
      </c>
      <c r="T419" s="50">
        <f>32.21*0.11</f>
        <v>3.5430999999999999</v>
      </c>
      <c r="U419" s="50">
        <f>28.01*0.11</f>
        <v>3.0811000000000002</v>
      </c>
      <c r="V419" s="50">
        <f>8.07*0.11</f>
        <v>0.88770000000000004</v>
      </c>
      <c r="W419" s="50">
        <f>3.08*0.11</f>
        <v>0.33879999999999999</v>
      </c>
      <c r="X419" s="50">
        <f>10.1*0.11</f>
        <v>1.111</v>
      </c>
      <c r="Y419" s="50">
        <v>0</v>
      </c>
      <c r="Z419" s="50">
        <v>0</v>
      </c>
      <c r="AA419" s="50">
        <v>0</v>
      </c>
      <c r="AB419" s="50">
        <v>0</v>
      </c>
      <c r="AC419" s="50">
        <v>0</v>
      </c>
      <c r="AD419" s="50"/>
    </row>
    <row r="420" spans="1:30">
      <c r="A420" s="43" t="s">
        <v>587</v>
      </c>
      <c r="B420" s="43" t="s">
        <v>574</v>
      </c>
      <c r="C420" s="72">
        <v>12.81</v>
      </c>
      <c r="D420" s="72">
        <v>5.85</v>
      </c>
      <c r="E420" s="72">
        <v>0</v>
      </c>
      <c r="F420" s="72">
        <v>16.23</v>
      </c>
      <c r="G420" s="72">
        <v>120</v>
      </c>
      <c r="H420" s="72">
        <v>377.71</v>
      </c>
      <c r="I420" s="72">
        <v>521.1</v>
      </c>
      <c r="J420" s="72">
        <v>417.32</v>
      </c>
      <c r="K420" s="72">
        <v>309.60000000000002</v>
      </c>
      <c r="L420" s="72">
        <v>349.32</v>
      </c>
      <c r="M420" s="72">
        <v>0</v>
      </c>
      <c r="N420" s="73">
        <v>291</v>
      </c>
      <c r="O420" s="73">
        <v>252.36</v>
      </c>
      <c r="P420" s="73">
        <v>177</v>
      </c>
      <c r="Q420" s="73">
        <f>260.86*0.6</f>
        <v>156.51599999999999</v>
      </c>
      <c r="R420" s="50">
        <f>232.68*0.6</f>
        <v>139.608</v>
      </c>
      <c r="S420" s="50">
        <f>188*0.6</f>
        <v>112.8</v>
      </c>
      <c r="T420" s="66">
        <v>0</v>
      </c>
      <c r="U420" s="66">
        <v>0</v>
      </c>
      <c r="V420" s="66">
        <v>0</v>
      </c>
      <c r="W420" s="66">
        <v>0</v>
      </c>
      <c r="X420" s="66">
        <v>0</v>
      </c>
      <c r="Y420" s="66">
        <v>0</v>
      </c>
      <c r="Z420" s="66">
        <v>0</v>
      </c>
      <c r="AA420" s="66">
        <v>0</v>
      </c>
      <c r="AB420" s="66">
        <v>0</v>
      </c>
      <c r="AC420" s="66">
        <v>0</v>
      </c>
    </row>
    <row r="421" spans="1:30">
      <c r="A421" s="43" t="s">
        <v>587</v>
      </c>
      <c r="B421" s="43" t="s">
        <v>535</v>
      </c>
      <c r="C421" s="72">
        <v>0</v>
      </c>
      <c r="D421" s="72">
        <v>0</v>
      </c>
      <c r="E421" s="72">
        <v>0</v>
      </c>
      <c r="F421" s="72">
        <v>0</v>
      </c>
      <c r="G421" s="72">
        <v>0</v>
      </c>
      <c r="H421" s="72">
        <v>0</v>
      </c>
      <c r="I421" s="72">
        <v>0</v>
      </c>
      <c r="J421" s="72">
        <v>0</v>
      </c>
      <c r="K421" s="72">
        <v>0</v>
      </c>
      <c r="L421" s="72">
        <v>0</v>
      </c>
      <c r="M421" s="72">
        <v>0</v>
      </c>
      <c r="N421" s="73">
        <v>0</v>
      </c>
      <c r="O421" s="73">
        <v>0</v>
      </c>
      <c r="P421" s="73">
        <v>0</v>
      </c>
      <c r="Q421" s="73">
        <v>0</v>
      </c>
      <c r="R421" s="50">
        <v>0</v>
      </c>
      <c r="S421" s="50">
        <v>0</v>
      </c>
      <c r="T421" s="66">
        <v>0</v>
      </c>
      <c r="U421" s="66">
        <v>0</v>
      </c>
      <c r="V421" s="66">
        <v>0</v>
      </c>
      <c r="W421" s="66">
        <v>0</v>
      </c>
      <c r="X421" s="66">
        <v>0</v>
      </c>
      <c r="Y421" s="66">
        <v>0</v>
      </c>
      <c r="Z421" s="66">
        <v>0</v>
      </c>
      <c r="AA421" s="66">
        <v>0</v>
      </c>
      <c r="AB421" s="66">
        <v>0</v>
      </c>
      <c r="AC421" s="66">
        <v>0</v>
      </c>
    </row>
    <row r="422" spans="1:30">
      <c r="A422" s="43" t="s">
        <v>165</v>
      </c>
      <c r="B422" s="43" t="s">
        <v>752</v>
      </c>
      <c r="C422" s="72">
        <v>6397.2</v>
      </c>
      <c r="D422" s="72">
        <v>6935.8</v>
      </c>
      <c r="E422" s="72">
        <v>6702.6</v>
      </c>
      <c r="F422" s="72">
        <v>5264</v>
      </c>
      <c r="G422" s="72">
        <v>8217.91</v>
      </c>
      <c r="H422" s="72">
        <v>5614.33</v>
      </c>
      <c r="I422" s="72">
        <v>4513.22</v>
      </c>
      <c r="J422" s="72">
        <v>3913.66</v>
      </c>
      <c r="K422" s="72">
        <v>2608.7539999999999</v>
      </c>
      <c r="L422" s="72">
        <v>2234</v>
      </c>
      <c r="M422" s="72">
        <v>1957.826</v>
      </c>
      <c r="N422" s="73">
        <v>1877.87</v>
      </c>
      <c r="O422" s="73">
        <v>998</v>
      </c>
      <c r="P422" s="73">
        <v>216.54</v>
      </c>
      <c r="Q422" s="73">
        <f>-49.058-610.797</f>
        <v>-659.85500000000002</v>
      </c>
      <c r="R422" s="50">
        <f>(83.5-2.24+234.82)</f>
        <v>316.08</v>
      </c>
      <c r="S422" s="50">
        <v>0</v>
      </c>
      <c r="T422" s="66" t="s">
        <v>685</v>
      </c>
      <c r="U422" s="66" t="s">
        <v>685</v>
      </c>
      <c r="V422" s="66" t="s">
        <v>685</v>
      </c>
      <c r="W422" s="66" t="s">
        <v>685</v>
      </c>
      <c r="X422" s="66" t="s">
        <v>685</v>
      </c>
      <c r="Y422" s="66" t="s">
        <v>685</v>
      </c>
      <c r="Z422" s="66" t="s">
        <v>685</v>
      </c>
      <c r="AA422" s="66">
        <v>0</v>
      </c>
      <c r="AB422" s="66">
        <v>0</v>
      </c>
      <c r="AC422" s="66">
        <v>0</v>
      </c>
    </row>
    <row r="423" spans="1:30">
      <c r="A423" s="43" t="s">
        <v>165</v>
      </c>
      <c r="B423" s="43" t="s">
        <v>663</v>
      </c>
      <c r="C423" s="72">
        <v>0</v>
      </c>
      <c r="D423" s="72">
        <v>0</v>
      </c>
      <c r="E423" s="72">
        <v>7874.9</v>
      </c>
      <c r="F423" s="72">
        <v>20726.2</v>
      </c>
      <c r="G423" s="72">
        <v>16098.64</v>
      </c>
      <c r="H423" s="72">
        <v>12147.3</v>
      </c>
      <c r="I423" s="72">
        <v>9320.2999999999993</v>
      </c>
      <c r="J423" s="72">
        <v>37498.06</v>
      </c>
      <c r="K423" s="72">
        <v>41622.68</v>
      </c>
      <c r="L423" s="72">
        <v>7459.1</v>
      </c>
      <c r="M423" s="72">
        <v>36359.432999999997</v>
      </c>
      <c r="N423" s="73">
        <v>1127.5</v>
      </c>
      <c r="O423" s="73">
        <v>707.3</v>
      </c>
      <c r="P423" s="73">
        <v>267.3</v>
      </c>
      <c r="Q423" s="73">
        <f>(35.55-0.83)*1.1</f>
        <v>38.192</v>
      </c>
      <c r="R423" s="50">
        <v>0</v>
      </c>
      <c r="S423" s="50">
        <v>0</v>
      </c>
      <c r="T423" s="66" t="s">
        <v>685</v>
      </c>
      <c r="U423" s="66" t="s">
        <v>685</v>
      </c>
      <c r="V423" s="66" t="s">
        <v>685</v>
      </c>
      <c r="W423" s="66" t="s">
        <v>685</v>
      </c>
      <c r="X423" s="66" t="s">
        <v>685</v>
      </c>
      <c r="Y423" s="66" t="s">
        <v>685</v>
      </c>
      <c r="Z423" s="66" t="s">
        <v>685</v>
      </c>
      <c r="AA423" s="66">
        <v>0</v>
      </c>
      <c r="AB423" s="66">
        <v>0</v>
      </c>
      <c r="AC423" s="66">
        <v>0</v>
      </c>
    </row>
    <row r="424" spans="1:30">
      <c r="A424" s="43" t="s">
        <v>165</v>
      </c>
      <c r="B424" s="43" t="s">
        <v>243</v>
      </c>
      <c r="C424" s="72">
        <v>1514.2</v>
      </c>
      <c r="D424" s="72">
        <v>1162.8</v>
      </c>
      <c r="E424" s="72">
        <v>1071</v>
      </c>
      <c r="F424" s="72">
        <v>0</v>
      </c>
      <c r="G424" s="72">
        <v>789.8</v>
      </c>
      <c r="H424" s="72">
        <v>556</v>
      </c>
      <c r="I424" s="72">
        <v>280</v>
      </c>
      <c r="J424" s="72">
        <v>317.2</v>
      </c>
      <c r="K424" s="72">
        <v>0</v>
      </c>
      <c r="L424" s="72">
        <v>0</v>
      </c>
      <c r="M424" s="72">
        <v>87</v>
      </c>
      <c r="N424" s="73">
        <v>0</v>
      </c>
      <c r="O424" s="73">
        <v>0</v>
      </c>
      <c r="P424" s="73">
        <v>0</v>
      </c>
      <c r="Q424" s="73">
        <v>0</v>
      </c>
      <c r="R424" s="50">
        <v>0</v>
      </c>
      <c r="S424" s="50">
        <v>0</v>
      </c>
      <c r="T424" s="66" t="s">
        <v>685</v>
      </c>
      <c r="U424" s="66" t="s">
        <v>685</v>
      </c>
      <c r="V424" s="66" t="s">
        <v>685</v>
      </c>
      <c r="W424" s="66" t="s">
        <v>685</v>
      </c>
      <c r="X424" s="66" t="s">
        <v>685</v>
      </c>
      <c r="Y424" s="66" t="s">
        <v>685</v>
      </c>
      <c r="Z424" s="66" t="s">
        <v>685</v>
      </c>
      <c r="AA424" s="66">
        <v>0</v>
      </c>
      <c r="AB424" s="66">
        <v>0</v>
      </c>
      <c r="AC424" s="66">
        <v>0</v>
      </c>
    </row>
    <row r="425" spans="1:30">
      <c r="A425" s="43" t="s">
        <v>165</v>
      </c>
      <c r="B425" s="43" t="s">
        <v>95</v>
      </c>
      <c r="C425" s="73">
        <v>0</v>
      </c>
      <c r="D425" s="73">
        <v>0</v>
      </c>
      <c r="E425" s="73">
        <v>0</v>
      </c>
      <c r="F425" s="73">
        <v>0</v>
      </c>
      <c r="G425" s="73">
        <v>0</v>
      </c>
      <c r="H425" s="73">
        <v>0</v>
      </c>
      <c r="I425" s="73">
        <v>203.53799999999998</v>
      </c>
      <c r="J425" s="73">
        <v>331.01149999999996</v>
      </c>
      <c r="K425" s="73">
        <v>360.37120000000004</v>
      </c>
      <c r="L425" s="73">
        <v>548.01</v>
      </c>
      <c r="M425" s="73">
        <v>774.4307500000001</v>
      </c>
      <c r="N425" s="73">
        <v>637.27520000000004</v>
      </c>
      <c r="O425" s="73">
        <v>1325.6280999999999</v>
      </c>
      <c r="P425" s="73">
        <v>2007.8935999999999</v>
      </c>
      <c r="Q425" s="73">
        <f>((1280+47657.12-38478.103)*0.055)+(7900*0.11)+(3001.026*0.065)+(238*0.02)+(620.401*0.022)</f>
        <v>1657.7214470000001</v>
      </c>
      <c r="R425" s="50">
        <f>((1868.268+47613.297-30034.172)*0.055)+(7836.8*0.11)+(805*0.065)+(115.085*0.02)+(603.241*0.022)</f>
        <v>1999.5526170000003</v>
      </c>
      <c r="S425" s="50">
        <f>((1316+48476.597-18394.472)*0.055)+(7924*0.11)+(645*0.065)+(288.738*0.022)</f>
        <v>2646.8141110000001</v>
      </c>
      <c r="T425" s="66">
        <f>((3217+48177.8479999999-16212.349)*0.055)+(6325*0.11)+(1308.401*0.065)+(136*0.02)+(69.247*0.022)</f>
        <v>2720.0769439999945</v>
      </c>
      <c r="U425" s="66">
        <f>((40650.551-16823.332)*0.055)+(4568.216*0.11)+(428.939*0.065)+(196.952*0.02)</f>
        <v>1844.8208800000002</v>
      </c>
      <c r="V425" s="66">
        <f>((54937.92-19049.11)*0.055)+(4112.56*0.11)+(120.32*0.065)+(180.82*0.02)</f>
        <v>2437.7033499999998</v>
      </c>
      <c r="W425" s="66">
        <f>((53313.73-19913.58)*0.055)+(3028*0.11)+(126*0.065)+(174.87*0.02)</f>
        <v>2181.7756500000005</v>
      </c>
      <c r="X425" s="66">
        <f>((31036.64-20152.34)*0.055)+(3638.02*0.11)+(126*0.065)+(373.53*0.02)</f>
        <v>1014.4793000000001</v>
      </c>
      <c r="Y425" s="66">
        <f>((32949.48-23572.53)*0.055)+(2526.25*0.11)+(120*0.065)+(253.47*0.02)</f>
        <v>806.48915000000022</v>
      </c>
      <c r="Z425" s="66">
        <f>((34690.35-25364.23)*0.055)+(2896.29*0.11)+(82.38*0.02)</f>
        <v>833.17610000000002</v>
      </c>
      <c r="AA425" s="66">
        <f>((35146.854-25158.408)*0.055)+(3494.18*0.11)+(77.48*0.02)</f>
        <v>935.27393000000006</v>
      </c>
      <c r="AB425" s="66">
        <f>((24633.337-19229.147)*0.055)+(12.993*0.02)</f>
        <v>297.49030999999991</v>
      </c>
      <c r="AC425" s="66">
        <f>((21346.036-17067.043)*0.055)+(47.188*0.02)</f>
        <v>236.28837499999992</v>
      </c>
    </row>
    <row r="426" spans="1:30">
      <c r="A426" s="43" t="s">
        <v>165</v>
      </c>
      <c r="B426" s="43" t="s">
        <v>825</v>
      </c>
      <c r="Q426" s="73">
        <v>0</v>
      </c>
      <c r="R426" s="50">
        <v>0</v>
      </c>
      <c r="S426" s="50">
        <v>0</v>
      </c>
      <c r="T426" s="50">
        <f>75*0.11</f>
        <v>8.25</v>
      </c>
      <c r="U426" s="66">
        <v>0</v>
      </c>
      <c r="V426" s="66">
        <v>0</v>
      </c>
      <c r="W426" s="66">
        <v>0</v>
      </c>
      <c r="X426" s="66">
        <v>0</v>
      </c>
      <c r="Y426" s="66">
        <v>0</v>
      </c>
      <c r="Z426" s="66">
        <v>0</v>
      </c>
      <c r="AA426" s="66">
        <v>0</v>
      </c>
      <c r="AB426" s="66">
        <v>0</v>
      </c>
      <c r="AC426" s="66">
        <v>0</v>
      </c>
    </row>
    <row r="427" spans="1:30">
      <c r="A427" s="43" t="s">
        <v>165</v>
      </c>
      <c r="B427" s="43" t="s">
        <v>574</v>
      </c>
      <c r="C427" s="72">
        <v>0</v>
      </c>
      <c r="D427" s="72">
        <v>0</v>
      </c>
      <c r="E427" s="72">
        <v>0</v>
      </c>
      <c r="F427" s="72">
        <v>0</v>
      </c>
      <c r="G427" s="72">
        <v>0</v>
      </c>
      <c r="H427" s="72">
        <v>0</v>
      </c>
      <c r="I427" s="72">
        <v>0</v>
      </c>
      <c r="J427" s="72" t="s">
        <v>685</v>
      </c>
      <c r="K427" s="72">
        <v>0</v>
      </c>
      <c r="L427" s="72">
        <v>0</v>
      </c>
      <c r="M427" s="72">
        <v>0</v>
      </c>
      <c r="N427" s="73">
        <v>0</v>
      </c>
      <c r="O427" s="73">
        <v>0</v>
      </c>
      <c r="P427" s="73">
        <v>0</v>
      </c>
      <c r="Q427" s="73">
        <v>0</v>
      </c>
      <c r="R427" s="50">
        <v>0</v>
      </c>
      <c r="S427" s="50">
        <v>0</v>
      </c>
      <c r="T427" s="66">
        <v>0</v>
      </c>
      <c r="U427" s="66">
        <v>0</v>
      </c>
      <c r="V427" s="66">
        <v>0</v>
      </c>
      <c r="W427" s="66">
        <v>0</v>
      </c>
      <c r="X427" s="66">
        <v>0</v>
      </c>
      <c r="Y427" s="66">
        <v>0</v>
      </c>
      <c r="Z427" s="66">
        <v>0</v>
      </c>
      <c r="AA427" s="66">
        <v>0</v>
      </c>
      <c r="AB427" s="66">
        <v>0</v>
      </c>
      <c r="AC427" s="66">
        <v>0</v>
      </c>
    </row>
    <row r="428" spans="1:30">
      <c r="A428" s="43" t="s">
        <v>165</v>
      </c>
      <c r="B428" s="43" t="s">
        <v>535</v>
      </c>
      <c r="C428" s="72">
        <v>0</v>
      </c>
      <c r="D428" s="72">
        <v>0</v>
      </c>
      <c r="E428" s="72">
        <v>0</v>
      </c>
      <c r="F428" s="72">
        <v>0</v>
      </c>
      <c r="G428" s="72">
        <v>0</v>
      </c>
      <c r="H428" s="72">
        <v>0</v>
      </c>
      <c r="I428" s="72">
        <v>0</v>
      </c>
      <c r="J428" s="72">
        <v>0</v>
      </c>
      <c r="K428" s="72">
        <v>0</v>
      </c>
      <c r="L428" s="72">
        <v>0</v>
      </c>
      <c r="M428" s="72">
        <v>0</v>
      </c>
      <c r="N428" s="73">
        <v>0</v>
      </c>
      <c r="O428" s="73">
        <v>0</v>
      </c>
      <c r="P428" s="73">
        <v>0</v>
      </c>
      <c r="Q428" s="73">
        <v>0</v>
      </c>
      <c r="R428" s="50">
        <v>0</v>
      </c>
      <c r="S428" s="50">
        <v>0</v>
      </c>
      <c r="T428" s="66">
        <v>0</v>
      </c>
      <c r="U428" s="66">
        <v>0</v>
      </c>
      <c r="V428" s="66">
        <v>0</v>
      </c>
      <c r="W428" s="66">
        <v>0</v>
      </c>
      <c r="X428" s="66">
        <v>0</v>
      </c>
      <c r="Y428" s="66">
        <v>0</v>
      </c>
      <c r="Z428" s="66">
        <v>0</v>
      </c>
      <c r="AA428" s="66">
        <v>0</v>
      </c>
      <c r="AB428" s="66">
        <v>0</v>
      </c>
      <c r="AC428" s="66">
        <v>0</v>
      </c>
    </row>
    <row r="429" spans="1:30">
      <c r="A429" s="43" t="s">
        <v>669</v>
      </c>
      <c r="B429" s="43" t="s">
        <v>752</v>
      </c>
      <c r="G429" s="72">
        <v>5865.8</v>
      </c>
      <c r="H429" s="72">
        <v>5411.14</v>
      </c>
      <c r="I429" s="72">
        <v>5003.32</v>
      </c>
      <c r="J429" s="72">
        <v>5506.26</v>
      </c>
      <c r="K429" s="72">
        <v>4829.33</v>
      </c>
      <c r="L429" s="72">
        <v>3925.47</v>
      </c>
      <c r="M429" s="72">
        <v>2385.31</v>
      </c>
      <c r="N429" s="73">
        <v>231</v>
      </c>
      <c r="O429" s="73">
        <v>202.56</v>
      </c>
      <c r="P429" s="73">
        <v>0</v>
      </c>
      <c r="Q429" s="73">
        <v>0</v>
      </c>
      <c r="R429" s="50">
        <v>0</v>
      </c>
      <c r="S429" s="50">
        <v>0</v>
      </c>
      <c r="T429" s="66" t="s">
        <v>685</v>
      </c>
      <c r="U429" s="66" t="s">
        <v>685</v>
      </c>
      <c r="V429" s="66" t="s">
        <v>685</v>
      </c>
      <c r="W429" s="66" t="s">
        <v>685</v>
      </c>
      <c r="X429" s="66" t="s">
        <v>685</v>
      </c>
      <c r="Y429" s="66" t="s">
        <v>685</v>
      </c>
      <c r="Z429" s="66" t="s">
        <v>685</v>
      </c>
      <c r="AA429" s="66">
        <v>0</v>
      </c>
      <c r="AB429" s="66">
        <v>0</v>
      </c>
      <c r="AC429" s="66">
        <v>0</v>
      </c>
    </row>
    <row r="430" spans="1:30">
      <c r="A430" s="43" t="s">
        <v>669</v>
      </c>
      <c r="B430" s="43" t="s">
        <v>663</v>
      </c>
      <c r="G430" s="72">
        <v>0</v>
      </c>
      <c r="H430" s="72">
        <v>0</v>
      </c>
      <c r="I430" s="72">
        <v>0</v>
      </c>
      <c r="J430" s="72">
        <v>16.5</v>
      </c>
      <c r="K430" s="72">
        <v>16.5</v>
      </c>
      <c r="L430" s="72">
        <v>16.5</v>
      </c>
      <c r="M430" s="72">
        <v>0</v>
      </c>
      <c r="N430" s="73">
        <v>0</v>
      </c>
      <c r="O430" s="73">
        <v>1.1000000000000001</v>
      </c>
      <c r="P430" s="73">
        <v>0</v>
      </c>
      <c r="Q430" s="73">
        <v>0</v>
      </c>
      <c r="R430" s="50">
        <v>0</v>
      </c>
      <c r="S430" s="50">
        <v>0</v>
      </c>
      <c r="T430" s="66" t="s">
        <v>685</v>
      </c>
      <c r="U430" s="66" t="s">
        <v>685</v>
      </c>
      <c r="V430" s="66" t="s">
        <v>685</v>
      </c>
      <c r="W430" s="66" t="s">
        <v>685</v>
      </c>
      <c r="X430" s="66" t="s">
        <v>685</v>
      </c>
      <c r="Y430" s="66" t="s">
        <v>685</v>
      </c>
      <c r="Z430" s="66" t="s">
        <v>685</v>
      </c>
      <c r="AA430" s="66">
        <v>0</v>
      </c>
      <c r="AB430" s="66">
        <v>0</v>
      </c>
      <c r="AC430" s="66">
        <v>0</v>
      </c>
    </row>
    <row r="431" spans="1:30">
      <c r="A431" s="43" t="s">
        <v>669</v>
      </c>
      <c r="B431" s="43" t="s">
        <v>243</v>
      </c>
      <c r="G431" s="72">
        <v>0</v>
      </c>
      <c r="H431" s="72">
        <v>0</v>
      </c>
      <c r="I431" s="72">
        <v>0</v>
      </c>
      <c r="J431" s="72">
        <v>0</v>
      </c>
      <c r="K431" s="72">
        <v>0</v>
      </c>
      <c r="L431" s="72">
        <v>0</v>
      </c>
      <c r="M431" s="72">
        <v>0</v>
      </c>
      <c r="N431" s="73">
        <v>0</v>
      </c>
      <c r="O431" s="73">
        <v>0</v>
      </c>
      <c r="P431" s="73">
        <v>0</v>
      </c>
      <c r="Q431" s="73">
        <v>0</v>
      </c>
      <c r="R431" s="50">
        <v>0</v>
      </c>
      <c r="S431" s="50">
        <v>0</v>
      </c>
      <c r="T431" s="66" t="s">
        <v>685</v>
      </c>
      <c r="U431" s="66" t="s">
        <v>685</v>
      </c>
      <c r="V431" s="66" t="s">
        <v>685</v>
      </c>
      <c r="W431" s="66" t="s">
        <v>685</v>
      </c>
      <c r="X431" s="66" t="s">
        <v>685</v>
      </c>
      <c r="Y431" s="66" t="s">
        <v>685</v>
      </c>
      <c r="Z431" s="66" t="s">
        <v>685</v>
      </c>
      <c r="AA431" s="66">
        <v>0</v>
      </c>
      <c r="AB431" s="66">
        <v>0</v>
      </c>
      <c r="AC431" s="66">
        <v>0</v>
      </c>
    </row>
    <row r="432" spans="1:30">
      <c r="A432" s="43" t="s">
        <v>669</v>
      </c>
      <c r="B432" s="43" t="s">
        <v>95</v>
      </c>
      <c r="G432" s="73">
        <v>0</v>
      </c>
      <c r="H432" s="73">
        <v>0</v>
      </c>
      <c r="I432" s="73">
        <v>130.64350000000002</v>
      </c>
      <c r="J432" s="73">
        <v>217.9923</v>
      </c>
      <c r="K432" s="73">
        <v>225.52729999999997</v>
      </c>
      <c r="L432" s="73">
        <v>274.20384999999999</v>
      </c>
      <c r="M432" s="73">
        <v>308.63304999999997</v>
      </c>
      <c r="N432" s="73">
        <v>299.88375000000002</v>
      </c>
      <c r="O432" s="73">
        <v>286.76419999999996</v>
      </c>
      <c r="P432" s="73">
        <v>299.75524999999999</v>
      </c>
      <c r="Q432" s="73">
        <f>(4327*0.055)+(1186*0.11)+(318*0.02)+(0.14*0.022)+(0.58*0.07)</f>
        <v>374.84868000000006</v>
      </c>
      <c r="R432" s="50">
        <f>(5396.81*0.055)+(1225.83*0.11)+(66.44*0.02)+(0.12*0.022)+(0.01*0.07)</f>
        <v>432.99799000000002</v>
      </c>
      <c r="S432" s="50">
        <f>(3909.64*0.055)+(1009.91*0.11)+(64.12*0.065)+(311.67*0.02)+(13.96*0.07)</f>
        <v>337.49869999999999</v>
      </c>
      <c r="T432" s="66">
        <f>(3662.39*0.055)+(1096.4*0.11)+(24.86*0.065)+(190.93*0.02)+(27.29*0.07)</f>
        <v>329.38024999999999</v>
      </c>
      <c r="U432" s="66">
        <f>(2977.06*0.055)+(1300*0.11)+(6.41*0.065)+(100.46*0.02)+(19.37*0.07)</f>
        <v>310.52005000000003</v>
      </c>
      <c r="V432" s="66">
        <f>(2944.17*0.055)+(843*0.11)+(4.46*0.065)+(108.82*0.02)+(12.23*0.07)</f>
        <v>257.98175000000003</v>
      </c>
      <c r="W432" s="66">
        <f>(1892.9*0.055)+(420*0.11)+(101.9*0.02)+(4.55*0.07)</f>
        <v>152.66600000000003</v>
      </c>
      <c r="X432" s="66">
        <f>(3267.524*0.055)+(560*0.11)+(10.0368*0.065)+(123.63*0.02)+(3.13*0.07)</f>
        <v>244.65791199999998</v>
      </c>
      <c r="Y432" s="66">
        <f>(3171*0.055)+(570*0.11)+(6.41*0.065)+(110*0.02)+(1*0.07)</f>
        <v>239.79165</v>
      </c>
      <c r="Z432" s="66">
        <f>(3114.31*0.055)+(560*0.11)+(8.2*0.065)+(99.92*0.02)+(2*0.07)</f>
        <v>235.55844999999997</v>
      </c>
      <c r="AA432" s="66">
        <f>(2993.63*0.055)+(440*0.11)+(6.41*0.065)+(106.52*0.02)+(2*0.07)</f>
        <v>215.73670000000001</v>
      </c>
      <c r="AB432" s="66">
        <f>(2952.6032*0.055)+(220*0.11)+(90.976*0.02)</f>
        <v>188.41269600000001</v>
      </c>
      <c r="AC432" s="66">
        <f>(2913.7*0.055)+(100*0.11)+(6.41*0.065)+(34.52*0.02)</f>
        <v>172.36055000000002</v>
      </c>
    </row>
    <row r="433" spans="1:29">
      <c r="A433" s="43" t="s">
        <v>669</v>
      </c>
      <c r="B433" s="43" t="s">
        <v>825</v>
      </c>
      <c r="Q433" s="73">
        <v>0</v>
      </c>
      <c r="R433" s="50">
        <v>0</v>
      </c>
      <c r="S433" s="50">
        <v>0</v>
      </c>
      <c r="T433" s="66">
        <v>0</v>
      </c>
      <c r="U433" s="66">
        <v>0</v>
      </c>
      <c r="V433" s="66">
        <v>0</v>
      </c>
      <c r="W433" s="66">
        <v>0</v>
      </c>
      <c r="X433" s="66">
        <v>0</v>
      </c>
      <c r="Y433" s="66">
        <v>0</v>
      </c>
      <c r="Z433" s="66">
        <v>0</v>
      </c>
      <c r="AA433" s="66">
        <v>0</v>
      </c>
      <c r="AB433" s="66">
        <v>0</v>
      </c>
      <c r="AC433" s="66">
        <v>0</v>
      </c>
    </row>
    <row r="434" spans="1:29">
      <c r="A434" s="43" t="s">
        <v>669</v>
      </c>
      <c r="B434" s="43" t="s">
        <v>574</v>
      </c>
      <c r="G434" s="72">
        <v>126</v>
      </c>
      <c r="H434" s="72">
        <v>0</v>
      </c>
      <c r="I434" s="72">
        <v>189</v>
      </c>
      <c r="J434" s="72">
        <v>189</v>
      </c>
      <c r="K434" s="72">
        <v>37.799999999999997</v>
      </c>
      <c r="L434" s="72">
        <v>37.799999999999997</v>
      </c>
      <c r="M434" s="72">
        <v>31.8</v>
      </c>
      <c r="N434" s="73">
        <v>22.8</v>
      </c>
      <c r="O434" s="73">
        <v>9.6</v>
      </c>
      <c r="P434" s="73">
        <v>0</v>
      </c>
      <c r="Q434" s="73">
        <v>0</v>
      </c>
      <c r="R434" s="50">
        <v>0</v>
      </c>
      <c r="S434" s="50">
        <v>0</v>
      </c>
      <c r="T434" s="66">
        <v>0</v>
      </c>
      <c r="U434" s="66">
        <v>0</v>
      </c>
      <c r="V434" s="66">
        <v>0</v>
      </c>
      <c r="W434" s="66">
        <v>0</v>
      </c>
      <c r="X434" s="66">
        <v>0</v>
      </c>
      <c r="Y434" s="66">
        <v>0</v>
      </c>
      <c r="Z434" s="66">
        <v>0</v>
      </c>
      <c r="AA434" s="66">
        <v>0</v>
      </c>
      <c r="AB434" s="66">
        <v>0</v>
      </c>
      <c r="AC434" s="66">
        <f>80*0.6</f>
        <v>48</v>
      </c>
    </row>
    <row r="435" spans="1:29">
      <c r="A435" s="43" t="s">
        <v>669</v>
      </c>
      <c r="B435" s="43" t="s">
        <v>535</v>
      </c>
      <c r="G435" s="72">
        <v>20</v>
      </c>
      <c r="H435" s="72">
        <v>0</v>
      </c>
      <c r="I435" s="72">
        <v>0</v>
      </c>
      <c r="J435" s="72">
        <v>8.83</v>
      </c>
      <c r="K435" s="72">
        <v>10.74</v>
      </c>
      <c r="L435" s="72">
        <v>0</v>
      </c>
      <c r="M435" s="72">
        <v>0</v>
      </c>
      <c r="N435" s="73">
        <v>0</v>
      </c>
      <c r="O435" s="73">
        <v>1.34E-4</v>
      </c>
      <c r="P435" s="73">
        <v>0</v>
      </c>
      <c r="Q435" s="73">
        <v>0</v>
      </c>
      <c r="R435" s="50">
        <v>0</v>
      </c>
      <c r="S435" s="50">
        <v>0</v>
      </c>
      <c r="T435" s="66">
        <v>0</v>
      </c>
      <c r="U435" s="66">
        <v>0</v>
      </c>
      <c r="V435" s="66">
        <v>0</v>
      </c>
      <c r="W435" s="66">
        <v>0</v>
      </c>
      <c r="X435" s="66">
        <v>0</v>
      </c>
      <c r="Y435" s="66">
        <v>0</v>
      </c>
      <c r="Z435" s="66">
        <v>0</v>
      </c>
      <c r="AA435" s="66">
        <v>0</v>
      </c>
      <c r="AB435" s="66">
        <v>0</v>
      </c>
      <c r="AC435" s="66">
        <v>0</v>
      </c>
    </row>
    <row r="436" spans="1:29">
      <c r="A436" s="67" t="s">
        <v>413</v>
      </c>
      <c r="B436" s="43" t="s">
        <v>752</v>
      </c>
      <c r="C436" s="72">
        <v>4140</v>
      </c>
      <c r="D436" s="72">
        <v>3692</v>
      </c>
      <c r="E436" s="72">
        <v>5883</v>
      </c>
      <c r="F436" s="72">
        <v>5571</v>
      </c>
      <c r="G436" s="72">
        <v>4399</v>
      </c>
      <c r="H436" s="72">
        <v>4162.5</v>
      </c>
      <c r="I436" s="72">
        <v>4204.75</v>
      </c>
      <c r="J436" s="72">
        <v>4437.8</v>
      </c>
      <c r="K436" s="72">
        <v>4088.8</v>
      </c>
      <c r="M436" s="72">
        <v>2221.02</v>
      </c>
      <c r="N436" s="72">
        <v>953.33</v>
      </c>
      <c r="O436" s="72">
        <v>549.5</v>
      </c>
      <c r="P436" s="72">
        <v>240.58</v>
      </c>
      <c r="Q436" s="72">
        <v>100.34</v>
      </c>
      <c r="R436" s="66">
        <v>20.96</v>
      </c>
      <c r="S436" s="66">
        <v>0</v>
      </c>
      <c r="T436" s="66" t="s">
        <v>685</v>
      </c>
      <c r="U436" s="66" t="s">
        <v>685</v>
      </c>
      <c r="V436" s="66" t="s">
        <v>685</v>
      </c>
      <c r="W436" s="66" t="s">
        <v>685</v>
      </c>
      <c r="X436" s="66" t="s">
        <v>685</v>
      </c>
      <c r="Y436" s="66" t="s">
        <v>685</v>
      </c>
      <c r="Z436" s="66" t="s">
        <v>685</v>
      </c>
      <c r="AA436" s="66">
        <v>0</v>
      </c>
      <c r="AB436" s="66">
        <v>0</v>
      </c>
      <c r="AC436" s="66">
        <v>0</v>
      </c>
    </row>
    <row r="437" spans="1:29">
      <c r="A437" s="67" t="s">
        <v>413</v>
      </c>
      <c r="B437" s="43" t="s">
        <v>663</v>
      </c>
      <c r="C437" s="72">
        <v>22</v>
      </c>
      <c r="D437" s="72">
        <v>27.5</v>
      </c>
      <c r="E437" s="72">
        <v>132</v>
      </c>
      <c r="F437" s="72">
        <v>121</v>
      </c>
      <c r="G437" s="72">
        <v>55</v>
      </c>
      <c r="H437" s="72">
        <v>55</v>
      </c>
      <c r="I437" s="72">
        <v>55</v>
      </c>
      <c r="J437" s="72">
        <v>2169.1999999999998</v>
      </c>
      <c r="K437" s="72">
        <v>2169.1999999999998</v>
      </c>
      <c r="M437" s="72">
        <v>13.64</v>
      </c>
      <c r="N437" s="73">
        <v>11</v>
      </c>
      <c r="O437" s="73">
        <v>0</v>
      </c>
      <c r="P437" s="73">
        <v>0</v>
      </c>
      <c r="Q437" s="73">
        <v>0</v>
      </c>
      <c r="R437" s="50">
        <v>0</v>
      </c>
      <c r="S437" s="50">
        <v>0</v>
      </c>
      <c r="T437" s="66" t="s">
        <v>685</v>
      </c>
      <c r="U437" s="66" t="s">
        <v>685</v>
      </c>
      <c r="V437" s="66" t="s">
        <v>685</v>
      </c>
      <c r="W437" s="66" t="s">
        <v>685</v>
      </c>
      <c r="X437" s="66" t="s">
        <v>685</v>
      </c>
      <c r="Y437" s="66" t="s">
        <v>685</v>
      </c>
      <c r="Z437" s="66" t="s">
        <v>685</v>
      </c>
      <c r="AA437" s="66">
        <v>0</v>
      </c>
      <c r="AB437" s="66">
        <v>0</v>
      </c>
      <c r="AC437" s="66">
        <v>0</v>
      </c>
    </row>
    <row r="438" spans="1:29">
      <c r="A438" s="67" t="s">
        <v>413</v>
      </c>
      <c r="B438" s="43" t="s">
        <v>243</v>
      </c>
      <c r="C438" s="72">
        <v>500</v>
      </c>
      <c r="D438" s="72">
        <v>0</v>
      </c>
      <c r="E438" s="72">
        <v>3760</v>
      </c>
      <c r="F438" s="72">
        <v>3170</v>
      </c>
      <c r="G438" s="72">
        <v>1420</v>
      </c>
      <c r="H438" s="72">
        <v>1420</v>
      </c>
      <c r="I438" s="72">
        <v>1420</v>
      </c>
      <c r="J438" s="72">
        <v>1420</v>
      </c>
      <c r="K438" s="72">
        <v>0</v>
      </c>
      <c r="M438" s="72">
        <v>0</v>
      </c>
      <c r="N438" s="73">
        <v>0</v>
      </c>
      <c r="O438" s="73">
        <v>0</v>
      </c>
      <c r="P438" s="73">
        <v>0</v>
      </c>
      <c r="Q438" s="73">
        <v>0</v>
      </c>
      <c r="R438" s="50">
        <v>0</v>
      </c>
      <c r="S438" s="50">
        <v>0</v>
      </c>
      <c r="T438" s="66" t="s">
        <v>685</v>
      </c>
      <c r="U438" s="66" t="s">
        <v>685</v>
      </c>
      <c r="V438" s="66" t="s">
        <v>685</v>
      </c>
      <c r="W438" s="66" t="s">
        <v>685</v>
      </c>
      <c r="X438" s="66" t="s">
        <v>685</v>
      </c>
      <c r="Y438" s="66" t="s">
        <v>685</v>
      </c>
      <c r="Z438" s="66" t="s">
        <v>685</v>
      </c>
      <c r="AA438" s="66">
        <v>0</v>
      </c>
      <c r="AB438" s="66">
        <v>0</v>
      </c>
      <c r="AC438" s="66">
        <v>0</v>
      </c>
    </row>
    <row r="439" spans="1:29">
      <c r="A439" s="67" t="s">
        <v>413</v>
      </c>
      <c r="B439" s="43" t="s">
        <v>95</v>
      </c>
      <c r="C439" s="73">
        <v>13.2</v>
      </c>
      <c r="D439" s="73">
        <v>11</v>
      </c>
      <c r="E439" s="73">
        <v>19.25</v>
      </c>
      <c r="F439" s="73">
        <v>20.350000000000001</v>
      </c>
      <c r="G439" s="73">
        <v>13.75</v>
      </c>
      <c r="H439" s="73">
        <v>33.549999999999997</v>
      </c>
      <c r="I439" s="73">
        <v>91.025000000000006</v>
      </c>
      <c r="J439" s="73">
        <v>153.72499999999999</v>
      </c>
      <c r="K439" s="73">
        <v>94.38</v>
      </c>
      <c r="M439" s="73">
        <v>159.78930000000003</v>
      </c>
      <c r="N439" s="73">
        <v>166.53725</v>
      </c>
      <c r="O439" s="73">
        <v>191.42309999999998</v>
      </c>
      <c r="P439" s="73">
        <v>262.88679999999999</v>
      </c>
      <c r="Q439" s="72">
        <f>(2841.75*0.055)+(1870.9*0.11)</f>
        <v>362.09525000000002</v>
      </c>
      <c r="R439" s="66">
        <f>(3107.31*0.055)+(2071.54*0.11)</f>
        <v>398.77144999999996</v>
      </c>
      <c r="S439" s="66">
        <f>(3024.98*0.055)+(1913.72*0.11)</f>
        <v>376.88310000000001</v>
      </c>
      <c r="T439" s="66">
        <f>(3029.06*0.055)+(1906.46*0.11)</f>
        <v>376.30889999999999</v>
      </c>
      <c r="U439" s="66">
        <f>(2886.94*0.055)+(1805.97*0.11)</f>
        <v>357.4384</v>
      </c>
      <c r="V439" s="66">
        <f>(2666.78*0.055)+(1777*0.11)</f>
        <v>342.1429</v>
      </c>
      <c r="W439" s="66">
        <f>(2783.22*0.055)+(1420*0.11)</f>
        <v>309.27710000000002</v>
      </c>
      <c r="X439" s="66">
        <f>(2922.89*0.055)+(1020.18*0.11)</f>
        <v>272.97874999999999</v>
      </c>
      <c r="Y439" s="66">
        <f>(2120.275*0.055)+(1024.08*0.11)+(0.6*0.022)</f>
        <v>229.27712500000001</v>
      </c>
      <c r="Z439" s="66">
        <f>(1810.639*0.055)+(576.123*0.11)</f>
        <v>162.958675</v>
      </c>
      <c r="AA439" s="66">
        <f>(1058.09*0.055)+(50.88*0.11)</f>
        <v>63.79175</v>
      </c>
      <c r="AB439" s="66">
        <f>(1511.466*0.055)+(732.154*0.11)</f>
        <v>163.66757000000001</v>
      </c>
      <c r="AC439" s="66">
        <f>(1356.37*0.055)+(447.61*0.11)</f>
        <v>123.83744999999999</v>
      </c>
    </row>
    <row r="440" spans="1:29">
      <c r="A440" s="67" t="s">
        <v>413</v>
      </c>
      <c r="B440" s="43" t="s">
        <v>825</v>
      </c>
      <c r="Q440" s="73">
        <v>0</v>
      </c>
      <c r="R440" s="50">
        <v>0</v>
      </c>
      <c r="S440" s="50">
        <v>0</v>
      </c>
      <c r="T440" s="66">
        <v>0</v>
      </c>
      <c r="U440" s="66">
        <v>0</v>
      </c>
      <c r="V440" s="66">
        <v>0</v>
      </c>
      <c r="W440" s="66">
        <v>0</v>
      </c>
      <c r="X440" s="66">
        <v>0</v>
      </c>
      <c r="Y440" s="66">
        <v>0</v>
      </c>
      <c r="Z440" s="66">
        <v>0</v>
      </c>
      <c r="AA440" s="66">
        <v>0</v>
      </c>
      <c r="AB440" s="66">
        <v>0</v>
      </c>
      <c r="AC440" s="66">
        <v>0</v>
      </c>
    </row>
    <row r="441" spans="1:29">
      <c r="A441" s="67" t="s">
        <v>413</v>
      </c>
      <c r="B441" s="43" t="s">
        <v>574</v>
      </c>
      <c r="C441" s="72">
        <v>15</v>
      </c>
      <c r="D441" s="72">
        <v>42</v>
      </c>
      <c r="E441" s="72">
        <v>42</v>
      </c>
      <c r="F441" s="72">
        <v>42</v>
      </c>
      <c r="G441" s="72">
        <v>33</v>
      </c>
      <c r="H441" s="72">
        <v>22.2</v>
      </c>
      <c r="I441" s="72">
        <v>27.6</v>
      </c>
      <c r="J441" s="72">
        <v>5.4</v>
      </c>
      <c r="K441" s="72">
        <v>14.4</v>
      </c>
      <c r="M441" s="72">
        <v>16.8</v>
      </c>
      <c r="N441" s="73">
        <v>9</v>
      </c>
      <c r="O441" s="73">
        <v>4.2</v>
      </c>
      <c r="P441" s="73">
        <v>3.6</v>
      </c>
      <c r="Q441" s="73">
        <f>4*0.6</f>
        <v>2.4</v>
      </c>
      <c r="R441" s="50">
        <f>2.5*0.6</f>
        <v>1.5</v>
      </c>
      <c r="S441" s="50">
        <f>1.2*0.6</f>
        <v>0.72</v>
      </c>
      <c r="T441" s="66">
        <f>0.8*0.6</f>
        <v>0.48</v>
      </c>
      <c r="U441" s="66">
        <f>0.7*0.6</f>
        <v>0.42</v>
      </c>
      <c r="V441" s="66">
        <v>0</v>
      </c>
      <c r="W441" s="66">
        <v>0</v>
      </c>
      <c r="X441" s="66">
        <v>0</v>
      </c>
      <c r="Y441" s="66">
        <v>0</v>
      </c>
      <c r="Z441" s="66">
        <v>0</v>
      </c>
      <c r="AA441" s="66">
        <v>0</v>
      </c>
      <c r="AB441" s="66">
        <v>0</v>
      </c>
      <c r="AC441" s="66">
        <v>0</v>
      </c>
    </row>
    <row r="442" spans="1:29">
      <c r="A442" s="67" t="s">
        <v>413</v>
      </c>
      <c r="B442" s="43" t="s">
        <v>535</v>
      </c>
      <c r="C442" s="72">
        <v>1.5</v>
      </c>
      <c r="D442" s="72">
        <v>1</v>
      </c>
      <c r="E442" s="72">
        <v>16</v>
      </c>
      <c r="F442" s="72">
        <v>14</v>
      </c>
      <c r="G442" s="72">
        <v>6</v>
      </c>
      <c r="H442" s="72">
        <v>6</v>
      </c>
      <c r="I442" s="72">
        <v>6</v>
      </c>
      <c r="J442" s="72">
        <v>386.8</v>
      </c>
      <c r="K442" s="72">
        <v>386.8</v>
      </c>
      <c r="M442" s="72">
        <v>4.29</v>
      </c>
      <c r="N442" s="73">
        <v>3.952</v>
      </c>
      <c r="O442" s="73">
        <v>0.54</v>
      </c>
      <c r="P442" s="73">
        <v>1.4850000000000001</v>
      </c>
      <c r="Q442" s="73">
        <v>1.4850000000000001</v>
      </c>
      <c r="R442" s="50">
        <v>0</v>
      </c>
      <c r="S442" s="50">
        <v>0</v>
      </c>
      <c r="T442" s="66">
        <v>0</v>
      </c>
      <c r="U442" s="66">
        <v>0</v>
      </c>
      <c r="V442" s="66">
        <v>0</v>
      </c>
      <c r="W442" s="66">
        <v>0</v>
      </c>
      <c r="X442" s="66">
        <v>0</v>
      </c>
      <c r="Y442" s="66">
        <v>0</v>
      </c>
      <c r="Z442" s="66">
        <v>0</v>
      </c>
      <c r="AA442" s="66">
        <v>0</v>
      </c>
      <c r="AB442" s="66">
        <v>0</v>
      </c>
      <c r="AC442" s="66">
        <v>0</v>
      </c>
    </row>
    <row r="443" spans="1:29">
      <c r="A443" s="43" t="s">
        <v>364</v>
      </c>
      <c r="B443" s="43" t="s">
        <v>752</v>
      </c>
      <c r="P443" s="73">
        <v>1597.0816</v>
      </c>
      <c r="Q443" s="73">
        <f>23.2+448.03+(18.1*0.6)</f>
        <v>482.09</v>
      </c>
      <c r="R443" s="50">
        <v>0</v>
      </c>
      <c r="S443" s="50">
        <v>0</v>
      </c>
      <c r="T443" s="66" t="s">
        <v>685</v>
      </c>
      <c r="U443" s="66" t="s">
        <v>685</v>
      </c>
      <c r="V443" s="66" t="s">
        <v>685</v>
      </c>
      <c r="W443" s="66" t="s">
        <v>685</v>
      </c>
      <c r="X443" s="66" t="s">
        <v>685</v>
      </c>
      <c r="Y443" s="66" t="s">
        <v>685</v>
      </c>
      <c r="Z443" s="66" t="s">
        <v>685</v>
      </c>
      <c r="AA443" s="66">
        <v>0</v>
      </c>
      <c r="AB443" s="66">
        <v>0</v>
      </c>
      <c r="AC443" s="66">
        <v>0</v>
      </c>
    </row>
    <row r="444" spans="1:29">
      <c r="A444" s="43" t="s">
        <v>364</v>
      </c>
      <c r="B444" s="43" t="s">
        <v>663</v>
      </c>
      <c r="P444" s="73">
        <v>4.62</v>
      </c>
      <c r="Q444" s="73">
        <v>0</v>
      </c>
      <c r="R444" s="50">
        <v>0</v>
      </c>
      <c r="S444" s="50">
        <v>0</v>
      </c>
      <c r="T444" s="66" t="s">
        <v>685</v>
      </c>
      <c r="U444" s="66" t="s">
        <v>685</v>
      </c>
      <c r="V444" s="66" t="s">
        <v>685</v>
      </c>
      <c r="W444" s="66" t="s">
        <v>685</v>
      </c>
      <c r="X444" s="66" t="s">
        <v>685</v>
      </c>
      <c r="Y444" s="66" t="s">
        <v>685</v>
      </c>
      <c r="Z444" s="66" t="s">
        <v>685</v>
      </c>
      <c r="AA444" s="66">
        <v>0</v>
      </c>
      <c r="AB444" s="66">
        <v>0</v>
      </c>
      <c r="AC444" s="66">
        <v>0</v>
      </c>
    </row>
    <row r="445" spans="1:29">
      <c r="A445" s="43" t="s">
        <v>364</v>
      </c>
      <c r="B445" s="43" t="s">
        <v>243</v>
      </c>
      <c r="P445" s="73">
        <v>39.1</v>
      </c>
      <c r="Q445" s="73">
        <v>0</v>
      </c>
      <c r="R445" s="50">
        <v>0</v>
      </c>
      <c r="S445" s="50">
        <v>0</v>
      </c>
      <c r="T445" s="66" t="s">
        <v>685</v>
      </c>
      <c r="U445" s="66" t="s">
        <v>685</v>
      </c>
      <c r="V445" s="66" t="s">
        <v>685</v>
      </c>
      <c r="W445" s="66" t="s">
        <v>685</v>
      </c>
      <c r="X445" s="66" t="s">
        <v>685</v>
      </c>
      <c r="Y445" s="66" t="s">
        <v>685</v>
      </c>
      <c r="Z445" s="66" t="s">
        <v>685</v>
      </c>
      <c r="AA445" s="66">
        <v>0</v>
      </c>
      <c r="AB445" s="66">
        <v>0</v>
      </c>
      <c r="AC445" s="66">
        <v>0</v>
      </c>
    </row>
    <row r="446" spans="1:29">
      <c r="A446" s="43" t="s">
        <v>364</v>
      </c>
      <c r="B446" s="43" t="s">
        <v>95</v>
      </c>
      <c r="P446" s="73">
        <v>106.601</v>
      </c>
      <c r="Q446" s="73">
        <f>2017.45*0.055</f>
        <v>110.95975</v>
      </c>
      <c r="R446" s="50">
        <f>(1918.96*0.055)+(2.79*0.065)+(4.65*0.022)</f>
        <v>105.82644999999999</v>
      </c>
      <c r="S446" s="50">
        <f>2008*0.055</f>
        <v>110.44</v>
      </c>
      <c r="T446" s="66">
        <f>(2040*0.055)</f>
        <v>112.2</v>
      </c>
      <c r="U446" s="66">
        <f>1850*0.055</f>
        <v>101.75</v>
      </c>
      <c r="V446" s="66">
        <f>1760.5*0.055</f>
        <v>96.827500000000001</v>
      </c>
      <c r="W446" s="66">
        <f>1698*0.055</f>
        <v>93.39</v>
      </c>
      <c r="X446" s="66">
        <f>1695*0.055</f>
        <v>93.224999999999994</v>
      </c>
      <c r="Y446" s="66">
        <f>1664*0.055</f>
        <v>91.52</v>
      </c>
      <c r="Z446" s="66">
        <f>1685*0.055</f>
        <v>92.674999999999997</v>
      </c>
      <c r="AA446" s="66">
        <f>1698*0.055</f>
        <v>93.39</v>
      </c>
      <c r="AB446" s="66">
        <f>1207*0.055</f>
        <v>66.385000000000005</v>
      </c>
      <c r="AC446" s="66">
        <f>1207*0.055</f>
        <v>66.385000000000005</v>
      </c>
    </row>
    <row r="447" spans="1:29">
      <c r="A447" s="43" t="s">
        <v>364</v>
      </c>
      <c r="B447" s="43" t="s">
        <v>825</v>
      </c>
      <c r="Q447" s="73">
        <v>0</v>
      </c>
      <c r="R447" s="50">
        <v>0</v>
      </c>
      <c r="S447" s="50">
        <v>0</v>
      </c>
      <c r="T447" s="66">
        <v>0</v>
      </c>
      <c r="U447" s="66">
        <v>0</v>
      </c>
      <c r="V447" s="66">
        <v>0</v>
      </c>
      <c r="W447" s="66">
        <v>0</v>
      </c>
      <c r="X447" s="66">
        <v>0</v>
      </c>
      <c r="Y447" s="66">
        <v>0</v>
      </c>
      <c r="Z447" s="66">
        <v>0</v>
      </c>
      <c r="AA447" s="66">
        <v>0</v>
      </c>
      <c r="AB447" s="66">
        <v>0</v>
      </c>
      <c r="AC447" s="66">
        <v>0</v>
      </c>
    </row>
    <row r="448" spans="1:29">
      <c r="A448" s="43" t="s">
        <v>364</v>
      </c>
      <c r="B448" s="43" t="s">
        <v>574</v>
      </c>
      <c r="P448" s="73">
        <v>4.9800000000000004</v>
      </c>
      <c r="Q448" s="73">
        <v>0</v>
      </c>
      <c r="R448" s="50">
        <v>0</v>
      </c>
      <c r="S448" s="50">
        <v>0</v>
      </c>
      <c r="T448" s="66">
        <v>0</v>
      </c>
      <c r="U448" s="66">
        <v>0</v>
      </c>
      <c r="V448" s="66">
        <v>0</v>
      </c>
      <c r="W448" s="66">
        <v>0</v>
      </c>
      <c r="X448" s="66">
        <v>0</v>
      </c>
      <c r="Y448" s="66">
        <v>0</v>
      </c>
      <c r="Z448" s="66">
        <v>0</v>
      </c>
      <c r="AA448" s="66">
        <v>0</v>
      </c>
      <c r="AB448" s="66">
        <v>0</v>
      </c>
      <c r="AC448" s="66">
        <v>0</v>
      </c>
    </row>
    <row r="449" spans="1:30">
      <c r="A449" s="43" t="s">
        <v>364</v>
      </c>
      <c r="B449" s="43" t="s">
        <v>535</v>
      </c>
      <c r="P449" s="73">
        <v>0.02</v>
      </c>
      <c r="Q449" s="73">
        <v>0</v>
      </c>
      <c r="R449" s="50">
        <v>0</v>
      </c>
      <c r="S449" s="50">
        <v>0</v>
      </c>
      <c r="T449" s="66">
        <v>0</v>
      </c>
      <c r="U449" s="66">
        <v>0</v>
      </c>
      <c r="V449" s="66">
        <v>0</v>
      </c>
      <c r="W449" s="66">
        <v>0</v>
      </c>
      <c r="X449" s="66">
        <v>0</v>
      </c>
      <c r="Y449" s="66">
        <v>0</v>
      </c>
      <c r="Z449" s="66">
        <v>0</v>
      </c>
      <c r="AA449" s="66">
        <v>0</v>
      </c>
      <c r="AB449" s="66">
        <v>0</v>
      </c>
      <c r="AC449" s="66">
        <v>0</v>
      </c>
    </row>
    <row r="450" spans="1:30">
      <c r="A450" s="43" t="s">
        <v>667</v>
      </c>
      <c r="B450" s="43" t="s">
        <v>752</v>
      </c>
      <c r="C450" s="72">
        <v>81.96</v>
      </c>
      <c r="D450" s="72">
        <v>91.08</v>
      </c>
      <c r="E450" s="72">
        <v>106.64</v>
      </c>
      <c r="F450" s="72">
        <v>199.04</v>
      </c>
      <c r="G450" s="72">
        <v>210.38</v>
      </c>
      <c r="H450" s="72">
        <v>59.75</v>
      </c>
      <c r="I450" s="72">
        <v>48.63</v>
      </c>
      <c r="J450" s="72">
        <v>31.73</v>
      </c>
      <c r="K450" s="72">
        <v>16.2</v>
      </c>
      <c r="L450" s="72">
        <v>16</v>
      </c>
      <c r="M450" s="72">
        <v>5.04</v>
      </c>
      <c r="N450" s="73">
        <v>0</v>
      </c>
      <c r="O450" s="73">
        <v>0</v>
      </c>
      <c r="P450" s="73">
        <v>0</v>
      </c>
      <c r="Q450" s="73">
        <v>0</v>
      </c>
      <c r="R450" s="50">
        <v>0</v>
      </c>
      <c r="S450" s="50">
        <v>0</v>
      </c>
      <c r="T450" s="66" t="s">
        <v>685</v>
      </c>
      <c r="U450" s="66" t="s">
        <v>685</v>
      </c>
      <c r="V450" s="66" t="s">
        <v>685</v>
      </c>
      <c r="W450" s="66" t="s">
        <v>685</v>
      </c>
      <c r="X450" s="66" t="s">
        <v>685</v>
      </c>
      <c r="Y450" s="66" t="s">
        <v>685</v>
      </c>
      <c r="Z450" s="66" t="s">
        <v>685</v>
      </c>
      <c r="AA450" s="66">
        <v>0</v>
      </c>
      <c r="AB450" s="66">
        <v>0</v>
      </c>
      <c r="AC450" s="66">
        <v>0</v>
      </c>
    </row>
    <row r="451" spans="1:30">
      <c r="A451" s="43" t="s">
        <v>667</v>
      </c>
      <c r="B451" s="43" t="s">
        <v>663</v>
      </c>
      <c r="C451" s="72">
        <v>0</v>
      </c>
      <c r="D451" s="72">
        <v>0</v>
      </c>
      <c r="E451" s="72">
        <v>0</v>
      </c>
      <c r="F451" s="72">
        <v>8.48</v>
      </c>
      <c r="G451" s="72">
        <v>0</v>
      </c>
      <c r="H451" s="72">
        <v>0</v>
      </c>
      <c r="I451" s="72">
        <v>0</v>
      </c>
      <c r="J451" s="72">
        <v>0</v>
      </c>
      <c r="K451" s="72">
        <v>0</v>
      </c>
      <c r="L451" s="72">
        <v>0</v>
      </c>
      <c r="M451" s="72">
        <v>0</v>
      </c>
      <c r="N451" s="73">
        <v>0</v>
      </c>
      <c r="O451" s="73">
        <v>0</v>
      </c>
      <c r="P451" s="73">
        <v>0</v>
      </c>
      <c r="Q451" s="73">
        <v>0</v>
      </c>
      <c r="R451" s="50">
        <v>0</v>
      </c>
      <c r="S451" s="50">
        <v>0</v>
      </c>
      <c r="T451" s="66" t="s">
        <v>685</v>
      </c>
      <c r="U451" s="66" t="s">
        <v>685</v>
      </c>
      <c r="V451" s="66" t="s">
        <v>685</v>
      </c>
      <c r="W451" s="66" t="s">
        <v>685</v>
      </c>
      <c r="X451" s="66" t="s">
        <v>685</v>
      </c>
      <c r="Y451" s="66" t="s">
        <v>685</v>
      </c>
      <c r="Z451" s="66" t="s">
        <v>685</v>
      </c>
      <c r="AA451" s="66">
        <v>0</v>
      </c>
      <c r="AB451" s="66">
        <v>0</v>
      </c>
      <c r="AC451" s="66">
        <v>0</v>
      </c>
    </row>
    <row r="452" spans="1:30">
      <c r="A452" s="43" t="s">
        <v>667</v>
      </c>
      <c r="B452" s="43" t="s">
        <v>243</v>
      </c>
      <c r="C452" s="72">
        <v>0</v>
      </c>
      <c r="D452" s="72">
        <v>3</v>
      </c>
      <c r="E452" s="72">
        <v>0</v>
      </c>
      <c r="F452" s="72">
        <v>0</v>
      </c>
      <c r="G452" s="72">
        <v>0</v>
      </c>
      <c r="H452" s="72">
        <v>0</v>
      </c>
      <c r="I452" s="72">
        <v>0</v>
      </c>
      <c r="J452" s="72">
        <v>0</v>
      </c>
      <c r="K452" s="72">
        <v>0</v>
      </c>
      <c r="L452" s="72">
        <v>0</v>
      </c>
      <c r="M452" s="72">
        <v>0</v>
      </c>
      <c r="N452" s="73">
        <v>0</v>
      </c>
      <c r="O452" s="73">
        <v>0</v>
      </c>
      <c r="P452" s="73">
        <v>0.03</v>
      </c>
      <c r="Q452" s="73">
        <v>0</v>
      </c>
      <c r="R452" s="50">
        <v>0</v>
      </c>
      <c r="S452" s="50">
        <v>0</v>
      </c>
      <c r="T452" s="66" t="s">
        <v>685</v>
      </c>
      <c r="U452" s="66" t="s">
        <v>685</v>
      </c>
      <c r="V452" s="66" t="s">
        <v>685</v>
      </c>
      <c r="W452" s="66" t="s">
        <v>685</v>
      </c>
      <c r="X452" s="66" t="s">
        <v>685</v>
      </c>
      <c r="Y452" s="66" t="s">
        <v>685</v>
      </c>
      <c r="Z452" s="66" t="s">
        <v>685</v>
      </c>
      <c r="AA452" s="66">
        <v>0</v>
      </c>
      <c r="AB452" s="66">
        <v>0</v>
      </c>
      <c r="AC452" s="66">
        <v>0</v>
      </c>
    </row>
    <row r="453" spans="1:30">
      <c r="A453" s="43" t="s">
        <v>667</v>
      </c>
      <c r="B453" s="43" t="s">
        <v>95</v>
      </c>
      <c r="C453" s="73">
        <v>3.9379999999999997</v>
      </c>
      <c r="D453" s="73">
        <v>4.2845000000000004</v>
      </c>
      <c r="E453" s="73">
        <v>4.6475</v>
      </c>
      <c r="F453" s="73">
        <v>5.116649999999999</v>
      </c>
      <c r="G453" s="73">
        <v>8.9342000000000006</v>
      </c>
      <c r="H453" s="73">
        <v>6.5648</v>
      </c>
      <c r="I453" s="73">
        <v>11.283500000000002</v>
      </c>
      <c r="J453" s="73">
        <v>6.3299500000000002</v>
      </c>
      <c r="K453" s="73">
        <v>4.4770000000000003</v>
      </c>
      <c r="L453" s="73">
        <v>5.6479499999999998</v>
      </c>
      <c r="M453" s="73">
        <v>0</v>
      </c>
      <c r="N453" s="73">
        <v>0.66659999999999997</v>
      </c>
      <c r="O453" s="73">
        <v>1.3958999999999999</v>
      </c>
      <c r="P453" s="73">
        <v>6.9179000000000004</v>
      </c>
      <c r="Q453" s="73">
        <f>(263.61*0.055)+(34*0.11)</f>
        <v>18.238550000000004</v>
      </c>
      <c r="R453" s="50">
        <f>(197.59*0.055)+(32*0.11)+(0.17*0.065)</f>
        <v>14.398499999999999</v>
      </c>
      <c r="S453" s="50">
        <f>(34.9*0.055)+(23.8*0.11)</f>
        <v>4.5374999999999996</v>
      </c>
      <c r="T453" s="66">
        <f>(58.55*0.055)</f>
        <v>3.2202500000000001</v>
      </c>
      <c r="U453" s="66">
        <f>(47.62*0.055)+(0.64*0.02)</f>
        <v>2.6318999999999999</v>
      </c>
      <c r="V453" s="66">
        <f>42.89*0.055</f>
        <v>2.3589500000000001</v>
      </c>
      <c r="W453" s="66">
        <f>(146.375*0.055)+(0.278*0.022)</f>
        <v>8.0567410000000006</v>
      </c>
      <c r="X453" s="66">
        <f>(145.527*0.055)+(0.715*0.02)</f>
        <v>8.0182850000000006</v>
      </c>
      <c r="Y453" s="66">
        <f>149.832*0.055</f>
        <v>8.2407599999999999</v>
      </c>
      <c r="Z453" s="66">
        <f>181.291*0.055</f>
        <v>9.9710049999999999</v>
      </c>
      <c r="AA453" s="66">
        <f>51.98*0.055</f>
        <v>2.8588999999999998</v>
      </c>
      <c r="AB453" s="66">
        <f>90.45*0.055</f>
        <v>4.9747500000000002</v>
      </c>
      <c r="AC453" s="66">
        <f>19.68*0.055</f>
        <v>1.0824</v>
      </c>
    </row>
    <row r="454" spans="1:30">
      <c r="A454" s="43" t="s">
        <v>667</v>
      </c>
      <c r="B454" s="43" t="s">
        <v>825</v>
      </c>
      <c r="Q454" s="73">
        <v>0</v>
      </c>
      <c r="R454" s="50">
        <v>0</v>
      </c>
      <c r="S454" s="50">
        <v>0</v>
      </c>
      <c r="T454" s="50">
        <f>28*0.11</f>
        <v>3.08</v>
      </c>
      <c r="U454" s="66">
        <v>0</v>
      </c>
      <c r="V454" s="66">
        <v>0</v>
      </c>
      <c r="W454" s="66">
        <v>0</v>
      </c>
      <c r="X454" s="66">
        <v>0</v>
      </c>
      <c r="Y454" s="66">
        <v>0</v>
      </c>
      <c r="Z454" s="66">
        <v>0</v>
      </c>
      <c r="AA454" s="66">
        <v>0</v>
      </c>
      <c r="AB454" s="66">
        <v>0</v>
      </c>
      <c r="AC454" s="66">
        <v>0</v>
      </c>
    </row>
    <row r="455" spans="1:30">
      <c r="A455" s="43" t="s">
        <v>667</v>
      </c>
      <c r="B455" s="43" t="s">
        <v>574</v>
      </c>
      <c r="C455" s="72">
        <v>7.8</v>
      </c>
      <c r="D455" s="72">
        <v>2.76</v>
      </c>
      <c r="E455" s="72">
        <v>3.3</v>
      </c>
      <c r="F455" s="72">
        <v>8.2799999999999994</v>
      </c>
      <c r="G455" s="72">
        <v>7.11</v>
      </c>
      <c r="H455" s="72">
        <v>-0.22</v>
      </c>
      <c r="I455" s="72">
        <v>0</v>
      </c>
      <c r="J455" s="72">
        <v>2.36</v>
      </c>
      <c r="K455" s="72">
        <v>0.21</v>
      </c>
      <c r="L455" s="72">
        <v>1.716</v>
      </c>
      <c r="M455" s="72">
        <v>1.194</v>
      </c>
      <c r="N455" s="73">
        <v>1.8059999999999998</v>
      </c>
      <c r="O455" s="73">
        <v>1.548</v>
      </c>
      <c r="P455" s="73">
        <v>1.548</v>
      </c>
      <c r="Q455" s="73">
        <f>2.2*0.6</f>
        <v>1.32</v>
      </c>
      <c r="R455" s="50">
        <f>2.14*0.6</f>
        <v>1.284</v>
      </c>
      <c r="S455" s="50">
        <f>2*0.6</f>
        <v>1.2</v>
      </c>
      <c r="T455" s="66">
        <f>1.85*0.6</f>
        <v>1.1100000000000001</v>
      </c>
      <c r="U455" s="66">
        <f>1.6*0.6</f>
        <v>0.96</v>
      </c>
      <c r="V455" s="66">
        <f>3.3*0.6</f>
        <v>1.9799999999999998</v>
      </c>
      <c r="W455" s="66">
        <v>0</v>
      </c>
      <c r="X455" s="66">
        <f>1.5*0.6</f>
        <v>0.89999999999999991</v>
      </c>
      <c r="Y455" s="66">
        <v>0</v>
      </c>
      <c r="Z455" s="66">
        <v>0</v>
      </c>
      <c r="AA455" s="66">
        <v>0</v>
      </c>
      <c r="AB455" s="66">
        <v>0</v>
      </c>
      <c r="AC455" s="66">
        <v>0</v>
      </c>
    </row>
    <row r="456" spans="1:30">
      <c r="A456" s="43" t="s">
        <v>667</v>
      </c>
      <c r="B456" s="43" t="s">
        <v>535</v>
      </c>
      <c r="C456" s="72">
        <v>0</v>
      </c>
      <c r="D456" s="72">
        <v>0</v>
      </c>
      <c r="E456" s="72">
        <v>0</v>
      </c>
      <c r="F456" s="72">
        <v>2.0139999999999998</v>
      </c>
      <c r="G456" s="72">
        <v>0</v>
      </c>
      <c r="H456" s="72">
        <v>2.16</v>
      </c>
      <c r="I456" s="72">
        <v>0</v>
      </c>
      <c r="J456" s="72">
        <v>0</v>
      </c>
      <c r="K456" s="72">
        <v>0</v>
      </c>
      <c r="L456" s="72">
        <v>0</v>
      </c>
      <c r="M456" s="72">
        <v>0</v>
      </c>
      <c r="N456" s="73">
        <v>0</v>
      </c>
      <c r="O456" s="73">
        <v>0</v>
      </c>
      <c r="P456" s="73">
        <v>0</v>
      </c>
      <c r="Q456" s="73">
        <v>0</v>
      </c>
      <c r="R456" s="50">
        <v>0</v>
      </c>
      <c r="S456" s="50">
        <v>0</v>
      </c>
      <c r="T456" s="66">
        <v>0</v>
      </c>
      <c r="U456" s="66">
        <v>0</v>
      </c>
      <c r="V456" s="66">
        <v>0</v>
      </c>
      <c r="W456" s="66">
        <v>0</v>
      </c>
      <c r="X456" s="66">
        <v>0</v>
      </c>
      <c r="Y456" s="66">
        <v>0</v>
      </c>
      <c r="Z456" s="66">
        <v>0</v>
      </c>
      <c r="AA456" s="66">
        <v>0</v>
      </c>
      <c r="AB456" s="66">
        <v>0</v>
      </c>
      <c r="AC456" s="66">
        <v>0</v>
      </c>
    </row>
    <row r="457" spans="1:30">
      <c r="A457" s="43" t="s">
        <v>668</v>
      </c>
      <c r="B457" s="43" t="s">
        <v>752</v>
      </c>
      <c r="C457" s="72">
        <v>535</v>
      </c>
      <c r="D457" s="72">
        <v>627.4</v>
      </c>
      <c r="E457" s="72">
        <v>857.4</v>
      </c>
      <c r="F457" s="72">
        <v>647.20000000000005</v>
      </c>
      <c r="G457" s="72">
        <v>398</v>
      </c>
      <c r="H457" s="72">
        <v>274</v>
      </c>
      <c r="I457" s="72">
        <v>320</v>
      </c>
      <c r="J457" s="72">
        <v>191.8</v>
      </c>
      <c r="K457" s="72">
        <v>82.1</v>
      </c>
      <c r="L457" s="72">
        <v>61.4</v>
      </c>
      <c r="M457" s="72">
        <v>34.6</v>
      </c>
      <c r="N457" s="73">
        <v>21.8</v>
      </c>
      <c r="O457" s="73">
        <v>24</v>
      </c>
      <c r="P457" s="73">
        <v>9</v>
      </c>
      <c r="Q457" s="73">
        <v>0</v>
      </c>
      <c r="R457" s="50">
        <v>0</v>
      </c>
      <c r="S457" s="50">
        <v>0</v>
      </c>
      <c r="T457" s="66" t="s">
        <v>685</v>
      </c>
      <c r="U457" s="66" t="s">
        <v>685</v>
      </c>
      <c r="V457" s="66" t="s">
        <v>685</v>
      </c>
      <c r="W457" s="66" t="s">
        <v>685</v>
      </c>
      <c r="X457" s="66" t="s">
        <v>685</v>
      </c>
      <c r="Y457" s="66" t="s">
        <v>685</v>
      </c>
      <c r="Z457" s="66" t="s">
        <v>685</v>
      </c>
      <c r="AA457" s="66">
        <v>0</v>
      </c>
      <c r="AB457" s="66">
        <v>0</v>
      </c>
      <c r="AC457" s="66">
        <v>0</v>
      </c>
    </row>
    <row r="458" spans="1:30">
      <c r="A458" s="43" t="s">
        <v>668</v>
      </c>
      <c r="B458" s="43" t="s">
        <v>663</v>
      </c>
      <c r="C458" s="72">
        <v>11</v>
      </c>
      <c r="D458" s="72">
        <v>13.2</v>
      </c>
      <c r="E458" s="72">
        <v>16.5</v>
      </c>
      <c r="F458" s="72">
        <v>33</v>
      </c>
      <c r="G458" s="72">
        <v>44</v>
      </c>
      <c r="H458" s="72">
        <v>44</v>
      </c>
      <c r="I458" s="72">
        <v>7.7</v>
      </c>
      <c r="J458" s="72">
        <v>6.6</v>
      </c>
      <c r="K458" s="72">
        <v>3.3</v>
      </c>
      <c r="L458" s="72">
        <v>2.2000000000000002</v>
      </c>
      <c r="M458" s="72">
        <v>2.2000000000000002</v>
      </c>
      <c r="N458" s="73">
        <v>1.1000000000000001</v>
      </c>
      <c r="O458" s="73">
        <v>0.71499999999999997</v>
      </c>
      <c r="P458" s="73">
        <v>0.38500000000000001</v>
      </c>
      <c r="Q458" s="73">
        <v>0.35200000000000004</v>
      </c>
      <c r="R458" s="50">
        <v>0</v>
      </c>
      <c r="S458" s="50">
        <v>0</v>
      </c>
      <c r="T458" s="66" t="s">
        <v>685</v>
      </c>
      <c r="U458" s="66" t="s">
        <v>685</v>
      </c>
      <c r="V458" s="66" t="s">
        <v>685</v>
      </c>
      <c r="W458" s="66" t="s">
        <v>685</v>
      </c>
      <c r="X458" s="66" t="s">
        <v>685</v>
      </c>
      <c r="Y458" s="66" t="s">
        <v>685</v>
      </c>
      <c r="Z458" s="66" t="s">
        <v>685</v>
      </c>
      <c r="AA458" s="66">
        <v>0</v>
      </c>
      <c r="AB458" s="66">
        <v>0</v>
      </c>
      <c r="AC458" s="66">
        <v>0</v>
      </c>
    </row>
    <row r="459" spans="1:30">
      <c r="A459" s="43" t="s">
        <v>668</v>
      </c>
      <c r="B459" s="43" t="s">
        <v>243</v>
      </c>
      <c r="C459" s="72">
        <v>225</v>
      </c>
      <c r="D459" s="72">
        <v>210</v>
      </c>
      <c r="E459" s="72">
        <v>195</v>
      </c>
      <c r="F459" s="72">
        <v>245</v>
      </c>
      <c r="G459" s="72">
        <v>255</v>
      </c>
      <c r="H459" s="72">
        <v>170</v>
      </c>
      <c r="I459" s="72">
        <v>125</v>
      </c>
      <c r="J459" s="72">
        <v>28</v>
      </c>
      <c r="K459" s="72">
        <v>58</v>
      </c>
      <c r="L459" s="72">
        <v>32</v>
      </c>
      <c r="M459" s="72">
        <v>47</v>
      </c>
      <c r="N459" s="73">
        <v>36</v>
      </c>
      <c r="O459" s="73">
        <v>45</v>
      </c>
      <c r="P459" s="73">
        <v>30.4</v>
      </c>
      <c r="Q459" s="73">
        <v>0</v>
      </c>
      <c r="R459" s="50">
        <v>0</v>
      </c>
      <c r="S459" s="50">
        <v>0</v>
      </c>
      <c r="T459" s="66" t="s">
        <v>685</v>
      </c>
      <c r="U459" s="66" t="s">
        <v>685</v>
      </c>
      <c r="V459" s="66" t="s">
        <v>685</v>
      </c>
      <c r="W459" s="66" t="s">
        <v>685</v>
      </c>
      <c r="X459" s="66" t="s">
        <v>685</v>
      </c>
      <c r="Y459" s="66" t="s">
        <v>685</v>
      </c>
      <c r="Z459" s="66" t="s">
        <v>685</v>
      </c>
      <c r="AA459" s="66">
        <v>0</v>
      </c>
      <c r="AB459" s="66">
        <v>0</v>
      </c>
      <c r="AC459" s="66">
        <v>0</v>
      </c>
    </row>
    <row r="460" spans="1:30">
      <c r="A460" s="43" t="s">
        <v>668</v>
      </c>
      <c r="B460" s="43" t="s">
        <v>95</v>
      </c>
      <c r="C460" s="73">
        <v>4.125</v>
      </c>
      <c r="D460" s="73">
        <v>3.85</v>
      </c>
      <c r="E460" s="73">
        <v>4.95</v>
      </c>
      <c r="F460" s="73">
        <v>3.3</v>
      </c>
      <c r="G460" s="73">
        <v>11.55</v>
      </c>
      <c r="H460" s="73">
        <v>23.265000000000001</v>
      </c>
      <c r="I460" s="73">
        <v>31.35</v>
      </c>
      <c r="J460" s="73">
        <v>31.24</v>
      </c>
      <c r="K460" s="73">
        <v>27.774999999999999</v>
      </c>
      <c r="L460" s="73">
        <v>18.149999999999999</v>
      </c>
      <c r="M460" s="73">
        <v>28.38</v>
      </c>
      <c r="N460" s="73">
        <v>46.64</v>
      </c>
      <c r="O460" s="73">
        <v>55.71</v>
      </c>
      <c r="P460" s="73">
        <v>59.03</v>
      </c>
      <c r="Q460" s="73">
        <f>84.68-(120*0.11)</f>
        <v>71.48</v>
      </c>
      <c r="R460" s="50">
        <f>(1095.5*0.055)+(316.3*0.11)</f>
        <v>95.045500000000004</v>
      </c>
      <c r="S460" s="50">
        <f>(1172*0.055)+(335*0.11)</f>
        <v>101.31</v>
      </c>
      <c r="T460" s="66">
        <f>(1222*0.055)+(350*0.11)</f>
        <v>105.71</v>
      </c>
      <c r="U460" s="66">
        <f>(760*0.055)+(160*0.11)</f>
        <v>59.4</v>
      </c>
      <c r="V460" s="66">
        <f>(747.57*0.055)+(169.1*0.11)</f>
        <v>59.717350000000003</v>
      </c>
      <c r="W460" s="66">
        <f>(1005*0.055)+(170.1*0.11)</f>
        <v>73.98599999999999</v>
      </c>
      <c r="X460" s="66">
        <f>(776.15-13.6)*0.055</f>
        <v>41.940249999999999</v>
      </c>
      <c r="Y460" s="66">
        <f>(459.32-30.46)*0.055</f>
        <v>23.587300000000003</v>
      </c>
      <c r="Z460" s="66">
        <f>(468.09*0.055)</f>
        <v>25.744949999999999</v>
      </c>
      <c r="AA460" s="66">
        <f>(305*0.055)+(60*0.11)</f>
        <v>23.375</v>
      </c>
      <c r="AB460" s="66">
        <f>530*0.055</f>
        <v>29.15</v>
      </c>
      <c r="AC460" s="66">
        <f>166.53*0.055</f>
        <v>9.1591500000000003</v>
      </c>
    </row>
    <row r="461" spans="1:30">
      <c r="A461" s="43" t="s">
        <v>668</v>
      </c>
      <c r="B461" s="43" t="s">
        <v>825</v>
      </c>
      <c r="Q461" s="73">
        <f>120*0.11</f>
        <v>13.2</v>
      </c>
      <c r="R461" s="50">
        <f>153.2*0.11</f>
        <v>16.852</v>
      </c>
      <c r="S461" s="50">
        <f>165*0.11</f>
        <v>18.149999999999999</v>
      </c>
      <c r="T461" s="50">
        <f>174*0.11</f>
        <v>19.14</v>
      </c>
      <c r="U461" s="50">
        <f>80*0.11</f>
        <v>8.8000000000000007</v>
      </c>
      <c r="V461" s="50">
        <f>150*0.11</f>
        <v>16.5</v>
      </c>
      <c r="W461" s="50">
        <f>180*0.11</f>
        <v>19.8</v>
      </c>
      <c r="X461" s="50">
        <f>225*0.11</f>
        <v>24.75</v>
      </c>
      <c r="Y461" s="50">
        <f>235.7*0.11</f>
        <v>25.927</v>
      </c>
      <c r="Z461" s="50">
        <f>220.13*0.11</f>
        <v>24.214299999999998</v>
      </c>
      <c r="AA461" s="50">
        <f>226.19*0.11</f>
        <v>24.8809</v>
      </c>
      <c r="AB461" s="50">
        <f>240*0.11</f>
        <v>26.4</v>
      </c>
      <c r="AC461" s="50">
        <f>387.34*0.11</f>
        <v>42.607399999999998</v>
      </c>
      <c r="AD461" s="50"/>
    </row>
    <row r="462" spans="1:30">
      <c r="A462" s="43" t="s">
        <v>668</v>
      </c>
      <c r="B462" s="43" t="s">
        <v>574</v>
      </c>
      <c r="C462" s="72">
        <v>180</v>
      </c>
      <c r="D462" s="72">
        <v>180</v>
      </c>
      <c r="E462" s="72">
        <v>165</v>
      </c>
      <c r="F462" s="72">
        <v>180</v>
      </c>
      <c r="G462" s="72">
        <v>88.8</v>
      </c>
      <c r="H462" s="72">
        <v>105.27</v>
      </c>
      <c r="I462" s="72">
        <v>105.6</v>
      </c>
      <c r="J462" s="72">
        <v>90</v>
      </c>
      <c r="K462" s="72">
        <v>80.099999999999994</v>
      </c>
      <c r="L462" s="72">
        <v>80.099999999999994</v>
      </c>
      <c r="M462" s="72">
        <v>60</v>
      </c>
      <c r="N462" s="73">
        <v>44.55</v>
      </c>
      <c r="O462" s="73">
        <v>35.700000000000003</v>
      </c>
      <c r="P462" s="73">
        <v>22.5</v>
      </c>
      <c r="Q462" s="73">
        <v>26.4</v>
      </c>
      <c r="R462" s="50">
        <f>32*0.6</f>
        <v>19.2</v>
      </c>
      <c r="S462" s="50">
        <f>32*0.6</f>
        <v>19.2</v>
      </c>
      <c r="T462" s="66">
        <f>30.5*0.6</f>
        <v>18.3</v>
      </c>
      <c r="U462" s="66">
        <f>6*0.6</f>
        <v>3.5999999999999996</v>
      </c>
      <c r="V462" s="66">
        <f>4*0.6</f>
        <v>2.4</v>
      </c>
      <c r="W462" s="66">
        <v>0</v>
      </c>
      <c r="X462" s="66">
        <v>0</v>
      </c>
      <c r="Y462" s="66">
        <v>0</v>
      </c>
      <c r="Z462" s="66">
        <v>0</v>
      </c>
      <c r="AA462" s="66">
        <v>0</v>
      </c>
      <c r="AB462" s="66">
        <v>0</v>
      </c>
      <c r="AC462" s="66">
        <v>0</v>
      </c>
    </row>
    <row r="463" spans="1:30">
      <c r="A463" s="43" t="s">
        <v>668</v>
      </c>
      <c r="B463" s="43" t="s">
        <v>535</v>
      </c>
      <c r="C463" s="72">
        <v>1.5</v>
      </c>
      <c r="D463" s="72">
        <v>2.1</v>
      </c>
      <c r="E463" s="72">
        <v>2</v>
      </c>
      <c r="F463" s="72">
        <v>2</v>
      </c>
      <c r="G463" s="72">
        <v>2.5</v>
      </c>
      <c r="H463" s="72">
        <v>15</v>
      </c>
      <c r="I463" s="72">
        <v>17</v>
      </c>
      <c r="J463" s="72">
        <v>15</v>
      </c>
      <c r="K463" s="72">
        <v>8</v>
      </c>
      <c r="L463" s="72">
        <v>6</v>
      </c>
      <c r="M463" s="72">
        <v>4</v>
      </c>
      <c r="N463" s="73">
        <v>2.1608000000000001</v>
      </c>
      <c r="O463" s="73">
        <v>0.1</v>
      </c>
      <c r="P463" s="73">
        <v>0</v>
      </c>
      <c r="Q463" s="73">
        <v>0</v>
      </c>
      <c r="R463" s="50">
        <v>0</v>
      </c>
      <c r="S463" s="50">
        <v>0</v>
      </c>
      <c r="T463" s="66">
        <v>0</v>
      </c>
      <c r="U463" s="66">
        <v>0</v>
      </c>
      <c r="V463" s="66">
        <v>0</v>
      </c>
      <c r="W463" s="66">
        <v>0</v>
      </c>
      <c r="X463" s="66">
        <v>0</v>
      </c>
      <c r="Y463" s="66">
        <v>0</v>
      </c>
      <c r="Z463" s="66">
        <v>0</v>
      </c>
      <c r="AA463" s="66">
        <v>0</v>
      </c>
      <c r="AB463" s="66">
        <v>0</v>
      </c>
      <c r="AC463" s="66">
        <v>0</v>
      </c>
    </row>
    <row r="464" spans="1:30">
      <c r="A464" s="43" t="s">
        <v>103</v>
      </c>
      <c r="B464" s="43" t="s">
        <v>752</v>
      </c>
      <c r="C464" s="72">
        <v>390.1</v>
      </c>
      <c r="D464" s="72">
        <v>257.50799999999998</v>
      </c>
      <c r="E464" s="72">
        <v>254.9616</v>
      </c>
      <c r="F464" s="72">
        <v>250.00800000000001</v>
      </c>
      <c r="G464" s="72">
        <v>241.14400000000001</v>
      </c>
      <c r="H464" s="72">
        <v>187.57300000000001</v>
      </c>
      <c r="I464" s="72">
        <v>168.61</v>
      </c>
      <c r="J464" s="72">
        <v>156.93799999999999</v>
      </c>
      <c r="K464" s="72">
        <v>175.9</v>
      </c>
      <c r="L464" s="72">
        <v>141.0985</v>
      </c>
      <c r="M464" s="72">
        <v>160.61000000000001</v>
      </c>
      <c r="N464" s="73">
        <v>57.7</v>
      </c>
      <c r="O464" s="73">
        <v>22.7</v>
      </c>
      <c r="P464" s="73">
        <v>7.48</v>
      </c>
      <c r="Q464" s="73">
        <v>0</v>
      </c>
      <c r="R464" s="50">
        <v>0</v>
      </c>
      <c r="S464" s="50">
        <v>0</v>
      </c>
      <c r="T464" s="66" t="s">
        <v>685</v>
      </c>
      <c r="U464" s="66" t="s">
        <v>685</v>
      </c>
      <c r="V464" s="66" t="s">
        <v>685</v>
      </c>
      <c r="W464" s="66" t="s">
        <v>685</v>
      </c>
      <c r="X464" s="66" t="s">
        <v>685</v>
      </c>
      <c r="Y464" s="66" t="s">
        <v>685</v>
      </c>
      <c r="Z464" s="66" t="s">
        <v>685</v>
      </c>
      <c r="AA464" s="66">
        <v>0</v>
      </c>
      <c r="AB464" s="66">
        <v>0</v>
      </c>
      <c r="AC464" s="66">
        <v>0</v>
      </c>
    </row>
    <row r="465" spans="1:30">
      <c r="A465" s="43" t="s">
        <v>103</v>
      </c>
      <c r="B465" s="43" t="s">
        <v>663</v>
      </c>
      <c r="C465" s="72">
        <v>0</v>
      </c>
      <c r="D465" s="72">
        <v>24.75</v>
      </c>
      <c r="E465" s="72">
        <v>22</v>
      </c>
      <c r="F465" s="72">
        <v>69.3</v>
      </c>
      <c r="G465" s="72">
        <v>66</v>
      </c>
      <c r="H465" s="72">
        <v>62.37</v>
      </c>
      <c r="I465" s="72">
        <v>59.73</v>
      </c>
      <c r="J465" s="72">
        <v>0.55000000000000004</v>
      </c>
      <c r="K465" s="72">
        <v>0</v>
      </c>
      <c r="L465" s="72">
        <v>0.27500000000000002</v>
      </c>
      <c r="M465" s="72">
        <v>0</v>
      </c>
      <c r="N465" s="73">
        <v>0.253</v>
      </c>
      <c r="O465" s="73">
        <v>0.11</v>
      </c>
      <c r="P465" s="73">
        <v>0.11</v>
      </c>
      <c r="Q465" s="73">
        <v>0</v>
      </c>
      <c r="R465" s="50">
        <v>0</v>
      </c>
      <c r="S465" s="50">
        <v>0</v>
      </c>
      <c r="T465" s="66" t="s">
        <v>685</v>
      </c>
      <c r="U465" s="66" t="s">
        <v>685</v>
      </c>
      <c r="V465" s="66" t="s">
        <v>685</v>
      </c>
      <c r="W465" s="66" t="s">
        <v>685</v>
      </c>
      <c r="X465" s="66" t="s">
        <v>685</v>
      </c>
      <c r="Y465" s="66" t="s">
        <v>685</v>
      </c>
      <c r="Z465" s="66" t="s">
        <v>685</v>
      </c>
      <c r="AA465" s="66">
        <v>0</v>
      </c>
      <c r="AB465" s="66">
        <v>0</v>
      </c>
      <c r="AC465" s="66">
        <v>0</v>
      </c>
    </row>
    <row r="466" spans="1:30">
      <c r="A466" s="43" t="s">
        <v>103</v>
      </c>
      <c r="B466" s="43" t="s">
        <v>243</v>
      </c>
      <c r="C466" s="72">
        <v>16</v>
      </c>
      <c r="D466" s="72">
        <v>0</v>
      </c>
      <c r="E466" s="72">
        <v>0</v>
      </c>
      <c r="F466" s="72">
        <v>0</v>
      </c>
      <c r="G466" s="72">
        <v>0</v>
      </c>
      <c r="H466" s="72">
        <v>0</v>
      </c>
      <c r="I466" s="72">
        <v>0</v>
      </c>
      <c r="J466" s="72">
        <v>0</v>
      </c>
      <c r="K466" s="72">
        <v>0</v>
      </c>
      <c r="L466" s="72">
        <v>0</v>
      </c>
      <c r="M466" s="72">
        <v>0</v>
      </c>
      <c r="N466" s="73">
        <v>0</v>
      </c>
      <c r="O466" s="73">
        <v>0</v>
      </c>
      <c r="P466" s="73">
        <v>0</v>
      </c>
      <c r="Q466" s="73">
        <v>0</v>
      </c>
      <c r="R466" s="50">
        <v>0</v>
      </c>
      <c r="S466" s="50">
        <f>0.01*10</f>
        <v>0.1</v>
      </c>
      <c r="T466" s="66" t="s">
        <v>685</v>
      </c>
      <c r="U466" s="66" t="s">
        <v>685</v>
      </c>
      <c r="V466" s="66" t="s">
        <v>685</v>
      </c>
      <c r="W466" s="66" t="s">
        <v>685</v>
      </c>
      <c r="X466" s="66" t="s">
        <v>685</v>
      </c>
      <c r="Y466" s="66" t="s">
        <v>685</v>
      </c>
      <c r="Z466" s="66" t="s">
        <v>685</v>
      </c>
      <c r="AA466" s="66">
        <v>0</v>
      </c>
      <c r="AB466" s="66">
        <v>0</v>
      </c>
      <c r="AC466" s="66">
        <v>0</v>
      </c>
    </row>
    <row r="467" spans="1:30">
      <c r="A467" s="43" t="s">
        <v>103</v>
      </c>
      <c r="B467" s="43" t="s">
        <v>95</v>
      </c>
      <c r="C467" s="73">
        <v>5.7805</v>
      </c>
      <c r="D467" s="73">
        <v>12.7286</v>
      </c>
      <c r="E467" s="73">
        <v>14.864519999999999</v>
      </c>
      <c r="F467" s="73">
        <v>17.906100000000002</v>
      </c>
      <c r="G467" s="73">
        <v>19.8368</v>
      </c>
      <c r="H467" s="73">
        <v>22.225268000000003</v>
      </c>
      <c r="I467" s="73">
        <v>23.123835999999997</v>
      </c>
      <c r="J467" s="73">
        <v>24.626784000000001</v>
      </c>
      <c r="K467" s="73">
        <v>28.857292000000001</v>
      </c>
      <c r="L467" s="73">
        <v>27.394895000000002</v>
      </c>
      <c r="M467" s="73">
        <v>33.523049999999998</v>
      </c>
      <c r="N467" s="73">
        <v>42.482550000000003</v>
      </c>
      <c r="O467" s="73">
        <v>48.462149999999994</v>
      </c>
      <c r="P467" s="73">
        <v>57.816549999999999</v>
      </c>
      <c r="Q467" s="73">
        <f>(995*0.055)</f>
        <v>54.725000000000001</v>
      </c>
      <c r="R467" s="50">
        <f>(901.31*0.055)</f>
        <v>49.572049999999997</v>
      </c>
      <c r="S467" s="50">
        <f>39.85*0.055</f>
        <v>2.1917500000000003</v>
      </c>
      <c r="T467" s="66">
        <f>770*0.055</f>
        <v>42.35</v>
      </c>
      <c r="U467" s="66">
        <f>529.8*0.055</f>
        <v>29.138999999999999</v>
      </c>
      <c r="V467" s="66">
        <f>450.88*0.055</f>
        <v>24.798400000000001</v>
      </c>
      <c r="W467" s="66">
        <f>374.62*0.055</f>
        <v>20.604099999999999</v>
      </c>
      <c r="X467" s="66">
        <f>274*0.055</f>
        <v>15.07</v>
      </c>
      <c r="Y467" s="66">
        <f>102.97*0.055</f>
        <v>5.6633500000000003</v>
      </c>
      <c r="Z467" s="66">
        <f>81.68*0.055</f>
        <v>4.4924000000000008</v>
      </c>
      <c r="AA467" s="66">
        <f>108.267*0.055</f>
        <v>5.9546849999999996</v>
      </c>
      <c r="AB467" s="66">
        <f>117.01*0.055</f>
        <v>6.4355500000000001</v>
      </c>
      <c r="AC467" s="66">
        <f>77.18*0.055</f>
        <v>4.2449000000000003</v>
      </c>
    </row>
    <row r="468" spans="1:30">
      <c r="A468" s="43" t="s">
        <v>103</v>
      </c>
      <c r="B468" s="43" t="s">
        <v>825</v>
      </c>
      <c r="Q468" s="73">
        <v>0</v>
      </c>
      <c r="R468" s="50">
        <v>0</v>
      </c>
      <c r="S468" s="50">
        <v>0</v>
      </c>
      <c r="T468" s="66">
        <v>0</v>
      </c>
      <c r="U468" s="66">
        <v>0</v>
      </c>
      <c r="V468" s="66">
        <v>0</v>
      </c>
      <c r="W468" s="66">
        <v>0</v>
      </c>
      <c r="X468" s="66">
        <v>0</v>
      </c>
      <c r="Y468" s="66">
        <v>0</v>
      </c>
      <c r="Z468" s="66">
        <v>0</v>
      </c>
      <c r="AA468" s="66">
        <v>0</v>
      </c>
      <c r="AB468" s="66">
        <v>0</v>
      </c>
      <c r="AC468" s="66">
        <v>0</v>
      </c>
    </row>
    <row r="469" spans="1:30">
      <c r="A469" s="43" t="s">
        <v>103</v>
      </c>
      <c r="B469" s="43" t="s">
        <v>574</v>
      </c>
      <c r="C469" s="72">
        <v>225</v>
      </c>
      <c r="D469" s="72">
        <v>204</v>
      </c>
      <c r="E469" s="72">
        <v>236.4</v>
      </c>
      <c r="F469" s="72">
        <v>234.6</v>
      </c>
      <c r="G469" s="72">
        <v>126</v>
      </c>
      <c r="H469" s="72">
        <v>131.82</v>
      </c>
      <c r="I469" s="72">
        <v>132</v>
      </c>
      <c r="J469" s="72">
        <v>139.13999999999999</v>
      </c>
      <c r="K469" s="72">
        <v>100.68</v>
      </c>
      <c r="L469" s="72">
        <v>101.358</v>
      </c>
      <c r="M469" s="72">
        <v>73.02</v>
      </c>
      <c r="N469" s="73">
        <v>34.200000000000003</v>
      </c>
      <c r="O469" s="73">
        <v>17.436</v>
      </c>
      <c r="P469" s="73">
        <v>10.194000000000001</v>
      </c>
      <c r="Q469" s="73">
        <f>11.72*0.6</f>
        <v>7.032</v>
      </c>
      <c r="R469" s="50">
        <f>11*0.6</f>
        <v>6.6</v>
      </c>
      <c r="S469" s="50">
        <f>14.2*0.6</f>
        <v>8.52</v>
      </c>
      <c r="T469" s="66">
        <v>0</v>
      </c>
      <c r="U469" s="66">
        <v>0</v>
      </c>
      <c r="V469" s="66">
        <v>0</v>
      </c>
      <c r="W469" s="66">
        <v>0</v>
      </c>
      <c r="X469" s="66">
        <v>0</v>
      </c>
      <c r="Y469" s="66">
        <v>0</v>
      </c>
      <c r="Z469" s="66">
        <v>0</v>
      </c>
      <c r="AA469" s="66">
        <v>0</v>
      </c>
      <c r="AB469" s="66">
        <v>0</v>
      </c>
      <c r="AC469" s="66">
        <v>0</v>
      </c>
    </row>
    <row r="470" spans="1:30">
      <c r="A470" s="43" t="s">
        <v>103</v>
      </c>
      <c r="B470" s="43" t="s">
        <v>535</v>
      </c>
      <c r="C470" s="72">
        <v>0</v>
      </c>
      <c r="D470" s="72">
        <v>2.7</v>
      </c>
      <c r="E470" s="72">
        <v>2.5</v>
      </c>
      <c r="F470" s="72">
        <v>1.5</v>
      </c>
      <c r="G470" s="72">
        <v>1</v>
      </c>
      <c r="H470" s="72">
        <v>0.87</v>
      </c>
      <c r="I470" s="72">
        <v>0.84</v>
      </c>
      <c r="J470" s="72">
        <v>5.84</v>
      </c>
      <c r="K470" s="72">
        <v>0</v>
      </c>
      <c r="L470" s="72">
        <v>0.01</v>
      </c>
      <c r="M470" s="72">
        <v>0</v>
      </c>
      <c r="N470" s="73">
        <v>0.06</v>
      </c>
      <c r="O470" s="73">
        <v>0.06</v>
      </c>
      <c r="P470" s="73">
        <v>5.5E-2</v>
      </c>
      <c r="Q470" s="73">
        <v>0</v>
      </c>
      <c r="R470" s="50">
        <v>0</v>
      </c>
      <c r="S470" s="50">
        <v>0</v>
      </c>
      <c r="T470" s="66">
        <v>0</v>
      </c>
      <c r="U470" s="66">
        <v>0</v>
      </c>
      <c r="V470" s="66">
        <v>0</v>
      </c>
      <c r="W470" s="66">
        <v>0</v>
      </c>
      <c r="X470" s="66">
        <v>0</v>
      </c>
      <c r="Y470" s="66">
        <v>0</v>
      </c>
      <c r="Z470" s="66">
        <v>0</v>
      </c>
      <c r="AA470" s="66">
        <v>0</v>
      </c>
      <c r="AB470" s="66">
        <v>0</v>
      </c>
      <c r="AC470" s="66">
        <v>0</v>
      </c>
    </row>
    <row r="471" spans="1:30">
      <c r="A471" s="43" t="s">
        <v>104</v>
      </c>
      <c r="B471" s="43" t="s">
        <v>752</v>
      </c>
      <c r="G471" s="72">
        <v>1.78E-2</v>
      </c>
      <c r="H471" s="72">
        <v>0</v>
      </c>
      <c r="I471" s="72">
        <v>0</v>
      </c>
      <c r="J471" s="72">
        <v>0</v>
      </c>
      <c r="K471" s="72">
        <v>0</v>
      </c>
      <c r="L471" s="72">
        <v>0</v>
      </c>
      <c r="M471" s="72">
        <v>0</v>
      </c>
      <c r="N471" s="73">
        <v>0</v>
      </c>
      <c r="O471" s="73">
        <v>0</v>
      </c>
      <c r="P471" s="73">
        <v>0</v>
      </c>
      <c r="Q471" s="73">
        <v>0</v>
      </c>
      <c r="R471" s="50">
        <v>0</v>
      </c>
      <c r="S471" s="50">
        <v>0</v>
      </c>
      <c r="T471" s="66" t="s">
        <v>685</v>
      </c>
      <c r="U471" s="66" t="s">
        <v>685</v>
      </c>
      <c r="V471" s="66" t="s">
        <v>685</v>
      </c>
      <c r="W471" s="66" t="s">
        <v>685</v>
      </c>
      <c r="X471" s="66" t="s">
        <v>685</v>
      </c>
      <c r="Y471" s="66" t="s">
        <v>685</v>
      </c>
      <c r="Z471" s="66" t="s">
        <v>685</v>
      </c>
      <c r="AA471" s="66">
        <v>0</v>
      </c>
      <c r="AB471" s="66">
        <v>0</v>
      </c>
      <c r="AC471" s="66">
        <v>0</v>
      </c>
    </row>
    <row r="472" spans="1:30">
      <c r="A472" s="43" t="s">
        <v>104</v>
      </c>
      <c r="B472" s="43" t="s">
        <v>663</v>
      </c>
      <c r="G472" s="72">
        <v>0</v>
      </c>
      <c r="H472" s="72">
        <v>0</v>
      </c>
      <c r="I472" s="72">
        <v>0</v>
      </c>
      <c r="J472" s="72">
        <v>0</v>
      </c>
      <c r="K472" s="72">
        <v>0</v>
      </c>
      <c r="L472" s="72">
        <v>0</v>
      </c>
      <c r="M472" s="72">
        <v>0</v>
      </c>
      <c r="N472" s="73">
        <v>0</v>
      </c>
      <c r="O472" s="73">
        <v>0</v>
      </c>
      <c r="P472" s="73">
        <v>0</v>
      </c>
      <c r="Q472" s="73">
        <v>0</v>
      </c>
      <c r="R472" s="50">
        <v>0</v>
      </c>
      <c r="S472" s="50">
        <v>0</v>
      </c>
      <c r="T472" s="66" t="s">
        <v>685</v>
      </c>
      <c r="U472" s="66" t="s">
        <v>685</v>
      </c>
      <c r="V472" s="66" t="s">
        <v>685</v>
      </c>
      <c r="W472" s="66" t="s">
        <v>685</v>
      </c>
      <c r="X472" s="66" t="s">
        <v>685</v>
      </c>
      <c r="Y472" s="66" t="s">
        <v>685</v>
      </c>
      <c r="Z472" s="66" t="s">
        <v>685</v>
      </c>
      <c r="AA472" s="66">
        <v>0</v>
      </c>
      <c r="AB472" s="66">
        <v>0</v>
      </c>
      <c r="AC472" s="66">
        <v>0</v>
      </c>
    </row>
    <row r="473" spans="1:30">
      <c r="A473" s="43" t="s">
        <v>104</v>
      </c>
      <c r="B473" s="43" t="s">
        <v>243</v>
      </c>
      <c r="G473" s="72">
        <v>0</v>
      </c>
      <c r="H473" s="72">
        <v>0</v>
      </c>
      <c r="I473" s="72">
        <v>0</v>
      </c>
      <c r="J473" s="72">
        <v>0</v>
      </c>
      <c r="K473" s="72">
        <v>0</v>
      </c>
      <c r="L473" s="72">
        <v>0</v>
      </c>
      <c r="M473" s="72">
        <v>0</v>
      </c>
      <c r="N473" s="73">
        <v>0</v>
      </c>
      <c r="O473" s="73">
        <v>0</v>
      </c>
      <c r="P473" s="73">
        <v>0</v>
      </c>
      <c r="Q473" s="73">
        <v>0</v>
      </c>
      <c r="R473" s="50">
        <v>0</v>
      </c>
      <c r="S473" s="50">
        <v>0</v>
      </c>
      <c r="T473" s="66" t="s">
        <v>685</v>
      </c>
      <c r="U473" s="66" t="s">
        <v>685</v>
      </c>
      <c r="V473" s="66" t="s">
        <v>685</v>
      </c>
      <c r="W473" s="66" t="s">
        <v>685</v>
      </c>
      <c r="X473" s="66" t="s">
        <v>685</v>
      </c>
      <c r="Y473" s="66" t="s">
        <v>685</v>
      </c>
      <c r="Z473" s="66" t="s">
        <v>685</v>
      </c>
      <c r="AA473" s="66">
        <v>0</v>
      </c>
      <c r="AB473" s="66">
        <v>0</v>
      </c>
      <c r="AC473" s="66">
        <v>0</v>
      </c>
    </row>
    <row r="474" spans="1:30">
      <c r="A474" s="43" t="s">
        <v>104</v>
      </c>
      <c r="B474" s="43" t="s">
        <v>95</v>
      </c>
      <c r="G474" s="73">
        <v>2.5003000000000001E-2</v>
      </c>
      <c r="H474" s="73">
        <v>2.8160000000000001E-2</v>
      </c>
      <c r="I474" s="73">
        <v>2.5916000000000002E-2</v>
      </c>
      <c r="J474" s="73">
        <v>2.8084999999999999E-2</v>
      </c>
      <c r="K474" s="73">
        <v>3.7949999999999998E-2</v>
      </c>
      <c r="L474" s="73">
        <v>6.0499999999999998E-3</v>
      </c>
      <c r="M474" s="73">
        <v>3.85E-2</v>
      </c>
      <c r="N474" s="75">
        <v>4.9500000000000002E-2</v>
      </c>
      <c r="O474" s="73">
        <v>7.5952499999999992E-2</v>
      </c>
      <c r="P474" s="73">
        <v>0.20294999999999999</v>
      </c>
      <c r="Q474" s="73">
        <v>3.7400000000000003E-2</v>
      </c>
      <c r="R474" s="50">
        <f>1.2*0.055</f>
        <v>6.6000000000000003E-2</v>
      </c>
      <c r="S474" s="50">
        <f>0.09*0.055</f>
        <v>4.9499999999999995E-3</v>
      </c>
      <c r="T474" s="66">
        <f>0.514*0.055</f>
        <v>2.827E-2</v>
      </c>
      <c r="U474" s="66">
        <f>0.6032*0.055</f>
        <v>3.3175999999999997E-2</v>
      </c>
      <c r="V474" s="66">
        <v>0</v>
      </c>
      <c r="W474" s="76">
        <f>0.08237*0.055</f>
        <v>4.5303499999999998E-3</v>
      </c>
      <c r="X474" s="76">
        <f>0.4368*0.055</f>
        <v>2.4024E-2</v>
      </c>
      <c r="Y474" s="76">
        <f>(0.264*0.055)+(0.13*0.022)</f>
        <v>1.738E-2</v>
      </c>
      <c r="Z474" s="76">
        <f>0.22*0.055</f>
        <v>1.21E-2</v>
      </c>
      <c r="AA474" s="76">
        <f>0.454*0.055</f>
        <v>2.4970000000000003E-2</v>
      </c>
      <c r="AB474" s="76">
        <f>0.068*0.055</f>
        <v>3.7400000000000003E-3</v>
      </c>
      <c r="AC474" s="76">
        <f>0.014*0.055</f>
        <v>7.7000000000000007E-4</v>
      </c>
      <c r="AD474" s="76"/>
    </row>
    <row r="475" spans="1:30">
      <c r="A475" s="43" t="s">
        <v>104</v>
      </c>
      <c r="B475" s="43" t="s">
        <v>825</v>
      </c>
      <c r="Q475" s="73">
        <v>0</v>
      </c>
      <c r="R475" s="50">
        <v>0</v>
      </c>
      <c r="S475" s="50">
        <v>0</v>
      </c>
      <c r="T475" s="66">
        <v>0</v>
      </c>
      <c r="U475" s="66">
        <v>0</v>
      </c>
      <c r="V475" s="66">
        <v>0</v>
      </c>
      <c r="W475" s="66">
        <v>0</v>
      </c>
      <c r="X475" s="66">
        <v>0</v>
      </c>
      <c r="Y475" s="66">
        <v>0</v>
      </c>
      <c r="Z475" s="66">
        <v>0</v>
      </c>
      <c r="AA475" s="66">
        <v>0</v>
      </c>
      <c r="AB475" s="66">
        <v>0</v>
      </c>
      <c r="AC475" s="66">
        <v>0</v>
      </c>
    </row>
    <row r="476" spans="1:30">
      <c r="A476" s="43" t="s">
        <v>104</v>
      </c>
      <c r="B476" s="43" t="s">
        <v>574</v>
      </c>
      <c r="G476" s="72">
        <v>0</v>
      </c>
      <c r="H476" s="72">
        <v>0</v>
      </c>
      <c r="I476" s="72">
        <v>0</v>
      </c>
      <c r="J476" s="72">
        <v>0</v>
      </c>
      <c r="K476" s="72">
        <v>0</v>
      </c>
      <c r="L476" s="72">
        <v>0</v>
      </c>
      <c r="M476" s="72">
        <v>0</v>
      </c>
      <c r="N476" s="73">
        <v>0</v>
      </c>
      <c r="O476" s="73">
        <v>0</v>
      </c>
      <c r="P476" s="73">
        <v>0</v>
      </c>
      <c r="Q476" s="73">
        <v>0</v>
      </c>
      <c r="R476" s="50">
        <v>0</v>
      </c>
      <c r="S476" s="50">
        <v>0</v>
      </c>
      <c r="T476" s="66">
        <v>0</v>
      </c>
      <c r="U476" s="66">
        <v>0</v>
      </c>
      <c r="V476" s="66">
        <v>0</v>
      </c>
      <c r="W476" s="66">
        <v>0</v>
      </c>
      <c r="X476" s="66">
        <v>0</v>
      </c>
      <c r="Y476" s="66">
        <v>0</v>
      </c>
      <c r="Z476" s="66">
        <v>0</v>
      </c>
      <c r="AA476" s="66">
        <v>0</v>
      </c>
      <c r="AB476" s="66">
        <v>0</v>
      </c>
      <c r="AC476" s="66">
        <v>0</v>
      </c>
    </row>
    <row r="477" spans="1:30">
      <c r="A477" s="43" t="s">
        <v>104</v>
      </c>
      <c r="B477" s="43" t="s">
        <v>535</v>
      </c>
      <c r="G477" s="72">
        <v>0</v>
      </c>
      <c r="H477" s="72">
        <v>0</v>
      </c>
      <c r="I477" s="72">
        <v>0</v>
      </c>
      <c r="J477" s="72">
        <v>0</v>
      </c>
      <c r="K477" s="72">
        <v>0</v>
      </c>
      <c r="L477" s="72">
        <v>0</v>
      </c>
      <c r="M477" s="72">
        <v>0</v>
      </c>
      <c r="N477" s="73">
        <v>0</v>
      </c>
      <c r="O477" s="73">
        <v>0</v>
      </c>
      <c r="P477" s="73">
        <v>0</v>
      </c>
      <c r="Q477" s="73">
        <v>0</v>
      </c>
      <c r="R477" s="50">
        <v>0</v>
      </c>
      <c r="S477" s="50">
        <v>0</v>
      </c>
      <c r="T477" s="66">
        <v>0</v>
      </c>
      <c r="U477" s="66">
        <v>0</v>
      </c>
      <c r="V477" s="66">
        <v>0</v>
      </c>
      <c r="W477" s="66">
        <v>0</v>
      </c>
      <c r="X477" s="66">
        <v>0</v>
      </c>
      <c r="Y477" s="66">
        <v>0</v>
      </c>
      <c r="Z477" s="66">
        <v>0</v>
      </c>
      <c r="AA477" s="66">
        <v>0</v>
      </c>
      <c r="AB477" s="66">
        <v>0</v>
      </c>
      <c r="AC477" s="66">
        <v>0</v>
      </c>
    </row>
    <row r="478" spans="1:30">
      <c r="A478" s="43" t="s">
        <v>105</v>
      </c>
      <c r="B478" s="43" t="s">
        <v>752</v>
      </c>
      <c r="L478" s="72">
        <v>233</v>
      </c>
      <c r="M478" s="72">
        <v>152.70599999999999</v>
      </c>
      <c r="N478" s="73">
        <v>106.8</v>
      </c>
      <c r="P478" s="73">
        <v>33</v>
      </c>
      <c r="Q478" s="73">
        <v>28</v>
      </c>
      <c r="R478" s="50">
        <v>0</v>
      </c>
      <c r="S478" s="50">
        <v>0</v>
      </c>
      <c r="T478" s="66" t="s">
        <v>685</v>
      </c>
      <c r="U478" s="66" t="s">
        <v>685</v>
      </c>
      <c r="V478" s="66" t="s">
        <v>685</v>
      </c>
      <c r="W478" s="66" t="s">
        <v>685</v>
      </c>
      <c r="X478" s="66" t="s">
        <v>685</v>
      </c>
      <c r="Y478" s="66" t="s">
        <v>685</v>
      </c>
      <c r="Z478" s="66" t="s">
        <v>685</v>
      </c>
      <c r="AA478" s="66">
        <v>0</v>
      </c>
      <c r="AB478" s="66">
        <v>0</v>
      </c>
      <c r="AC478" s="66">
        <v>0</v>
      </c>
    </row>
    <row r="479" spans="1:30">
      <c r="A479" s="43" t="s">
        <v>105</v>
      </c>
      <c r="B479" s="43" t="s">
        <v>663</v>
      </c>
      <c r="L479" s="72">
        <v>0</v>
      </c>
      <c r="M479" s="72">
        <v>0</v>
      </c>
      <c r="N479" s="73">
        <v>0</v>
      </c>
      <c r="P479" s="73">
        <v>0</v>
      </c>
      <c r="Q479" s="73">
        <v>0</v>
      </c>
      <c r="R479" s="50">
        <v>0</v>
      </c>
      <c r="S479" s="50">
        <v>0</v>
      </c>
      <c r="T479" s="66" t="s">
        <v>685</v>
      </c>
      <c r="U479" s="66" t="s">
        <v>685</v>
      </c>
      <c r="V479" s="66" t="s">
        <v>685</v>
      </c>
      <c r="W479" s="66" t="s">
        <v>685</v>
      </c>
      <c r="X479" s="66" t="s">
        <v>685</v>
      </c>
      <c r="Y479" s="66" t="s">
        <v>685</v>
      </c>
      <c r="Z479" s="66" t="s">
        <v>685</v>
      </c>
      <c r="AA479" s="66">
        <v>0</v>
      </c>
      <c r="AB479" s="66">
        <v>0</v>
      </c>
      <c r="AC479" s="66">
        <v>0</v>
      </c>
    </row>
    <row r="480" spans="1:30">
      <c r="A480" s="43" t="s">
        <v>105</v>
      </c>
      <c r="B480" s="43" t="s">
        <v>243</v>
      </c>
      <c r="L480" s="72">
        <v>0</v>
      </c>
      <c r="M480" s="72">
        <v>0</v>
      </c>
      <c r="N480" s="73">
        <v>0</v>
      </c>
      <c r="P480" s="73">
        <v>0</v>
      </c>
      <c r="Q480" s="73">
        <v>0</v>
      </c>
      <c r="R480" s="50">
        <v>0</v>
      </c>
      <c r="S480" s="50">
        <v>0</v>
      </c>
      <c r="T480" s="66" t="s">
        <v>685</v>
      </c>
      <c r="U480" s="66" t="s">
        <v>685</v>
      </c>
      <c r="V480" s="66" t="s">
        <v>685</v>
      </c>
      <c r="W480" s="66" t="s">
        <v>685</v>
      </c>
      <c r="X480" s="66" t="s">
        <v>685</v>
      </c>
      <c r="Y480" s="66" t="s">
        <v>685</v>
      </c>
      <c r="Z480" s="66" t="s">
        <v>685</v>
      </c>
      <c r="AA480" s="66">
        <v>0</v>
      </c>
      <c r="AB480" s="66">
        <v>0</v>
      </c>
      <c r="AC480" s="66">
        <v>0</v>
      </c>
    </row>
    <row r="481" spans="1:29">
      <c r="A481" s="43" t="s">
        <v>105</v>
      </c>
      <c r="B481" s="43" t="s">
        <v>95</v>
      </c>
      <c r="L481" s="73">
        <v>0</v>
      </c>
      <c r="M481" s="73">
        <v>221.2056</v>
      </c>
      <c r="N481" s="73">
        <v>286.28970000000004</v>
      </c>
      <c r="P481" s="73">
        <v>375.495</v>
      </c>
      <c r="Q481" s="73">
        <f>(4237*0.055)+(700*0.11)+(1354*0.065)+(3*0.02)</f>
        <v>398.10499999999996</v>
      </c>
      <c r="R481" s="50">
        <f>(5234*0.055)+(485*0.11)+(1190*0.065)+(25*0.02)</f>
        <v>419.07000000000005</v>
      </c>
      <c r="S481" s="50">
        <f>(4432*0.055)+(682*0.11)+(1214*0.065)+(3*0.02)</f>
        <v>397.74999999999994</v>
      </c>
      <c r="T481" s="66">
        <f>(4687.4*0.055)+(683.94*0.11)+(1322.6*0.065)+(4.8*0.02)</f>
        <v>419.10539999999997</v>
      </c>
      <c r="U481" s="66">
        <f>(4731.8*0.055)+(690.86*0.11)+(1205.81*0.065)+(2.27*0.02)</f>
        <v>414.66665</v>
      </c>
      <c r="V481" s="66">
        <f>(3373.63*0.055)+(728.56*0.11)+(1083.51*0.065)+(2.72*0.02)</f>
        <v>336.17380000000003</v>
      </c>
      <c r="W481" s="66">
        <f>(3653.25*0.055)+(605*0.11)+(1100*0.065)</f>
        <v>338.97874999999999</v>
      </c>
      <c r="X481" s="66">
        <f>(3157.5*0.055)+(560*0.11)+(963*0.065)</f>
        <v>297.85749999999996</v>
      </c>
      <c r="Y481" s="66">
        <f>(3150*0.055)+(538*0.11)+(977*0.065)</f>
        <v>295.935</v>
      </c>
      <c r="Z481" s="66">
        <f>(2725.33*0.055)+(500*0.11)+(758.24*0.065)</f>
        <v>254.17874999999998</v>
      </c>
      <c r="AA481" s="66">
        <f>(3138*0.055)+(420*0.11)+(535*0.065)+(2.6*0.02)+(0.4*0.022)</f>
        <v>253.62580000000003</v>
      </c>
      <c r="AB481" s="66">
        <f>(3345.98*0.055)+(380*0.11)+(429.53*0.065)</f>
        <v>253.74834999999996</v>
      </c>
      <c r="AC481" s="66">
        <f>(3146.8*0.055)+(360*0.11)+(180*0.065)</f>
        <v>224.374</v>
      </c>
    </row>
    <row r="482" spans="1:29">
      <c r="A482" s="43" t="s">
        <v>105</v>
      </c>
      <c r="B482" s="43" t="s">
        <v>825</v>
      </c>
      <c r="Q482" s="73">
        <f>111*0.11</f>
        <v>12.21</v>
      </c>
      <c r="R482" s="50">
        <f>182*0.11</f>
        <v>20.02</v>
      </c>
      <c r="S482" s="50">
        <f>170*0.11</f>
        <v>18.7</v>
      </c>
      <c r="T482" s="50">
        <f>466.78*0.11</f>
        <v>51.345799999999997</v>
      </c>
      <c r="U482" s="50">
        <f>563.42*0.11</f>
        <v>61.976199999999999</v>
      </c>
      <c r="V482" s="66">
        <f>533.6*0.11</f>
        <v>58.696000000000005</v>
      </c>
      <c r="W482" s="66">
        <f>560*0.11</f>
        <v>61.6</v>
      </c>
      <c r="X482" s="66">
        <f>850*0.11</f>
        <v>93.5</v>
      </c>
      <c r="Y482" s="66">
        <f>790*0.11</f>
        <v>86.9</v>
      </c>
      <c r="Z482" s="66">
        <f>752*0.11</f>
        <v>82.72</v>
      </c>
      <c r="AA482" s="66">
        <f>395*0.11</f>
        <v>43.45</v>
      </c>
      <c r="AB482" s="66">
        <f>370*0.11</f>
        <v>40.700000000000003</v>
      </c>
      <c r="AC482" s="66">
        <f>235*0.11</f>
        <v>25.85</v>
      </c>
    </row>
    <row r="483" spans="1:29">
      <c r="A483" s="43" t="s">
        <v>105</v>
      </c>
      <c r="B483" s="43" t="s">
        <v>574</v>
      </c>
      <c r="L483" s="72">
        <v>0</v>
      </c>
      <c r="M483" s="72">
        <v>0</v>
      </c>
      <c r="N483" s="73">
        <v>0</v>
      </c>
      <c r="P483" s="73">
        <v>0</v>
      </c>
      <c r="Q483" s="73">
        <v>0</v>
      </c>
      <c r="R483" s="50">
        <v>0</v>
      </c>
      <c r="S483" s="50">
        <v>0</v>
      </c>
      <c r="T483" s="66">
        <v>0</v>
      </c>
      <c r="U483" s="66">
        <v>0</v>
      </c>
      <c r="V483" s="66">
        <v>0</v>
      </c>
      <c r="W483" s="66">
        <v>0</v>
      </c>
      <c r="X483" s="66">
        <v>0</v>
      </c>
      <c r="Y483" s="66">
        <v>0</v>
      </c>
      <c r="Z483" s="66">
        <v>0</v>
      </c>
      <c r="AA483" s="66">
        <v>0</v>
      </c>
      <c r="AB483" s="66">
        <v>0</v>
      </c>
      <c r="AC483" s="66">
        <v>0</v>
      </c>
    </row>
    <row r="484" spans="1:29">
      <c r="A484" s="43" t="s">
        <v>105</v>
      </c>
      <c r="B484" s="43" t="s">
        <v>535</v>
      </c>
      <c r="L484" s="72">
        <v>0</v>
      </c>
      <c r="M484" s="72">
        <v>0</v>
      </c>
      <c r="N484" s="73">
        <v>0</v>
      </c>
      <c r="P484" s="73">
        <v>0</v>
      </c>
      <c r="Q484" s="73">
        <v>0</v>
      </c>
      <c r="R484" s="50">
        <v>0</v>
      </c>
      <c r="S484" s="50">
        <v>0</v>
      </c>
      <c r="T484" s="66">
        <v>0</v>
      </c>
      <c r="U484" s="66">
        <v>0</v>
      </c>
      <c r="V484" s="66">
        <v>0</v>
      </c>
      <c r="W484" s="66">
        <v>0</v>
      </c>
      <c r="X484" s="66">
        <v>0</v>
      </c>
      <c r="Y484" s="66">
        <v>0</v>
      </c>
      <c r="Z484" s="66">
        <v>0</v>
      </c>
      <c r="AA484" s="66">
        <v>0</v>
      </c>
      <c r="AB484" s="66">
        <v>0</v>
      </c>
      <c r="AC484" s="66">
        <v>0</v>
      </c>
    </row>
    <row r="485" spans="1:29">
      <c r="A485" s="43" t="s">
        <v>762</v>
      </c>
      <c r="B485" s="43" t="s">
        <v>752</v>
      </c>
      <c r="J485" s="72">
        <v>38</v>
      </c>
      <c r="K485" s="72">
        <v>33</v>
      </c>
      <c r="L485" s="72">
        <v>22.9</v>
      </c>
      <c r="M485" s="72">
        <v>8.1</v>
      </c>
      <c r="N485" s="73">
        <v>5.25</v>
      </c>
      <c r="O485" s="73">
        <v>4.2300000000000004</v>
      </c>
      <c r="P485" s="73">
        <v>5</v>
      </c>
      <c r="Q485" s="73">
        <v>2.7</v>
      </c>
      <c r="R485" s="50">
        <v>0</v>
      </c>
      <c r="S485" s="50">
        <v>0</v>
      </c>
      <c r="T485" s="66" t="s">
        <v>685</v>
      </c>
      <c r="U485" s="66" t="s">
        <v>685</v>
      </c>
      <c r="V485" s="66" t="s">
        <v>685</v>
      </c>
      <c r="W485" s="66" t="s">
        <v>685</v>
      </c>
      <c r="X485" s="66" t="s">
        <v>685</v>
      </c>
      <c r="Y485" s="66" t="s">
        <v>685</v>
      </c>
      <c r="Z485" s="66" t="s">
        <v>685</v>
      </c>
      <c r="AA485" s="66">
        <v>0</v>
      </c>
      <c r="AB485" s="66">
        <v>0</v>
      </c>
      <c r="AC485" s="66">
        <v>0</v>
      </c>
    </row>
    <row r="486" spans="1:29">
      <c r="A486" s="43" t="s">
        <v>762</v>
      </c>
      <c r="B486" s="43" t="s">
        <v>663</v>
      </c>
      <c r="J486" s="72">
        <v>0</v>
      </c>
      <c r="K486" s="72">
        <v>0</v>
      </c>
      <c r="L486" s="72">
        <v>0</v>
      </c>
      <c r="M486" s="72">
        <v>0</v>
      </c>
      <c r="N486" s="73">
        <v>0</v>
      </c>
      <c r="O486" s="73">
        <v>0</v>
      </c>
      <c r="P486" s="73">
        <v>0</v>
      </c>
      <c r="Q486" s="73">
        <v>0</v>
      </c>
      <c r="R486" s="50">
        <v>0</v>
      </c>
      <c r="S486" s="50">
        <v>0</v>
      </c>
      <c r="T486" s="66" t="s">
        <v>685</v>
      </c>
      <c r="U486" s="66" t="s">
        <v>685</v>
      </c>
      <c r="V486" s="66" t="s">
        <v>685</v>
      </c>
      <c r="W486" s="66" t="s">
        <v>685</v>
      </c>
      <c r="X486" s="66" t="s">
        <v>685</v>
      </c>
      <c r="Y486" s="66" t="s">
        <v>685</v>
      </c>
      <c r="Z486" s="66" t="s">
        <v>685</v>
      </c>
      <c r="AA486" s="66">
        <v>0</v>
      </c>
      <c r="AB486" s="66">
        <v>0</v>
      </c>
      <c r="AC486" s="66">
        <v>0</v>
      </c>
    </row>
    <row r="487" spans="1:29">
      <c r="A487" s="43" t="s">
        <v>762</v>
      </c>
      <c r="B487" s="43" t="s">
        <v>243</v>
      </c>
      <c r="J487" s="72">
        <v>0</v>
      </c>
      <c r="K487" s="72">
        <v>0</v>
      </c>
      <c r="L487" s="72">
        <v>2.4</v>
      </c>
      <c r="M487" s="72">
        <v>0</v>
      </c>
      <c r="N487" s="73">
        <v>0</v>
      </c>
      <c r="O487" s="73">
        <v>0</v>
      </c>
      <c r="P487" s="73">
        <v>0</v>
      </c>
      <c r="Q487" s="73">
        <v>0</v>
      </c>
      <c r="R487" s="50">
        <v>0</v>
      </c>
      <c r="S487" s="50">
        <v>0</v>
      </c>
      <c r="T487" s="66" t="s">
        <v>685</v>
      </c>
      <c r="U487" s="66" t="s">
        <v>685</v>
      </c>
      <c r="V487" s="66" t="s">
        <v>685</v>
      </c>
      <c r="W487" s="66" t="s">
        <v>685</v>
      </c>
      <c r="X487" s="66" t="s">
        <v>685</v>
      </c>
      <c r="Y487" s="66" t="s">
        <v>685</v>
      </c>
      <c r="Z487" s="66" t="s">
        <v>685</v>
      </c>
      <c r="AA487" s="66">
        <v>0</v>
      </c>
      <c r="AB487" s="66">
        <v>0</v>
      </c>
      <c r="AC487" s="66">
        <v>0</v>
      </c>
    </row>
    <row r="488" spans="1:29">
      <c r="A488" s="43" t="s">
        <v>762</v>
      </c>
      <c r="B488" s="43" t="s">
        <v>95</v>
      </c>
      <c r="J488" s="73">
        <v>0.23100000000000001</v>
      </c>
      <c r="K488" s="73">
        <v>0.52800000000000002</v>
      </c>
      <c r="L488" s="73">
        <v>0.70950000000000002</v>
      </c>
      <c r="M488" s="73">
        <v>0.69299999999999995</v>
      </c>
      <c r="N488" s="73">
        <v>0.83050000000000002</v>
      </c>
      <c r="O488" s="73">
        <v>0</v>
      </c>
      <c r="P488" s="73">
        <v>7.3916999999999993</v>
      </c>
      <c r="Q488" s="73">
        <f>4.3871-(7.26*0.11)</f>
        <v>3.5885000000000002</v>
      </c>
      <c r="R488" s="50">
        <f>(53.1*0.055)+(2.19*0.065)</f>
        <v>3.0628500000000001</v>
      </c>
      <c r="S488" s="50">
        <f>53.8*0.055</f>
        <v>2.9590000000000001</v>
      </c>
      <c r="T488" s="66">
        <f>52.9*0.055</f>
        <v>2.9095</v>
      </c>
      <c r="U488" s="66">
        <f>(60.4*0.055)+(10.3*0.065)</f>
        <v>3.9915000000000003</v>
      </c>
      <c r="V488" s="66">
        <f>43.6*0.055</f>
        <v>2.3980000000000001</v>
      </c>
      <c r="W488" s="66">
        <f>28.75*0.055</f>
        <v>1.58125</v>
      </c>
      <c r="X488" s="66">
        <f>31.5*0.055</f>
        <v>1.7324999999999999</v>
      </c>
      <c r="Y488" s="66">
        <f>24.9*0.055</f>
        <v>1.3694999999999999</v>
      </c>
      <c r="Z488" s="66">
        <f>24.14*0.055</f>
        <v>1.3277000000000001</v>
      </c>
      <c r="AA488" s="66">
        <f>12.9*0.055</f>
        <v>0.70950000000000002</v>
      </c>
      <c r="AB488" s="66">
        <v>0</v>
      </c>
      <c r="AC488" s="66">
        <v>0</v>
      </c>
    </row>
    <row r="489" spans="1:29">
      <c r="A489" s="43" t="s">
        <v>762</v>
      </c>
      <c r="B489" s="43" t="s">
        <v>825</v>
      </c>
      <c r="Q489" s="73">
        <f>7.26*0.11</f>
        <v>0.79859999999999998</v>
      </c>
      <c r="R489" s="50">
        <f>5.96*0.11</f>
        <v>0.65559999999999996</v>
      </c>
      <c r="S489" s="50">
        <v>0</v>
      </c>
      <c r="T489" s="66">
        <v>0</v>
      </c>
      <c r="U489" s="66">
        <v>0</v>
      </c>
      <c r="V489" s="66">
        <v>0</v>
      </c>
      <c r="W489" s="66">
        <v>0</v>
      </c>
      <c r="X489" s="66">
        <v>0</v>
      </c>
      <c r="Y489" s="66">
        <v>0</v>
      </c>
      <c r="Z489" s="66">
        <v>0</v>
      </c>
      <c r="AA489" s="66">
        <v>0</v>
      </c>
      <c r="AB489" s="66">
        <v>0</v>
      </c>
      <c r="AC489" s="66">
        <v>0</v>
      </c>
    </row>
    <row r="490" spans="1:29">
      <c r="A490" s="43" t="s">
        <v>762</v>
      </c>
      <c r="B490" s="43" t="s">
        <v>574</v>
      </c>
      <c r="J490" s="72">
        <v>12</v>
      </c>
      <c r="K490" s="72">
        <v>13.8</v>
      </c>
      <c r="L490" s="72">
        <v>10.5</v>
      </c>
      <c r="M490" s="72">
        <v>7.2</v>
      </c>
      <c r="N490" s="73">
        <v>3</v>
      </c>
      <c r="O490" s="73">
        <v>0</v>
      </c>
      <c r="P490" s="73">
        <v>0</v>
      </c>
      <c r="Q490" s="73">
        <v>0</v>
      </c>
      <c r="R490" s="50">
        <v>0</v>
      </c>
      <c r="S490" s="50">
        <v>0</v>
      </c>
      <c r="T490" s="66">
        <v>0</v>
      </c>
      <c r="U490" s="66">
        <v>0</v>
      </c>
      <c r="V490" s="66">
        <v>0</v>
      </c>
      <c r="W490" s="66">
        <v>0</v>
      </c>
      <c r="X490" s="66">
        <v>0</v>
      </c>
      <c r="Y490" s="66">
        <v>0</v>
      </c>
      <c r="Z490" s="66">
        <v>0</v>
      </c>
      <c r="AA490" s="66">
        <v>0</v>
      </c>
      <c r="AB490" s="66">
        <v>0</v>
      </c>
      <c r="AC490" s="66">
        <v>0</v>
      </c>
    </row>
    <row r="491" spans="1:29">
      <c r="A491" s="43" t="s">
        <v>762</v>
      </c>
      <c r="B491" s="43" t="s">
        <v>535</v>
      </c>
      <c r="J491" s="72">
        <v>0</v>
      </c>
      <c r="K491" s="72">
        <v>0</v>
      </c>
      <c r="L491" s="72">
        <v>0</v>
      </c>
      <c r="M491" s="72">
        <v>0</v>
      </c>
      <c r="N491" s="73">
        <v>0</v>
      </c>
      <c r="O491" s="73">
        <v>0</v>
      </c>
      <c r="P491" s="73">
        <v>0</v>
      </c>
      <c r="Q491" s="73">
        <v>0</v>
      </c>
      <c r="R491" s="50">
        <v>0</v>
      </c>
      <c r="S491" s="50">
        <v>0</v>
      </c>
      <c r="T491" s="66">
        <v>0</v>
      </c>
      <c r="U491" s="66">
        <v>0</v>
      </c>
      <c r="V491" s="66">
        <v>0</v>
      </c>
      <c r="W491" s="66">
        <v>0</v>
      </c>
      <c r="X491" s="66">
        <v>0</v>
      </c>
      <c r="Y491" s="66">
        <v>0</v>
      </c>
      <c r="Z491" s="66">
        <v>0</v>
      </c>
      <c r="AA491" s="66">
        <v>0</v>
      </c>
      <c r="AB491" s="66">
        <v>0</v>
      </c>
      <c r="AC491" s="66">
        <v>0</v>
      </c>
    </row>
    <row r="492" spans="1:29">
      <c r="A492" s="69" t="s">
        <v>414</v>
      </c>
      <c r="B492" s="43" t="s">
        <v>752</v>
      </c>
      <c r="J492" s="72">
        <v>34.950000000000003</v>
      </c>
      <c r="K492" s="72">
        <v>35.270000000000003</v>
      </c>
      <c r="N492" s="73">
        <v>17.760000000000002</v>
      </c>
      <c r="O492" s="73">
        <v>6.42</v>
      </c>
      <c r="P492" s="73">
        <v>1.98</v>
      </c>
      <c r="Q492" s="73">
        <v>0.87</v>
      </c>
      <c r="R492" s="50">
        <v>0</v>
      </c>
      <c r="S492" s="50">
        <v>0</v>
      </c>
      <c r="T492" s="66" t="s">
        <v>685</v>
      </c>
      <c r="U492" s="66" t="s">
        <v>685</v>
      </c>
      <c r="V492" s="66" t="s">
        <v>685</v>
      </c>
      <c r="W492" s="66" t="s">
        <v>685</v>
      </c>
      <c r="X492" s="66" t="s">
        <v>685</v>
      </c>
      <c r="Y492" s="66" t="s">
        <v>685</v>
      </c>
      <c r="Z492" s="66" t="s">
        <v>685</v>
      </c>
      <c r="AA492" s="66">
        <v>0</v>
      </c>
      <c r="AB492" s="66">
        <v>0</v>
      </c>
      <c r="AC492" s="66">
        <v>0</v>
      </c>
    </row>
    <row r="493" spans="1:29">
      <c r="A493" s="69" t="s">
        <v>414</v>
      </c>
      <c r="B493" s="43" t="s">
        <v>663</v>
      </c>
      <c r="J493" s="72">
        <v>0</v>
      </c>
      <c r="K493" s="72">
        <v>0</v>
      </c>
      <c r="N493" s="73">
        <v>0</v>
      </c>
      <c r="O493" s="73">
        <v>0</v>
      </c>
      <c r="P493" s="73">
        <v>0</v>
      </c>
      <c r="Q493" s="73">
        <v>0</v>
      </c>
      <c r="R493" s="50">
        <v>0</v>
      </c>
      <c r="S493" s="50">
        <v>0</v>
      </c>
      <c r="T493" s="66" t="s">
        <v>685</v>
      </c>
      <c r="U493" s="66" t="s">
        <v>685</v>
      </c>
      <c r="V493" s="66" t="s">
        <v>685</v>
      </c>
      <c r="W493" s="66" t="s">
        <v>685</v>
      </c>
      <c r="X493" s="66" t="s">
        <v>685</v>
      </c>
      <c r="Y493" s="66" t="s">
        <v>685</v>
      </c>
      <c r="Z493" s="66" t="s">
        <v>685</v>
      </c>
      <c r="AA493" s="66">
        <v>0</v>
      </c>
      <c r="AB493" s="66">
        <v>0</v>
      </c>
      <c r="AC493" s="66">
        <v>0</v>
      </c>
    </row>
    <row r="494" spans="1:29">
      <c r="A494" s="69" t="s">
        <v>414</v>
      </c>
      <c r="B494" s="43" t="s">
        <v>243</v>
      </c>
      <c r="J494" s="72">
        <v>0</v>
      </c>
      <c r="K494" s="72">
        <v>0</v>
      </c>
      <c r="N494" s="73">
        <v>0</v>
      </c>
      <c r="O494" s="73">
        <v>0</v>
      </c>
      <c r="P494" s="73">
        <v>0</v>
      </c>
      <c r="Q494" s="73">
        <v>0</v>
      </c>
      <c r="R494" s="50">
        <v>0</v>
      </c>
      <c r="S494" s="50">
        <v>0</v>
      </c>
      <c r="T494" s="66" t="s">
        <v>685</v>
      </c>
      <c r="U494" s="66" t="s">
        <v>685</v>
      </c>
      <c r="V494" s="66" t="s">
        <v>685</v>
      </c>
      <c r="W494" s="66" t="s">
        <v>685</v>
      </c>
      <c r="X494" s="66" t="s">
        <v>685</v>
      </c>
      <c r="Y494" s="66" t="s">
        <v>685</v>
      </c>
      <c r="Z494" s="66" t="s">
        <v>685</v>
      </c>
      <c r="AA494" s="66">
        <v>0</v>
      </c>
      <c r="AB494" s="66">
        <v>0</v>
      </c>
      <c r="AC494" s="66">
        <v>0</v>
      </c>
    </row>
    <row r="495" spans="1:29">
      <c r="A495" s="69" t="s">
        <v>414</v>
      </c>
      <c r="B495" s="43" t="s">
        <v>95</v>
      </c>
      <c r="J495" s="73">
        <v>0</v>
      </c>
      <c r="K495" s="73">
        <v>0</v>
      </c>
      <c r="N495" s="73">
        <v>1.6147999999999998</v>
      </c>
      <c r="O495" s="73">
        <v>1.6450500000000001</v>
      </c>
      <c r="P495" s="73">
        <v>1.6324000000000001</v>
      </c>
      <c r="Q495" s="73">
        <f>22.03*0.055</f>
        <v>1.2116500000000001</v>
      </c>
      <c r="R495" s="50">
        <f>(44.76*0.055)</f>
        <v>2.4617999999999998</v>
      </c>
      <c r="S495" s="50">
        <f>(48.28*0.055)</f>
        <v>2.6554000000000002</v>
      </c>
      <c r="T495" s="66">
        <f>(49.95*0.055)</f>
        <v>2.7472500000000002</v>
      </c>
      <c r="U495" s="66">
        <f>(29.06*0.055)</f>
        <v>1.5982999999999998</v>
      </c>
      <c r="V495" s="66">
        <f>36.28*0.055</f>
        <v>1.9954000000000001</v>
      </c>
      <c r="W495" s="66">
        <f>37.648*0.055</f>
        <v>2.07064</v>
      </c>
      <c r="X495" s="66">
        <f>36.99*0.055</f>
        <v>2.0344500000000001</v>
      </c>
      <c r="Y495" s="66">
        <f>10.7032*0.055</f>
        <v>0.58867600000000009</v>
      </c>
      <c r="Z495" s="66">
        <f>15.558*0.055</f>
        <v>0.85568999999999995</v>
      </c>
      <c r="AA495" s="66">
        <f>23.39*0.055</f>
        <v>1.2864500000000001</v>
      </c>
      <c r="AB495" s="66">
        <f>25.84*0.055</f>
        <v>1.4212</v>
      </c>
      <c r="AC495" s="66">
        <f>14.96*0.055</f>
        <v>0.82280000000000009</v>
      </c>
    </row>
    <row r="496" spans="1:29">
      <c r="A496" s="69" t="s">
        <v>414</v>
      </c>
      <c r="B496" s="43" t="s">
        <v>825</v>
      </c>
      <c r="Q496" s="73">
        <v>0</v>
      </c>
      <c r="R496" s="50">
        <f>31.03*0.11</f>
        <v>3.4133</v>
      </c>
      <c r="S496" s="50">
        <f>32.45*0.11</f>
        <v>3.5695000000000001</v>
      </c>
      <c r="T496" s="50">
        <f>32.92*0.11</f>
        <v>3.6212000000000004</v>
      </c>
      <c r="U496" s="50">
        <f>31.41*0.11</f>
        <v>3.4550999999999998</v>
      </c>
      <c r="V496" s="66">
        <v>0</v>
      </c>
      <c r="W496" s="66">
        <v>0</v>
      </c>
      <c r="X496" s="66">
        <v>0</v>
      </c>
      <c r="Y496" s="66">
        <v>0</v>
      </c>
      <c r="Z496" s="66">
        <v>0</v>
      </c>
      <c r="AA496" s="66">
        <v>0</v>
      </c>
      <c r="AB496" s="66">
        <v>0</v>
      </c>
      <c r="AC496" s="66">
        <v>0</v>
      </c>
    </row>
    <row r="497" spans="1:29">
      <c r="A497" s="69" t="s">
        <v>414</v>
      </c>
      <c r="B497" s="43" t="s">
        <v>574</v>
      </c>
      <c r="J497" s="72">
        <v>0</v>
      </c>
      <c r="K497" s="72">
        <v>0</v>
      </c>
      <c r="N497" s="73">
        <v>0</v>
      </c>
      <c r="O497" s="73">
        <v>0</v>
      </c>
      <c r="P497" s="73">
        <v>0</v>
      </c>
      <c r="Q497" s="73">
        <v>0</v>
      </c>
      <c r="R497" s="50">
        <v>0</v>
      </c>
      <c r="S497" s="50">
        <v>0</v>
      </c>
      <c r="T497" s="66">
        <v>0</v>
      </c>
      <c r="U497" s="66">
        <v>0</v>
      </c>
      <c r="V497" s="66">
        <v>0</v>
      </c>
      <c r="W497" s="66">
        <v>0</v>
      </c>
      <c r="X497" s="66">
        <v>0</v>
      </c>
      <c r="Y497" s="66">
        <v>0</v>
      </c>
      <c r="Z497" s="66">
        <v>0</v>
      </c>
      <c r="AA497" s="66">
        <v>0</v>
      </c>
      <c r="AB497" s="66">
        <v>0</v>
      </c>
      <c r="AC497" s="66">
        <v>0</v>
      </c>
    </row>
    <row r="498" spans="1:29">
      <c r="A498" s="69" t="s">
        <v>414</v>
      </c>
      <c r="B498" s="43" t="s">
        <v>535</v>
      </c>
      <c r="J498" s="72">
        <v>0</v>
      </c>
      <c r="K498" s="72">
        <v>0</v>
      </c>
      <c r="N498" s="73">
        <v>0</v>
      </c>
      <c r="O498" s="73">
        <v>0</v>
      </c>
      <c r="P498" s="73">
        <v>0</v>
      </c>
      <c r="Q498" s="73">
        <v>0</v>
      </c>
      <c r="R498" s="50">
        <v>0</v>
      </c>
      <c r="S498" s="50">
        <v>0</v>
      </c>
      <c r="T498" s="66">
        <v>0</v>
      </c>
      <c r="U498" s="66">
        <v>0</v>
      </c>
      <c r="V498" s="66">
        <v>0</v>
      </c>
      <c r="W498" s="66">
        <v>0</v>
      </c>
      <c r="X498" s="66">
        <v>0</v>
      </c>
      <c r="Y498" s="66">
        <v>0</v>
      </c>
      <c r="Z498" s="66">
        <v>0</v>
      </c>
      <c r="AA498" s="66">
        <v>0</v>
      </c>
      <c r="AB498" s="66">
        <v>0</v>
      </c>
      <c r="AC498" s="66">
        <v>0</v>
      </c>
    </row>
    <row r="499" spans="1:29">
      <c r="A499" s="43" t="s">
        <v>732</v>
      </c>
      <c r="B499" s="43" t="s">
        <v>752</v>
      </c>
      <c r="C499" s="72">
        <v>815.09</v>
      </c>
      <c r="D499" s="72">
        <v>733.36599999999999</v>
      </c>
      <c r="E499" s="72">
        <v>618.34</v>
      </c>
      <c r="F499" s="72">
        <v>536.82000000000005</v>
      </c>
      <c r="G499" s="72">
        <v>463.37</v>
      </c>
      <c r="H499" s="72">
        <v>537.87</v>
      </c>
      <c r="I499" s="72">
        <v>533.4</v>
      </c>
      <c r="J499" s="72">
        <v>491.74</v>
      </c>
      <c r="K499" s="72">
        <v>468.45</v>
      </c>
      <c r="L499" s="72">
        <v>347</v>
      </c>
      <c r="M499" s="72">
        <v>279.14</v>
      </c>
      <c r="N499" s="73">
        <v>224.37</v>
      </c>
      <c r="O499" s="73">
        <v>74.47</v>
      </c>
      <c r="P499" s="73">
        <v>33.840000000000003</v>
      </c>
      <c r="Q499" s="73">
        <v>0</v>
      </c>
      <c r="R499" s="50">
        <v>0</v>
      </c>
      <c r="S499" s="50">
        <v>0</v>
      </c>
      <c r="T499" s="66">
        <v>0</v>
      </c>
      <c r="U499" s="66">
        <v>0</v>
      </c>
      <c r="V499" s="66" t="s">
        <v>685</v>
      </c>
      <c r="W499" s="66" t="s">
        <v>685</v>
      </c>
      <c r="X499" s="66" t="s">
        <v>685</v>
      </c>
      <c r="Y499" s="66" t="s">
        <v>685</v>
      </c>
      <c r="Z499" s="66" t="s">
        <v>685</v>
      </c>
      <c r="AA499" s="66">
        <v>0</v>
      </c>
      <c r="AB499" s="66">
        <v>0</v>
      </c>
      <c r="AC499" s="66">
        <v>0</v>
      </c>
    </row>
    <row r="500" spans="1:29">
      <c r="A500" s="43" t="s">
        <v>732</v>
      </c>
      <c r="B500" s="43" t="s">
        <v>663</v>
      </c>
      <c r="C500" s="72">
        <v>0</v>
      </c>
      <c r="D500" s="72">
        <v>0</v>
      </c>
      <c r="E500" s="72">
        <v>0</v>
      </c>
      <c r="F500" s="72">
        <v>0</v>
      </c>
      <c r="G500" s="72">
        <v>2.1999999999999999E-2</v>
      </c>
      <c r="H500" s="72">
        <v>8.7999999999999995E-2</v>
      </c>
      <c r="I500" s="72">
        <v>0.55000000000000004</v>
      </c>
      <c r="J500" s="72">
        <v>0</v>
      </c>
      <c r="K500" s="72">
        <v>0</v>
      </c>
      <c r="L500" s="72">
        <v>0</v>
      </c>
      <c r="M500" s="72">
        <v>0</v>
      </c>
      <c r="N500" s="73">
        <v>0</v>
      </c>
      <c r="O500" s="73">
        <v>0</v>
      </c>
      <c r="P500" s="73">
        <v>0</v>
      </c>
      <c r="Q500" s="73">
        <v>0</v>
      </c>
      <c r="R500" s="50">
        <v>0</v>
      </c>
      <c r="S500" s="50">
        <v>0</v>
      </c>
      <c r="T500" s="66">
        <v>0</v>
      </c>
      <c r="U500" s="66">
        <v>0</v>
      </c>
      <c r="V500" s="66" t="s">
        <v>685</v>
      </c>
      <c r="W500" s="66" t="s">
        <v>685</v>
      </c>
      <c r="X500" s="66" t="s">
        <v>685</v>
      </c>
      <c r="Y500" s="66" t="s">
        <v>685</v>
      </c>
      <c r="Z500" s="66" t="s">
        <v>685</v>
      </c>
      <c r="AA500" s="66">
        <v>0</v>
      </c>
      <c r="AB500" s="66">
        <v>0</v>
      </c>
      <c r="AC500" s="66">
        <v>0</v>
      </c>
    </row>
    <row r="501" spans="1:29">
      <c r="A501" s="43" t="s">
        <v>732</v>
      </c>
      <c r="B501" s="43" t="s">
        <v>243</v>
      </c>
      <c r="C501" s="72">
        <v>0</v>
      </c>
      <c r="D501" s="72">
        <v>0</v>
      </c>
      <c r="E501" s="72">
        <v>0</v>
      </c>
      <c r="F501" s="72">
        <v>0</v>
      </c>
      <c r="G501" s="72">
        <v>0</v>
      </c>
      <c r="H501" s="72">
        <v>0</v>
      </c>
      <c r="I501" s="72">
        <v>0</v>
      </c>
      <c r="J501" s="72">
        <v>0</v>
      </c>
      <c r="K501" s="72">
        <v>0</v>
      </c>
      <c r="L501" s="72">
        <v>0</v>
      </c>
      <c r="M501" s="72">
        <v>0</v>
      </c>
      <c r="N501" s="73">
        <v>0</v>
      </c>
      <c r="O501" s="73">
        <v>0</v>
      </c>
      <c r="P501" s="73">
        <v>0</v>
      </c>
      <c r="Q501" s="73">
        <v>0</v>
      </c>
      <c r="R501" s="50">
        <v>0</v>
      </c>
      <c r="S501" s="50">
        <v>0</v>
      </c>
      <c r="T501" s="66">
        <v>0</v>
      </c>
      <c r="U501" s="66">
        <v>0</v>
      </c>
      <c r="V501" s="66" t="s">
        <v>685</v>
      </c>
      <c r="W501" s="66" t="s">
        <v>685</v>
      </c>
      <c r="X501" s="66" t="s">
        <v>685</v>
      </c>
      <c r="Y501" s="66" t="s">
        <v>685</v>
      </c>
      <c r="Z501" s="66" t="s">
        <v>685</v>
      </c>
      <c r="AA501" s="66">
        <v>0</v>
      </c>
      <c r="AB501" s="66">
        <v>0</v>
      </c>
      <c r="AC501" s="66">
        <v>0</v>
      </c>
    </row>
    <row r="502" spans="1:29">
      <c r="A502" s="43" t="s">
        <v>732</v>
      </c>
      <c r="B502" s="43" t="s">
        <v>95</v>
      </c>
      <c r="C502" s="73">
        <v>0</v>
      </c>
      <c r="D502" s="73">
        <v>0</v>
      </c>
      <c r="E502" s="73">
        <v>16.1249</v>
      </c>
      <c r="F502" s="73">
        <v>15.204749999999999</v>
      </c>
      <c r="G502" s="73">
        <v>14.89565</v>
      </c>
      <c r="H502" s="73">
        <v>14.854949999999999</v>
      </c>
      <c r="I502" s="73">
        <v>17.105</v>
      </c>
      <c r="J502" s="73">
        <v>21.823999999999998</v>
      </c>
      <c r="K502" s="73">
        <v>20.13</v>
      </c>
      <c r="L502" s="73">
        <v>18.975000000000001</v>
      </c>
      <c r="M502" s="73">
        <v>17.091249999999999</v>
      </c>
      <c r="N502" s="73">
        <v>21.329000000000001</v>
      </c>
      <c r="O502" s="73">
        <v>19.765900000000002</v>
      </c>
      <c r="P502" s="73">
        <v>24.398</v>
      </c>
      <c r="Q502" s="73">
        <f>(576.43*0.055)+(121.84*0.11)</f>
        <v>45.106049999999996</v>
      </c>
      <c r="R502" s="50">
        <f>(727.11*0.055)+(182*0.11)+(5*0.02)</f>
        <v>60.111049999999999</v>
      </c>
      <c r="S502" s="50">
        <f>(708.13*0.055)+(102.01*0.11)</f>
        <v>50.16825</v>
      </c>
      <c r="T502" s="66">
        <f>(734*0.055)+(107.8*0.11)</f>
        <v>52.227999999999994</v>
      </c>
      <c r="U502" s="66">
        <f>(600.5*0.055)+(93*0.11)</f>
        <v>43.257500000000007</v>
      </c>
      <c r="V502" s="66">
        <f>(581*0.055)+(105*0.11)</f>
        <v>43.505000000000003</v>
      </c>
      <c r="W502" s="66">
        <f>(566*0.055)+(315.75*0.11)</f>
        <v>65.862499999999997</v>
      </c>
      <c r="X502" s="66">
        <f>((568-27.88)*0.055)+(265*0.11)</f>
        <v>58.8566</v>
      </c>
      <c r="Y502" s="66">
        <f>(482.72*0.055)+(260*0.11)</f>
        <v>55.149600000000007</v>
      </c>
      <c r="Z502" s="66">
        <f>(562.5*0.055)+(188*0.11)</f>
        <v>51.6175</v>
      </c>
      <c r="AA502" s="66">
        <f>((519.58-2.57)*0.055)+(139.85*0.11)</f>
        <v>43.819049999999997</v>
      </c>
      <c r="AB502" s="66">
        <f>(526.18*0.055)+(56.03*0.11)</f>
        <v>35.103200000000001</v>
      </c>
      <c r="AC502" s="66">
        <f>474.28*0.055</f>
        <v>26.0854</v>
      </c>
    </row>
    <row r="503" spans="1:29">
      <c r="A503" s="43" t="s">
        <v>732</v>
      </c>
      <c r="B503" s="43" t="s">
        <v>825</v>
      </c>
      <c r="Q503" s="73">
        <f>113.74*0.11</f>
        <v>12.5114</v>
      </c>
      <c r="R503" s="50">
        <f>259.34*0.11</f>
        <v>28.527399999999997</v>
      </c>
      <c r="S503" s="50">
        <f>380*0.11</f>
        <v>41.8</v>
      </c>
      <c r="T503" s="50">
        <f>371*0.11</f>
        <v>40.81</v>
      </c>
      <c r="U503" s="50">
        <f>247.5*0.11</f>
        <v>27.225000000000001</v>
      </c>
      <c r="V503" s="66">
        <f>238*0.11</f>
        <v>26.18</v>
      </c>
      <c r="W503" s="66">
        <v>0</v>
      </c>
      <c r="X503" s="66">
        <v>0</v>
      </c>
      <c r="Y503" s="66">
        <v>0</v>
      </c>
      <c r="Z503" s="66">
        <v>0</v>
      </c>
      <c r="AA503" s="66">
        <v>0</v>
      </c>
      <c r="AB503" s="66">
        <v>0</v>
      </c>
      <c r="AC503" s="66">
        <v>0</v>
      </c>
    </row>
    <row r="504" spans="1:29">
      <c r="A504" s="43" t="s">
        <v>732</v>
      </c>
      <c r="B504" s="43" t="s">
        <v>574</v>
      </c>
      <c r="C504" s="72">
        <v>151.19999999999999</v>
      </c>
      <c r="D504" s="72">
        <v>179.4</v>
      </c>
      <c r="E504" s="72">
        <v>168</v>
      </c>
      <c r="F504" s="72">
        <v>109.81</v>
      </c>
      <c r="G504" s="72">
        <v>139.31</v>
      </c>
      <c r="H504" s="72">
        <v>222</v>
      </c>
      <c r="I504" s="72">
        <v>212.4</v>
      </c>
      <c r="J504" s="72">
        <v>197.256</v>
      </c>
      <c r="K504" s="72" t="s">
        <v>685</v>
      </c>
      <c r="M504" s="72" t="s">
        <v>685</v>
      </c>
      <c r="N504" s="72" t="s">
        <v>685</v>
      </c>
      <c r="O504" s="72" t="s">
        <v>685</v>
      </c>
      <c r="P504" s="72" t="s">
        <v>685</v>
      </c>
      <c r="Q504" s="72">
        <v>0</v>
      </c>
      <c r="R504" s="66">
        <v>0</v>
      </c>
      <c r="S504" s="66">
        <v>0</v>
      </c>
      <c r="T504" s="66">
        <v>0</v>
      </c>
      <c r="U504" s="66">
        <v>0</v>
      </c>
      <c r="V504" s="66">
        <v>0</v>
      </c>
      <c r="W504" s="66">
        <v>0</v>
      </c>
      <c r="X504" s="66">
        <v>0</v>
      </c>
      <c r="Y504" s="66">
        <v>0</v>
      </c>
      <c r="Z504" s="66">
        <v>0</v>
      </c>
      <c r="AA504" s="66">
        <v>0</v>
      </c>
      <c r="AB504" s="66">
        <v>0</v>
      </c>
      <c r="AC504" s="66">
        <v>0</v>
      </c>
    </row>
    <row r="505" spans="1:29">
      <c r="A505" s="43" t="s">
        <v>732</v>
      </c>
      <c r="B505" s="43" t="s">
        <v>535</v>
      </c>
      <c r="C505" s="72">
        <v>0</v>
      </c>
      <c r="D505" s="72">
        <v>0</v>
      </c>
      <c r="E505" s="72">
        <v>0</v>
      </c>
      <c r="F505" s="72">
        <v>0</v>
      </c>
      <c r="G505" s="72">
        <v>0</v>
      </c>
      <c r="H505" s="72">
        <v>2E-3</v>
      </c>
      <c r="I505" s="72">
        <v>0.01</v>
      </c>
      <c r="J505" s="72">
        <v>0</v>
      </c>
      <c r="K505" s="72">
        <v>0</v>
      </c>
      <c r="L505" s="72">
        <v>0</v>
      </c>
      <c r="M505" s="72">
        <v>0</v>
      </c>
      <c r="N505" s="73">
        <v>0</v>
      </c>
      <c r="O505" s="73">
        <v>0</v>
      </c>
      <c r="P505" s="73">
        <v>0</v>
      </c>
      <c r="Q505" s="73">
        <v>0</v>
      </c>
      <c r="R505" s="50">
        <v>0</v>
      </c>
      <c r="S505" s="50">
        <v>0</v>
      </c>
      <c r="T505" s="66">
        <v>0</v>
      </c>
      <c r="U505" s="66">
        <v>0</v>
      </c>
      <c r="V505" s="66">
        <v>0</v>
      </c>
      <c r="W505" s="66">
        <v>0</v>
      </c>
      <c r="X505" s="66">
        <v>0</v>
      </c>
      <c r="Y505" s="66">
        <v>0</v>
      </c>
      <c r="Z505" s="66">
        <v>0</v>
      </c>
      <c r="AA505" s="66">
        <v>0</v>
      </c>
      <c r="AB505" s="66">
        <v>0</v>
      </c>
      <c r="AC505" s="66">
        <v>0</v>
      </c>
    </row>
    <row r="506" spans="1:29">
      <c r="A506" s="43" t="s">
        <v>733</v>
      </c>
      <c r="B506" s="43" t="s">
        <v>752</v>
      </c>
      <c r="I506" s="72">
        <v>1.8</v>
      </c>
      <c r="K506" s="72">
        <v>1.4</v>
      </c>
      <c r="L506" s="72">
        <v>1.2</v>
      </c>
      <c r="M506" s="72">
        <v>0</v>
      </c>
      <c r="N506" s="73">
        <v>0</v>
      </c>
      <c r="O506" s="73">
        <v>0</v>
      </c>
      <c r="P506" s="73">
        <v>0</v>
      </c>
      <c r="Q506" s="73">
        <v>0</v>
      </c>
      <c r="R506" s="50">
        <v>0</v>
      </c>
      <c r="S506" s="50">
        <v>0</v>
      </c>
      <c r="T506" s="66" t="s">
        <v>685</v>
      </c>
      <c r="U506" s="66" t="s">
        <v>685</v>
      </c>
      <c r="V506" s="66" t="s">
        <v>685</v>
      </c>
      <c r="W506" s="66" t="s">
        <v>685</v>
      </c>
      <c r="X506" s="66" t="s">
        <v>685</v>
      </c>
      <c r="Y506" s="66" t="s">
        <v>685</v>
      </c>
      <c r="Z506" s="66" t="s">
        <v>685</v>
      </c>
      <c r="AA506" s="66">
        <v>0</v>
      </c>
      <c r="AB506" s="66">
        <v>0</v>
      </c>
      <c r="AC506" s="66">
        <v>0</v>
      </c>
    </row>
    <row r="507" spans="1:29">
      <c r="A507" s="43" t="s">
        <v>733</v>
      </c>
      <c r="B507" s="43" t="s">
        <v>663</v>
      </c>
      <c r="I507" s="72">
        <v>0</v>
      </c>
      <c r="K507" s="72">
        <v>0</v>
      </c>
      <c r="L507" s="72">
        <v>0</v>
      </c>
      <c r="M507" s="72">
        <v>0</v>
      </c>
      <c r="N507" s="73">
        <v>0</v>
      </c>
      <c r="O507" s="73">
        <v>0</v>
      </c>
      <c r="P507" s="73">
        <v>0</v>
      </c>
      <c r="Q507" s="73">
        <v>0</v>
      </c>
      <c r="R507" s="50">
        <v>0</v>
      </c>
      <c r="S507" s="50">
        <v>0</v>
      </c>
      <c r="T507" s="66" t="s">
        <v>685</v>
      </c>
      <c r="U507" s="66" t="s">
        <v>685</v>
      </c>
      <c r="V507" s="66" t="s">
        <v>685</v>
      </c>
      <c r="W507" s="66" t="s">
        <v>685</v>
      </c>
      <c r="X507" s="66" t="s">
        <v>685</v>
      </c>
      <c r="Y507" s="66" t="s">
        <v>685</v>
      </c>
      <c r="Z507" s="66" t="s">
        <v>685</v>
      </c>
      <c r="AA507" s="66">
        <v>0</v>
      </c>
      <c r="AB507" s="66">
        <v>0</v>
      </c>
      <c r="AC507" s="66">
        <v>0</v>
      </c>
    </row>
    <row r="508" spans="1:29">
      <c r="A508" s="43" t="s">
        <v>733</v>
      </c>
      <c r="B508" s="43" t="s">
        <v>243</v>
      </c>
      <c r="I508" s="72">
        <v>2</v>
      </c>
      <c r="K508" s="72">
        <v>1</v>
      </c>
      <c r="L508" s="72">
        <v>0</v>
      </c>
      <c r="M508" s="72">
        <v>0</v>
      </c>
      <c r="N508" s="73">
        <v>0</v>
      </c>
      <c r="O508" s="73">
        <v>0</v>
      </c>
      <c r="P508" s="73">
        <v>0</v>
      </c>
      <c r="Q508" s="73">
        <v>0</v>
      </c>
      <c r="R508" s="50">
        <v>0</v>
      </c>
      <c r="S508" s="50">
        <v>0</v>
      </c>
      <c r="T508" s="66" t="s">
        <v>685</v>
      </c>
      <c r="U508" s="66" t="s">
        <v>685</v>
      </c>
      <c r="V508" s="66" t="s">
        <v>685</v>
      </c>
      <c r="W508" s="66" t="s">
        <v>685</v>
      </c>
      <c r="X508" s="66" t="s">
        <v>685</v>
      </c>
      <c r="Y508" s="66" t="s">
        <v>685</v>
      </c>
      <c r="Z508" s="66" t="s">
        <v>685</v>
      </c>
      <c r="AA508" s="66">
        <v>0</v>
      </c>
      <c r="AB508" s="66">
        <v>0</v>
      </c>
      <c r="AC508" s="66">
        <v>0</v>
      </c>
    </row>
    <row r="509" spans="1:29">
      <c r="A509" s="43" t="s">
        <v>733</v>
      </c>
      <c r="B509" s="43" t="s">
        <v>95</v>
      </c>
      <c r="I509" s="73">
        <v>0.90749999999999997</v>
      </c>
      <c r="K509" s="73">
        <v>0.88</v>
      </c>
      <c r="L509" s="73">
        <v>0.86899999999999999</v>
      </c>
      <c r="M509" s="73">
        <v>0.84699999999999998</v>
      </c>
      <c r="N509" s="73">
        <v>1.3640000000000001</v>
      </c>
      <c r="O509" s="73">
        <v>7.7</v>
      </c>
      <c r="P509" s="73">
        <v>11.55</v>
      </c>
      <c r="Q509" s="73">
        <v>10.285</v>
      </c>
      <c r="R509" s="50">
        <f>57.09*0.055</f>
        <v>3.1399500000000002</v>
      </c>
      <c r="S509" s="50">
        <f>(45.08*0.055)+(0.28*0.065)</f>
        <v>2.4976000000000003</v>
      </c>
      <c r="T509" s="66">
        <f>40.8*0.055</f>
        <v>2.2439999999999998</v>
      </c>
      <c r="U509" s="66">
        <f>35.6*0.055</f>
        <v>1.9580000000000002</v>
      </c>
      <c r="V509" s="66">
        <f>(20.4*0.055)+(0.2*0.065)</f>
        <v>1.1349999999999998</v>
      </c>
      <c r="W509" s="66">
        <f>(13.3*0.055)+(0.34*0.065)</f>
        <v>0.75360000000000005</v>
      </c>
      <c r="X509" s="66">
        <f>(12.77*0.055)+(0.07*0.065)</f>
        <v>0.70690000000000008</v>
      </c>
      <c r="Y509" s="66">
        <f>(12.589*0.055)+(0.07626*0.065)</f>
        <v>0.69735190000000002</v>
      </c>
      <c r="Z509" s="66">
        <f>(11.454*0.055)+(0.0139*0.065)</f>
        <v>0.63087349999999998</v>
      </c>
      <c r="AA509" s="66">
        <f>10.27*0.055</f>
        <v>0.56484999999999996</v>
      </c>
      <c r="AB509" s="66">
        <f>8.343*0.055</f>
        <v>0.45886500000000002</v>
      </c>
      <c r="AC509" s="66">
        <f>(8.063*0.055)+(0.00557*0.065)</f>
        <v>0.44382705000000006</v>
      </c>
    </row>
    <row r="510" spans="1:29">
      <c r="A510" s="43" t="s">
        <v>733</v>
      </c>
      <c r="B510" s="43" t="s">
        <v>825</v>
      </c>
      <c r="Q510" s="73">
        <v>0</v>
      </c>
      <c r="R510" s="50">
        <v>0</v>
      </c>
      <c r="S510" s="50">
        <v>0</v>
      </c>
      <c r="T510" s="66">
        <v>0</v>
      </c>
      <c r="U510" s="66">
        <v>0</v>
      </c>
      <c r="V510" s="66">
        <v>0</v>
      </c>
      <c r="W510" s="66">
        <v>0</v>
      </c>
      <c r="X510" s="66">
        <v>0</v>
      </c>
      <c r="Y510" s="66">
        <v>0</v>
      </c>
      <c r="Z510" s="66">
        <v>0</v>
      </c>
      <c r="AA510" s="66">
        <v>0</v>
      </c>
      <c r="AB510" s="66">
        <v>0</v>
      </c>
      <c r="AC510" s="66">
        <v>0</v>
      </c>
    </row>
    <row r="511" spans="1:29">
      <c r="A511" s="43" t="s">
        <v>733</v>
      </c>
      <c r="B511" s="43" t="s">
        <v>574</v>
      </c>
      <c r="I511" s="72">
        <v>0.18</v>
      </c>
      <c r="K511" s="72">
        <v>0</v>
      </c>
      <c r="L511" s="72">
        <v>0</v>
      </c>
      <c r="M511" s="72">
        <v>0</v>
      </c>
      <c r="N511" s="73">
        <v>0</v>
      </c>
      <c r="O511" s="73">
        <v>0</v>
      </c>
      <c r="P511" s="73">
        <v>0</v>
      </c>
      <c r="Q511" s="73">
        <v>0</v>
      </c>
      <c r="R511" s="50">
        <v>0</v>
      </c>
      <c r="S511" s="50">
        <v>0</v>
      </c>
      <c r="T511" s="66">
        <v>0</v>
      </c>
      <c r="U511" s="66">
        <v>0</v>
      </c>
      <c r="V511" s="66">
        <v>0</v>
      </c>
      <c r="W511" s="66">
        <v>0</v>
      </c>
      <c r="X511" s="66">
        <v>0</v>
      </c>
      <c r="Y511" s="66">
        <v>0</v>
      </c>
      <c r="Z511" s="66">
        <v>0</v>
      </c>
      <c r="AA511" s="66">
        <v>0</v>
      </c>
      <c r="AB511" s="66">
        <v>0</v>
      </c>
      <c r="AC511" s="66">
        <v>0</v>
      </c>
    </row>
    <row r="512" spans="1:29">
      <c r="A512" s="43" t="s">
        <v>733</v>
      </c>
      <c r="B512" s="43" t="s">
        <v>535</v>
      </c>
      <c r="I512" s="72">
        <v>0</v>
      </c>
      <c r="K512" s="72">
        <v>0</v>
      </c>
      <c r="L512" s="72">
        <v>0</v>
      </c>
      <c r="M512" s="72">
        <v>0</v>
      </c>
      <c r="N512" s="73">
        <v>0</v>
      </c>
      <c r="O512" s="73">
        <v>0</v>
      </c>
      <c r="P512" s="73">
        <v>0</v>
      </c>
      <c r="Q512" s="73">
        <v>0</v>
      </c>
      <c r="R512" s="50">
        <v>0</v>
      </c>
      <c r="S512" s="50">
        <v>0</v>
      </c>
      <c r="T512" s="66">
        <v>0</v>
      </c>
      <c r="U512" s="66">
        <v>0</v>
      </c>
      <c r="V512" s="66">
        <v>0</v>
      </c>
      <c r="W512" s="66">
        <v>0</v>
      </c>
      <c r="X512" s="66">
        <v>0</v>
      </c>
      <c r="Y512" s="66">
        <v>0</v>
      </c>
      <c r="Z512" s="66">
        <v>0</v>
      </c>
      <c r="AA512" s="66">
        <v>0</v>
      </c>
      <c r="AB512" s="66">
        <v>0</v>
      </c>
      <c r="AC512" s="66">
        <v>0</v>
      </c>
    </row>
    <row r="513" spans="1:29">
      <c r="A513" s="67" t="s">
        <v>734</v>
      </c>
      <c r="B513" s="67" t="s">
        <v>752</v>
      </c>
      <c r="L513" s="72">
        <v>14.19</v>
      </c>
      <c r="N513" s="73">
        <v>4.9939999999999998</v>
      </c>
      <c r="O513" s="73">
        <v>1.84</v>
      </c>
      <c r="P513" s="73">
        <v>0.6</v>
      </c>
      <c r="Q513" s="73">
        <v>0</v>
      </c>
      <c r="R513" s="50">
        <v>0</v>
      </c>
      <c r="S513" s="50">
        <v>0</v>
      </c>
      <c r="T513" s="66" t="s">
        <v>685</v>
      </c>
      <c r="U513" s="66" t="s">
        <v>685</v>
      </c>
      <c r="V513" s="66" t="s">
        <v>685</v>
      </c>
      <c r="W513" s="66" t="s">
        <v>685</v>
      </c>
      <c r="X513" s="66" t="s">
        <v>685</v>
      </c>
      <c r="Y513" s="66" t="s">
        <v>685</v>
      </c>
      <c r="Z513" s="66" t="s">
        <v>685</v>
      </c>
      <c r="AA513" s="66">
        <v>0</v>
      </c>
      <c r="AB513" s="66">
        <v>0</v>
      </c>
      <c r="AC513" s="66">
        <v>0</v>
      </c>
    </row>
    <row r="514" spans="1:29">
      <c r="A514" s="67" t="s">
        <v>734</v>
      </c>
      <c r="B514" s="67" t="s">
        <v>663</v>
      </c>
      <c r="L514" s="72">
        <v>0</v>
      </c>
      <c r="N514" s="73">
        <v>0</v>
      </c>
      <c r="O514" s="73">
        <v>0</v>
      </c>
      <c r="P514" s="73">
        <v>0</v>
      </c>
      <c r="Q514" s="73">
        <v>0</v>
      </c>
      <c r="R514" s="50">
        <v>0</v>
      </c>
      <c r="S514" s="50">
        <v>0</v>
      </c>
      <c r="T514" s="66" t="s">
        <v>685</v>
      </c>
      <c r="U514" s="66" t="s">
        <v>685</v>
      </c>
      <c r="V514" s="66" t="s">
        <v>685</v>
      </c>
      <c r="W514" s="66" t="s">
        <v>685</v>
      </c>
      <c r="X514" s="66" t="s">
        <v>685</v>
      </c>
      <c r="Y514" s="66" t="s">
        <v>685</v>
      </c>
      <c r="Z514" s="66" t="s">
        <v>685</v>
      </c>
      <c r="AA514" s="66">
        <v>0</v>
      </c>
      <c r="AB514" s="66">
        <v>0</v>
      </c>
      <c r="AC514" s="66">
        <v>0</v>
      </c>
    </row>
    <row r="515" spans="1:29">
      <c r="A515" s="67" t="s">
        <v>734</v>
      </c>
      <c r="B515" s="43" t="s">
        <v>243</v>
      </c>
      <c r="L515" s="72">
        <v>0</v>
      </c>
      <c r="N515" s="73">
        <v>0</v>
      </c>
      <c r="O515" s="73">
        <v>0</v>
      </c>
      <c r="P515" s="73">
        <v>0</v>
      </c>
      <c r="Q515" s="73">
        <v>0</v>
      </c>
      <c r="R515" s="50">
        <v>0</v>
      </c>
      <c r="S515" s="50">
        <v>0</v>
      </c>
      <c r="T515" s="66" t="s">
        <v>685</v>
      </c>
      <c r="U515" s="66" t="s">
        <v>685</v>
      </c>
      <c r="V515" s="66" t="s">
        <v>685</v>
      </c>
      <c r="W515" s="66" t="s">
        <v>685</v>
      </c>
      <c r="X515" s="66" t="s">
        <v>685</v>
      </c>
      <c r="Y515" s="66" t="s">
        <v>685</v>
      </c>
      <c r="Z515" s="66" t="s">
        <v>685</v>
      </c>
      <c r="AA515" s="66">
        <v>0</v>
      </c>
      <c r="AB515" s="66">
        <v>0</v>
      </c>
      <c r="AC515" s="66">
        <v>0</v>
      </c>
    </row>
    <row r="516" spans="1:29">
      <c r="A516" s="67" t="s">
        <v>734</v>
      </c>
      <c r="B516" s="43" t="s">
        <v>95</v>
      </c>
      <c r="L516" s="73">
        <v>0</v>
      </c>
      <c r="N516" s="73">
        <v>1.20835</v>
      </c>
      <c r="O516" s="73">
        <v>1.8755000000000002</v>
      </c>
      <c r="P516" s="73">
        <v>2.7610000000000001</v>
      </c>
      <c r="Q516" s="73">
        <f>90.5*0.055</f>
        <v>4.9775</v>
      </c>
      <c r="R516" s="50">
        <f>100.4*0.055</f>
        <v>5.5220000000000002</v>
      </c>
      <c r="S516" s="50">
        <f>98.4*0.055</f>
        <v>5.4119999999999999</v>
      </c>
      <c r="T516" s="66">
        <f>87.6*0.055</f>
        <v>4.8179999999999996</v>
      </c>
      <c r="U516" s="66">
        <f>(82*0.055)</f>
        <v>4.51</v>
      </c>
      <c r="V516" s="66">
        <f>68*0.055</f>
        <v>3.74</v>
      </c>
      <c r="W516" s="66">
        <f>56.89*0.055</f>
        <v>3.1289500000000001</v>
      </c>
      <c r="X516" s="66">
        <f>51.59*0.055</f>
        <v>2.83745</v>
      </c>
      <c r="Y516" s="66">
        <f>42.06*0.055</f>
        <v>2.3133000000000004</v>
      </c>
      <c r="Z516" s="66">
        <f>32.35*0.055</f>
        <v>1.77925</v>
      </c>
      <c r="AA516" s="66">
        <f>14.16*0.055</f>
        <v>0.77880000000000005</v>
      </c>
      <c r="AB516" s="66">
        <f>28.65*0.055</f>
        <v>1.57575</v>
      </c>
      <c r="AC516" s="66">
        <f>26.14*0.055</f>
        <v>1.4377</v>
      </c>
    </row>
    <row r="517" spans="1:29">
      <c r="A517" s="67" t="s">
        <v>734</v>
      </c>
      <c r="B517" s="43" t="s">
        <v>825</v>
      </c>
      <c r="Q517" s="73">
        <v>0</v>
      </c>
      <c r="R517" s="50">
        <v>0</v>
      </c>
      <c r="S517" s="50">
        <v>0</v>
      </c>
      <c r="T517" s="66">
        <v>0</v>
      </c>
      <c r="U517" s="66">
        <v>0</v>
      </c>
      <c r="V517" s="66">
        <v>0</v>
      </c>
      <c r="W517" s="66">
        <v>0</v>
      </c>
      <c r="X517" s="66">
        <v>0</v>
      </c>
      <c r="Y517" s="66">
        <v>0</v>
      </c>
      <c r="Z517" s="66">
        <v>0</v>
      </c>
      <c r="AA517" s="66">
        <v>0</v>
      </c>
      <c r="AB517" s="66">
        <v>0</v>
      </c>
      <c r="AC517" s="66">
        <v>0</v>
      </c>
    </row>
    <row r="518" spans="1:29">
      <c r="A518" s="67" t="s">
        <v>734</v>
      </c>
      <c r="B518" s="43" t="s">
        <v>574</v>
      </c>
      <c r="L518" s="72">
        <v>0</v>
      </c>
      <c r="N518" s="73">
        <v>0</v>
      </c>
      <c r="O518" s="73">
        <v>0</v>
      </c>
      <c r="P518" s="73">
        <v>0</v>
      </c>
      <c r="Q518" s="73">
        <v>0</v>
      </c>
      <c r="R518" s="50">
        <v>0</v>
      </c>
      <c r="S518" s="50">
        <v>0</v>
      </c>
      <c r="T518" s="66">
        <v>0</v>
      </c>
      <c r="U518" s="66">
        <v>0</v>
      </c>
      <c r="V518" s="66">
        <v>0</v>
      </c>
      <c r="W518" s="66">
        <v>0</v>
      </c>
      <c r="X518" s="66">
        <v>0</v>
      </c>
      <c r="Y518" s="66">
        <v>0</v>
      </c>
      <c r="Z518" s="66">
        <v>0</v>
      </c>
      <c r="AA518" s="66">
        <v>0</v>
      </c>
      <c r="AB518" s="66">
        <v>0</v>
      </c>
      <c r="AC518" s="66">
        <v>0</v>
      </c>
    </row>
    <row r="519" spans="1:29">
      <c r="A519" s="67" t="s">
        <v>734</v>
      </c>
      <c r="B519" s="67" t="s">
        <v>535</v>
      </c>
      <c r="L519" s="72">
        <v>0</v>
      </c>
      <c r="N519" s="73">
        <v>0</v>
      </c>
      <c r="O519" s="73">
        <v>0</v>
      </c>
      <c r="P519" s="73">
        <v>0</v>
      </c>
      <c r="Q519" s="73">
        <v>0</v>
      </c>
      <c r="R519" s="50">
        <v>0</v>
      </c>
      <c r="S519" s="50">
        <v>0</v>
      </c>
      <c r="T519" s="66">
        <v>0</v>
      </c>
      <c r="U519" s="66">
        <v>0</v>
      </c>
      <c r="V519" s="66">
        <v>0</v>
      </c>
      <c r="W519" s="66">
        <v>0</v>
      </c>
      <c r="X519" s="66">
        <v>0</v>
      </c>
      <c r="Y519" s="66">
        <v>0</v>
      </c>
      <c r="Z519" s="66">
        <v>0</v>
      </c>
      <c r="AA519" s="66">
        <v>0</v>
      </c>
      <c r="AB519" s="66">
        <v>0</v>
      </c>
      <c r="AC519" s="66">
        <v>0</v>
      </c>
    </row>
    <row r="520" spans="1:29">
      <c r="A520" s="43" t="s">
        <v>464</v>
      </c>
      <c r="B520" s="43" t="s">
        <v>752</v>
      </c>
      <c r="F520" s="72">
        <v>660</v>
      </c>
      <c r="G520" s="72">
        <v>895.82</v>
      </c>
      <c r="H520" s="72">
        <v>987.34</v>
      </c>
      <c r="I520" s="72">
        <v>987.34</v>
      </c>
      <c r="J520" s="72">
        <v>973.404</v>
      </c>
      <c r="K520" s="72">
        <v>707.05</v>
      </c>
      <c r="L520" s="72">
        <v>459</v>
      </c>
      <c r="M520" s="72">
        <v>252</v>
      </c>
      <c r="N520" s="73">
        <v>115.67</v>
      </c>
      <c r="O520" s="73">
        <v>57.5</v>
      </c>
      <c r="P520" s="73">
        <v>21.9</v>
      </c>
      <c r="Q520" s="73">
        <v>0</v>
      </c>
      <c r="R520" s="50">
        <v>0</v>
      </c>
      <c r="S520" s="50">
        <v>0</v>
      </c>
      <c r="T520" s="66">
        <v>0</v>
      </c>
      <c r="U520" s="66" t="s">
        <v>685</v>
      </c>
      <c r="V520" s="66" t="s">
        <v>685</v>
      </c>
      <c r="W520" s="66">
        <v>0</v>
      </c>
      <c r="X520" s="66" t="s">
        <v>685</v>
      </c>
      <c r="Y520" s="66" t="s">
        <v>685</v>
      </c>
      <c r="Z520" s="66" t="s">
        <v>685</v>
      </c>
      <c r="AA520" s="66">
        <v>0</v>
      </c>
      <c r="AB520" s="66">
        <v>0</v>
      </c>
      <c r="AC520" s="66">
        <v>0</v>
      </c>
    </row>
    <row r="521" spans="1:29">
      <c r="A521" s="43" t="s">
        <v>464</v>
      </c>
      <c r="B521" s="43" t="s">
        <v>663</v>
      </c>
      <c r="F521" s="72">
        <v>0</v>
      </c>
      <c r="G521" s="72">
        <v>0</v>
      </c>
      <c r="H521" s="72">
        <v>0</v>
      </c>
      <c r="I521" s="72">
        <v>0</v>
      </c>
      <c r="J521" s="72">
        <v>0</v>
      </c>
      <c r="K521" s="72">
        <v>0</v>
      </c>
      <c r="L521" s="72">
        <v>0</v>
      </c>
      <c r="M521" s="72">
        <v>0</v>
      </c>
      <c r="N521" s="73">
        <v>0</v>
      </c>
      <c r="O521" s="73">
        <v>0</v>
      </c>
      <c r="P521" s="73">
        <v>0</v>
      </c>
      <c r="Q521" s="73">
        <v>0</v>
      </c>
      <c r="R521" s="50">
        <v>0</v>
      </c>
      <c r="S521" s="50">
        <v>0</v>
      </c>
      <c r="T521" s="66">
        <v>0</v>
      </c>
      <c r="U521" s="66" t="s">
        <v>685</v>
      </c>
      <c r="V521" s="66" t="s">
        <v>685</v>
      </c>
      <c r="W521" s="66">
        <v>0</v>
      </c>
      <c r="X521" s="66" t="s">
        <v>685</v>
      </c>
      <c r="Y521" s="66" t="s">
        <v>685</v>
      </c>
      <c r="Z521" s="66" t="s">
        <v>685</v>
      </c>
      <c r="AA521" s="66">
        <v>0</v>
      </c>
      <c r="AB521" s="66">
        <v>0</v>
      </c>
      <c r="AC521" s="66">
        <v>0</v>
      </c>
    </row>
    <row r="522" spans="1:29">
      <c r="A522" s="43" t="s">
        <v>464</v>
      </c>
      <c r="B522" s="43" t="s">
        <v>243</v>
      </c>
      <c r="F522" s="72">
        <v>141.5</v>
      </c>
      <c r="G522" s="72">
        <v>51.5</v>
      </c>
      <c r="H522" s="72">
        <v>54.38</v>
      </c>
      <c r="I522" s="72">
        <v>54.38</v>
      </c>
      <c r="J522" s="72">
        <v>532.74</v>
      </c>
      <c r="K522" s="72">
        <v>714.5</v>
      </c>
      <c r="L522" s="72">
        <v>714.5</v>
      </c>
      <c r="M522" s="72">
        <v>714.5</v>
      </c>
      <c r="N522" s="73">
        <v>304.5</v>
      </c>
      <c r="O522" s="73">
        <v>291.5</v>
      </c>
      <c r="P522" s="73">
        <v>0</v>
      </c>
      <c r="Q522" s="73">
        <v>0</v>
      </c>
      <c r="R522" s="50">
        <v>0</v>
      </c>
      <c r="S522" s="50">
        <v>0</v>
      </c>
      <c r="T522" s="66">
        <v>0</v>
      </c>
      <c r="U522" s="66" t="s">
        <v>685</v>
      </c>
      <c r="V522" s="66" t="s">
        <v>685</v>
      </c>
      <c r="W522" s="66">
        <v>0</v>
      </c>
      <c r="X522" s="66" t="s">
        <v>685</v>
      </c>
      <c r="Y522" s="66" t="s">
        <v>685</v>
      </c>
      <c r="Z522" s="66" t="s">
        <v>685</v>
      </c>
      <c r="AA522" s="66">
        <v>0</v>
      </c>
      <c r="AB522" s="66">
        <v>0</v>
      </c>
      <c r="AC522" s="66">
        <v>0</v>
      </c>
    </row>
    <row r="523" spans="1:29">
      <c r="A523" s="43" t="s">
        <v>464</v>
      </c>
      <c r="B523" s="43" t="s">
        <v>95</v>
      </c>
      <c r="F523" s="73">
        <v>11.53</v>
      </c>
      <c r="G523" s="73">
        <v>10.54</v>
      </c>
      <c r="H523" s="73">
        <v>11.21</v>
      </c>
      <c r="I523" s="73">
        <v>11.21</v>
      </c>
      <c r="J523" s="73">
        <v>0.61655000000000004</v>
      </c>
      <c r="K523" s="73">
        <v>3.0249999999999999</v>
      </c>
      <c r="L523" s="73">
        <v>11.99</v>
      </c>
      <c r="M523" s="73">
        <v>25.465</v>
      </c>
      <c r="N523" s="73">
        <v>28.538399999999999</v>
      </c>
      <c r="O523" s="73">
        <v>36.450150000000001</v>
      </c>
      <c r="P523" s="73">
        <v>39.044499999999999</v>
      </c>
      <c r="Q523" s="73">
        <f>(1272*0.055)+(250.1*0.11)</f>
        <v>97.470999999999989</v>
      </c>
      <c r="R523" s="50">
        <f>(1900*0.055)+(316.04*0.11)</f>
        <v>139.26439999999999</v>
      </c>
      <c r="S523" s="50">
        <f>(1802*0.055)+(298.19*0.11)</f>
        <v>131.9109</v>
      </c>
      <c r="T523" s="66">
        <f>(1200*0.055)+(710*0.11)</f>
        <v>144.1</v>
      </c>
      <c r="U523" s="66">
        <f>(1658.14*0.055)+(480*0.11)</f>
        <v>143.99770000000001</v>
      </c>
      <c r="V523" s="66">
        <f>(1585*0.055)+(320*0.11)</f>
        <v>122.375</v>
      </c>
      <c r="W523" s="66">
        <f>(1631*0.055)+(273.64*0.11)</f>
        <v>119.80539999999999</v>
      </c>
      <c r="X523" s="66">
        <f>(1560.45*0.055)+(295.73*0.11)</f>
        <v>118.35505000000001</v>
      </c>
      <c r="Y523" s="66">
        <f>(1557*0.055)+(291.35*0.11)</f>
        <v>117.68350000000001</v>
      </c>
      <c r="Z523" s="66">
        <f>(872.7*0.055)+(261.38*0.11)</f>
        <v>76.750299999999996</v>
      </c>
      <c r="AA523" s="66">
        <f>(871.85*0.055)+(260.9*0.11)</f>
        <v>76.650750000000002</v>
      </c>
      <c r="AB523" s="66">
        <f>(871.85*0.055)+(245.91*0.11)</f>
        <v>75.001850000000005</v>
      </c>
      <c r="AC523" s="66">
        <f>(871.85*0.055)+(245.91*0.11)</f>
        <v>75.001850000000005</v>
      </c>
    </row>
    <row r="524" spans="1:29">
      <c r="A524" s="43" t="s">
        <v>464</v>
      </c>
      <c r="B524" s="43" t="s">
        <v>825</v>
      </c>
      <c r="Q524" s="73">
        <v>0</v>
      </c>
      <c r="R524" s="50">
        <v>0</v>
      </c>
      <c r="S524" s="50">
        <v>0</v>
      </c>
      <c r="T524" s="66">
        <v>0</v>
      </c>
      <c r="U524" s="66">
        <v>0</v>
      </c>
      <c r="V524" s="66">
        <v>0</v>
      </c>
      <c r="W524" s="66">
        <v>0</v>
      </c>
      <c r="X524" s="66">
        <v>0</v>
      </c>
      <c r="Y524" s="66">
        <v>0</v>
      </c>
      <c r="Z524" s="66">
        <v>0</v>
      </c>
      <c r="AA524" s="66">
        <v>0</v>
      </c>
      <c r="AB524" s="66">
        <v>0</v>
      </c>
      <c r="AC524" s="66">
        <v>0</v>
      </c>
    </row>
    <row r="525" spans="1:29">
      <c r="A525" s="43" t="s">
        <v>464</v>
      </c>
      <c r="B525" s="43" t="s">
        <v>574</v>
      </c>
      <c r="F525" s="72">
        <v>0</v>
      </c>
      <c r="G525" s="72">
        <v>122.5</v>
      </c>
      <c r="H525" s="72">
        <v>129.61000000000001</v>
      </c>
      <c r="I525" s="72">
        <v>129.61000000000001</v>
      </c>
      <c r="J525" s="72">
        <v>77.766000000000005</v>
      </c>
      <c r="K525" s="72">
        <v>90</v>
      </c>
      <c r="L525" s="72">
        <v>96</v>
      </c>
      <c r="M525" s="72">
        <v>96</v>
      </c>
      <c r="N525" s="73">
        <v>72</v>
      </c>
      <c r="O525" s="73">
        <v>67.62</v>
      </c>
      <c r="P525" s="73">
        <v>51.72</v>
      </c>
      <c r="Q525" s="73">
        <f>50*0.6</f>
        <v>30</v>
      </c>
      <c r="R525" s="50">
        <v>0</v>
      </c>
      <c r="S525" s="50">
        <v>0</v>
      </c>
      <c r="T525" s="66">
        <v>0</v>
      </c>
      <c r="U525" s="66">
        <v>0</v>
      </c>
      <c r="V525" s="66">
        <v>0</v>
      </c>
      <c r="W525" s="66">
        <v>0</v>
      </c>
      <c r="X525" s="66">
        <v>0</v>
      </c>
      <c r="Y525" s="66">
        <v>0</v>
      </c>
      <c r="Z525" s="66">
        <v>0</v>
      </c>
      <c r="AA525" s="66">
        <v>0</v>
      </c>
      <c r="AB525" s="66">
        <v>0</v>
      </c>
      <c r="AC525" s="66">
        <v>0</v>
      </c>
    </row>
    <row r="526" spans="1:29">
      <c r="A526" s="43" t="s">
        <v>464</v>
      </c>
      <c r="B526" s="43" t="s">
        <v>535</v>
      </c>
      <c r="F526" s="72">
        <v>0</v>
      </c>
      <c r="G526" s="72">
        <v>0</v>
      </c>
      <c r="H526" s="72">
        <v>0</v>
      </c>
      <c r="I526" s="72">
        <v>0</v>
      </c>
      <c r="J526" s="72">
        <v>0</v>
      </c>
      <c r="K526" s="72">
        <v>0</v>
      </c>
      <c r="L526" s="72">
        <v>0</v>
      </c>
      <c r="M526" s="72">
        <v>0</v>
      </c>
      <c r="N526" s="73">
        <v>0</v>
      </c>
      <c r="O526" s="73">
        <v>0</v>
      </c>
      <c r="P526" s="73">
        <v>0</v>
      </c>
      <c r="Q526" s="73">
        <v>0</v>
      </c>
      <c r="R526" s="50">
        <v>0</v>
      </c>
      <c r="S526" s="50">
        <v>0</v>
      </c>
      <c r="T526" s="66">
        <v>0</v>
      </c>
      <c r="U526" s="66">
        <v>0</v>
      </c>
      <c r="V526" s="66">
        <v>0</v>
      </c>
      <c r="W526" s="66">
        <v>0</v>
      </c>
      <c r="X526" s="66">
        <v>0</v>
      </c>
      <c r="Y526" s="66">
        <v>0</v>
      </c>
      <c r="Z526" s="66">
        <v>0</v>
      </c>
      <c r="AA526" s="66">
        <v>0</v>
      </c>
      <c r="AB526" s="66">
        <v>0</v>
      </c>
      <c r="AC526" s="66">
        <v>0</v>
      </c>
    </row>
    <row r="527" spans="1:29" ht="12.6" customHeight="1">
      <c r="A527" s="43" t="s">
        <v>735</v>
      </c>
      <c r="B527" s="43" t="s">
        <v>752</v>
      </c>
      <c r="G527" s="72">
        <v>33.619999999999997</v>
      </c>
      <c r="H527" s="72">
        <v>12.54</v>
      </c>
      <c r="I527" s="72">
        <v>10.06</v>
      </c>
      <c r="J527" s="72">
        <v>7.8</v>
      </c>
      <c r="K527" s="72">
        <v>7.16</v>
      </c>
      <c r="M527" s="72">
        <v>7</v>
      </c>
      <c r="N527" s="73">
        <v>2.2999999999999998</v>
      </c>
      <c r="O527" s="73">
        <v>2.12</v>
      </c>
      <c r="P527" s="73">
        <v>0.8</v>
      </c>
      <c r="Q527" s="73">
        <v>0</v>
      </c>
      <c r="R527" s="50">
        <v>0</v>
      </c>
      <c r="S527" s="50">
        <v>0</v>
      </c>
      <c r="T527" s="66">
        <v>0</v>
      </c>
      <c r="U527" s="66">
        <v>0</v>
      </c>
      <c r="V527" s="66" t="s">
        <v>685</v>
      </c>
      <c r="W527" s="66" t="s">
        <v>685</v>
      </c>
      <c r="X527" s="66" t="s">
        <v>685</v>
      </c>
      <c r="Y527" s="66" t="s">
        <v>685</v>
      </c>
      <c r="Z527" s="66" t="s">
        <v>685</v>
      </c>
      <c r="AA527" s="66">
        <v>0</v>
      </c>
      <c r="AB527" s="66">
        <v>0</v>
      </c>
      <c r="AC527" s="66">
        <v>0</v>
      </c>
    </row>
    <row r="528" spans="1:29">
      <c r="A528" s="43" t="s">
        <v>735</v>
      </c>
      <c r="B528" s="43" t="s">
        <v>663</v>
      </c>
      <c r="G528" s="72">
        <v>0</v>
      </c>
      <c r="H528" s="72">
        <v>0</v>
      </c>
      <c r="I528" s="72">
        <v>0</v>
      </c>
      <c r="J528" s="72">
        <v>0</v>
      </c>
      <c r="K528" s="72">
        <v>0</v>
      </c>
      <c r="M528" s="72">
        <v>0</v>
      </c>
      <c r="N528" s="73">
        <v>0</v>
      </c>
      <c r="O528" s="73">
        <v>0</v>
      </c>
      <c r="P528" s="73">
        <v>0</v>
      </c>
      <c r="Q528" s="73">
        <v>0</v>
      </c>
      <c r="R528" s="50">
        <v>0</v>
      </c>
      <c r="S528" s="50">
        <v>0</v>
      </c>
      <c r="T528" s="66">
        <v>0</v>
      </c>
      <c r="U528" s="66">
        <v>0</v>
      </c>
      <c r="V528" s="66" t="s">
        <v>685</v>
      </c>
      <c r="W528" s="66" t="s">
        <v>685</v>
      </c>
      <c r="X528" s="66" t="s">
        <v>685</v>
      </c>
      <c r="Y528" s="66" t="s">
        <v>685</v>
      </c>
      <c r="Z528" s="66" t="s">
        <v>685</v>
      </c>
      <c r="AA528" s="66">
        <v>0</v>
      </c>
      <c r="AB528" s="66">
        <v>0</v>
      </c>
      <c r="AC528" s="66">
        <v>0</v>
      </c>
    </row>
    <row r="529" spans="1:29">
      <c r="A529" s="43" t="s">
        <v>735</v>
      </c>
      <c r="B529" s="43" t="s">
        <v>243</v>
      </c>
      <c r="G529" s="72">
        <v>0</v>
      </c>
      <c r="H529" s="72">
        <v>0</v>
      </c>
      <c r="I529" s="72">
        <v>0</v>
      </c>
      <c r="J529" s="72">
        <v>0</v>
      </c>
      <c r="K529" s="72">
        <v>0</v>
      </c>
      <c r="M529" s="72">
        <v>0</v>
      </c>
      <c r="N529" s="73">
        <v>0</v>
      </c>
      <c r="O529" s="73">
        <v>0</v>
      </c>
      <c r="P529" s="73">
        <v>0</v>
      </c>
      <c r="Q529" s="73">
        <v>0</v>
      </c>
      <c r="R529" s="50">
        <v>0</v>
      </c>
      <c r="S529" s="50">
        <v>0</v>
      </c>
      <c r="T529" s="66">
        <v>0</v>
      </c>
      <c r="U529" s="66">
        <v>0</v>
      </c>
      <c r="V529" s="66" t="s">
        <v>685</v>
      </c>
      <c r="W529" s="66" t="s">
        <v>685</v>
      </c>
      <c r="X529" s="66" t="s">
        <v>685</v>
      </c>
      <c r="Y529" s="66" t="s">
        <v>685</v>
      </c>
      <c r="Z529" s="66" t="s">
        <v>685</v>
      </c>
      <c r="AA529" s="66">
        <v>0</v>
      </c>
      <c r="AB529" s="66">
        <v>0</v>
      </c>
      <c r="AC529" s="66">
        <v>0</v>
      </c>
    </row>
    <row r="530" spans="1:29" ht="12.6" customHeight="1">
      <c r="A530" s="43" t="s">
        <v>735</v>
      </c>
      <c r="B530" s="43" t="s">
        <v>95</v>
      </c>
      <c r="G530" s="73">
        <v>8.8000000000000003E-4</v>
      </c>
      <c r="H530" s="73">
        <v>0.63800000000000001</v>
      </c>
      <c r="I530" s="73">
        <v>0.66</v>
      </c>
      <c r="J530" s="73">
        <v>0.58849999999999991</v>
      </c>
      <c r="K530" s="73">
        <v>0.55000000000000004</v>
      </c>
      <c r="M530" s="73">
        <v>2.6014999999999997</v>
      </c>
      <c r="N530" s="73">
        <v>1.70665</v>
      </c>
      <c r="O530" s="73">
        <v>2.0954999999999999</v>
      </c>
      <c r="P530" s="73">
        <v>2.2000000000000002</v>
      </c>
      <c r="Q530" s="73">
        <v>16.489999999999998</v>
      </c>
      <c r="R530" s="50">
        <f>206*0.055</f>
        <v>11.33</v>
      </c>
      <c r="S530" s="50">
        <f>300*0.055</f>
        <v>16.5</v>
      </c>
      <c r="T530" s="66">
        <f>290*0.055</f>
        <v>15.95</v>
      </c>
      <c r="U530" s="66">
        <f>290*0.055</f>
        <v>15.95</v>
      </c>
      <c r="V530" s="66">
        <f>278*0.055</f>
        <v>15.290000000000001</v>
      </c>
      <c r="W530" s="66">
        <f>255*0.055</f>
        <v>14.025</v>
      </c>
      <c r="X530" s="66">
        <f>215*0.055</f>
        <v>11.824999999999999</v>
      </c>
      <c r="Y530" s="66">
        <f>195*0.055</f>
        <v>10.725</v>
      </c>
      <c r="Z530" s="66">
        <f>189*0.055</f>
        <v>10.395</v>
      </c>
      <c r="AA530" s="66">
        <f>175*0.055</f>
        <v>9.625</v>
      </c>
      <c r="AB530" s="66">
        <f>100*0.055</f>
        <v>5.5</v>
      </c>
      <c r="AC530" s="66">
        <f>172*0.055</f>
        <v>9.4600000000000009</v>
      </c>
    </row>
    <row r="531" spans="1:29">
      <c r="A531" s="43" t="s">
        <v>735</v>
      </c>
      <c r="B531" s="43" t="s">
        <v>825</v>
      </c>
      <c r="Q531" s="73">
        <v>0</v>
      </c>
      <c r="R531" s="50">
        <v>0</v>
      </c>
      <c r="S531" s="50">
        <v>0</v>
      </c>
      <c r="T531" s="66">
        <v>0</v>
      </c>
      <c r="U531" s="66">
        <v>0</v>
      </c>
      <c r="V531" s="66">
        <v>0</v>
      </c>
      <c r="W531" s="66">
        <v>0</v>
      </c>
      <c r="X531" s="66">
        <v>0</v>
      </c>
      <c r="Y531" s="66">
        <v>0</v>
      </c>
      <c r="Z531" s="66">
        <v>0</v>
      </c>
      <c r="AA531" s="66">
        <v>0</v>
      </c>
      <c r="AB531" s="66">
        <v>0</v>
      </c>
      <c r="AC531" s="66">
        <v>0</v>
      </c>
    </row>
    <row r="532" spans="1:29">
      <c r="A532" s="43" t="s">
        <v>735</v>
      </c>
      <c r="B532" s="43" t="s">
        <v>574</v>
      </c>
      <c r="G532" s="72">
        <v>1.1399999999999999</v>
      </c>
      <c r="H532" s="72">
        <v>0.84</v>
      </c>
      <c r="I532" s="72">
        <v>0.78</v>
      </c>
      <c r="J532" s="72">
        <v>0.36</v>
      </c>
      <c r="K532" s="72">
        <v>0</v>
      </c>
      <c r="M532" s="72">
        <v>0</v>
      </c>
      <c r="N532" s="73">
        <v>0</v>
      </c>
      <c r="O532" s="73">
        <v>0</v>
      </c>
      <c r="P532" s="73">
        <v>0</v>
      </c>
      <c r="Q532" s="73">
        <v>0</v>
      </c>
      <c r="R532" s="50">
        <v>0</v>
      </c>
      <c r="S532" s="50">
        <v>0</v>
      </c>
      <c r="T532" s="66">
        <v>0</v>
      </c>
      <c r="U532" s="66">
        <v>0</v>
      </c>
      <c r="V532" s="66">
        <v>0</v>
      </c>
      <c r="W532" s="66">
        <v>0</v>
      </c>
      <c r="X532" s="66">
        <v>0</v>
      </c>
      <c r="Y532" s="66">
        <v>0</v>
      </c>
      <c r="Z532" s="66">
        <v>0</v>
      </c>
      <c r="AA532" s="66">
        <v>0</v>
      </c>
      <c r="AB532" s="66">
        <v>0</v>
      </c>
      <c r="AC532" s="66">
        <v>0</v>
      </c>
    </row>
    <row r="533" spans="1:29">
      <c r="A533" s="43" t="s">
        <v>735</v>
      </c>
      <c r="B533" s="43" t="s">
        <v>535</v>
      </c>
      <c r="G533" s="72">
        <v>0</v>
      </c>
      <c r="H533" s="72">
        <v>0</v>
      </c>
      <c r="I533" s="72">
        <v>0</v>
      </c>
      <c r="J533" s="72">
        <v>0</v>
      </c>
      <c r="K533" s="72">
        <v>0</v>
      </c>
      <c r="M533" s="72">
        <v>0</v>
      </c>
      <c r="N533" s="73">
        <v>0</v>
      </c>
      <c r="O533" s="73">
        <v>0</v>
      </c>
      <c r="P533" s="73">
        <v>0</v>
      </c>
      <c r="Q533" s="73">
        <v>0</v>
      </c>
      <c r="R533" s="50">
        <v>0</v>
      </c>
      <c r="S533" s="50">
        <v>0</v>
      </c>
      <c r="T533" s="66">
        <v>0</v>
      </c>
      <c r="U533" s="66">
        <v>0</v>
      </c>
      <c r="V533" s="66">
        <v>0</v>
      </c>
      <c r="W533" s="66">
        <v>0</v>
      </c>
      <c r="X533" s="66">
        <v>0</v>
      </c>
      <c r="Y533" s="66">
        <v>0</v>
      </c>
      <c r="Z533" s="66">
        <v>0</v>
      </c>
      <c r="AA533" s="66">
        <v>0</v>
      </c>
      <c r="AB533" s="66">
        <v>0</v>
      </c>
      <c r="AC533" s="66">
        <v>0</v>
      </c>
    </row>
    <row r="534" spans="1:29">
      <c r="A534" s="43" t="s">
        <v>679</v>
      </c>
      <c r="B534" s="43" t="s">
        <v>752</v>
      </c>
      <c r="C534" s="72">
        <v>61.5</v>
      </c>
      <c r="D534" s="72">
        <v>55.8</v>
      </c>
      <c r="E534" s="72">
        <v>36.6</v>
      </c>
      <c r="F534" s="72">
        <v>38</v>
      </c>
      <c r="G534" s="72">
        <v>50.4</v>
      </c>
      <c r="H534" s="72">
        <v>21.5</v>
      </c>
      <c r="I534" s="72">
        <v>19</v>
      </c>
      <c r="J534" s="72">
        <v>19</v>
      </c>
      <c r="K534" s="72">
        <v>18.71</v>
      </c>
      <c r="L534" s="72">
        <v>11.42</v>
      </c>
      <c r="N534" s="73">
        <v>3.5919999999999996</v>
      </c>
      <c r="O534" s="73">
        <v>2.34</v>
      </c>
      <c r="P534" s="73">
        <v>0</v>
      </c>
      <c r="Q534" s="73">
        <v>0</v>
      </c>
      <c r="R534" s="50">
        <v>0</v>
      </c>
      <c r="S534" s="50">
        <v>0</v>
      </c>
      <c r="T534" s="66" t="s">
        <v>685</v>
      </c>
      <c r="U534" s="66" t="s">
        <v>685</v>
      </c>
      <c r="V534" s="66" t="s">
        <v>685</v>
      </c>
      <c r="W534" s="66" t="s">
        <v>685</v>
      </c>
      <c r="X534" s="66" t="s">
        <v>685</v>
      </c>
      <c r="Y534" s="66" t="s">
        <v>685</v>
      </c>
      <c r="Z534" s="66" t="s">
        <v>685</v>
      </c>
      <c r="AA534" s="66">
        <v>0</v>
      </c>
      <c r="AB534" s="66">
        <v>0</v>
      </c>
      <c r="AC534" s="66">
        <v>0</v>
      </c>
    </row>
    <row r="535" spans="1:29">
      <c r="A535" s="43" t="s">
        <v>679</v>
      </c>
      <c r="B535" s="43" t="s">
        <v>663</v>
      </c>
      <c r="C535" s="72">
        <v>0</v>
      </c>
      <c r="D535" s="72">
        <v>0</v>
      </c>
      <c r="E535" s="72">
        <v>0</v>
      </c>
      <c r="F535" s="72">
        <v>0</v>
      </c>
      <c r="G535" s="72">
        <v>0</v>
      </c>
      <c r="H535" s="72">
        <v>0</v>
      </c>
      <c r="I535" s="72">
        <v>0</v>
      </c>
      <c r="J535" s="72">
        <v>0</v>
      </c>
      <c r="K535" s="72">
        <v>0</v>
      </c>
      <c r="L535" s="72">
        <v>0</v>
      </c>
      <c r="N535" s="73">
        <v>0</v>
      </c>
      <c r="O535" s="73">
        <v>0</v>
      </c>
      <c r="P535" s="73">
        <v>0</v>
      </c>
      <c r="Q535" s="73">
        <v>0</v>
      </c>
      <c r="R535" s="50">
        <v>0</v>
      </c>
      <c r="S535" s="50">
        <v>0</v>
      </c>
      <c r="T535" s="66" t="s">
        <v>685</v>
      </c>
      <c r="U535" s="66" t="s">
        <v>685</v>
      </c>
      <c r="V535" s="66" t="s">
        <v>685</v>
      </c>
      <c r="W535" s="66" t="s">
        <v>685</v>
      </c>
      <c r="X535" s="66" t="s">
        <v>685</v>
      </c>
      <c r="Y535" s="66" t="s">
        <v>685</v>
      </c>
      <c r="Z535" s="66" t="s">
        <v>685</v>
      </c>
      <c r="AA535" s="66">
        <v>0</v>
      </c>
      <c r="AB535" s="66">
        <v>0</v>
      </c>
      <c r="AC535" s="66">
        <v>0</v>
      </c>
    </row>
    <row r="536" spans="1:29">
      <c r="A536" s="43" t="s">
        <v>679</v>
      </c>
      <c r="B536" s="43" t="s">
        <v>243</v>
      </c>
      <c r="C536" s="72">
        <v>0</v>
      </c>
      <c r="D536" s="72">
        <v>0</v>
      </c>
      <c r="E536" s="72">
        <v>0</v>
      </c>
      <c r="F536" s="72">
        <v>0</v>
      </c>
      <c r="G536" s="72">
        <v>0</v>
      </c>
      <c r="H536" s="72">
        <v>0</v>
      </c>
      <c r="I536" s="72">
        <v>0</v>
      </c>
      <c r="J536" s="72">
        <v>0</v>
      </c>
      <c r="K536" s="72">
        <v>0</v>
      </c>
      <c r="L536" s="72">
        <v>0</v>
      </c>
      <c r="N536" s="73">
        <v>0</v>
      </c>
      <c r="O536" s="73">
        <v>0</v>
      </c>
      <c r="P536" s="73">
        <v>0</v>
      </c>
      <c r="Q536" s="73">
        <v>0</v>
      </c>
      <c r="R536" s="50">
        <v>0</v>
      </c>
      <c r="S536" s="50">
        <v>0</v>
      </c>
      <c r="T536" s="66" t="s">
        <v>685</v>
      </c>
      <c r="U536" s="66" t="s">
        <v>685</v>
      </c>
      <c r="V536" s="66" t="s">
        <v>685</v>
      </c>
      <c r="W536" s="66" t="s">
        <v>685</v>
      </c>
      <c r="X536" s="66" t="s">
        <v>685</v>
      </c>
      <c r="Y536" s="66" t="s">
        <v>685</v>
      </c>
      <c r="Z536" s="66" t="s">
        <v>685</v>
      </c>
      <c r="AA536" s="66">
        <v>0</v>
      </c>
      <c r="AB536" s="66">
        <v>0</v>
      </c>
      <c r="AC536" s="66">
        <v>0</v>
      </c>
    </row>
    <row r="537" spans="1:29">
      <c r="A537" s="43" t="s">
        <v>679</v>
      </c>
      <c r="B537" s="43" t="s">
        <v>95</v>
      </c>
      <c r="C537" s="73">
        <v>0.48400000000000004</v>
      </c>
      <c r="D537" s="73">
        <v>0.55000000000000004</v>
      </c>
      <c r="E537" s="73">
        <v>1.9469999999999998</v>
      </c>
      <c r="F537" s="73">
        <v>1.43</v>
      </c>
      <c r="G537" s="73">
        <v>1.1000000000000001</v>
      </c>
      <c r="H537" s="73">
        <v>1.02355</v>
      </c>
      <c r="I537" s="73">
        <v>1.02355</v>
      </c>
      <c r="J537" s="73">
        <v>1.02355</v>
      </c>
      <c r="K537" s="73">
        <v>1.1093500000000001</v>
      </c>
      <c r="L537" s="73">
        <v>0.72325000000000006</v>
      </c>
      <c r="N537" s="73">
        <v>2.9645000000000001</v>
      </c>
      <c r="O537" s="73">
        <v>2.7719999999999998</v>
      </c>
      <c r="P537" s="73">
        <v>6.7210000000000001</v>
      </c>
      <c r="Q537" s="73">
        <v>8.5579999999999998</v>
      </c>
      <c r="R537" s="50">
        <f>237*0.055</f>
        <v>13.035</v>
      </c>
      <c r="S537" s="50">
        <f>231*0.055</f>
        <v>12.705</v>
      </c>
      <c r="T537" s="66">
        <f>(228*0.055)</f>
        <v>12.540000000000001</v>
      </c>
      <c r="U537" s="66">
        <f>185*0.055</f>
        <v>10.175000000000001</v>
      </c>
      <c r="V537" s="66">
        <f>170*0.055</f>
        <v>9.35</v>
      </c>
      <c r="W537" s="66">
        <f>162*0.055</f>
        <v>8.91</v>
      </c>
      <c r="X537" s="66">
        <f>149.6*0.055</f>
        <v>8.2279999999999998</v>
      </c>
      <c r="Y537" s="66">
        <f>128.8*0.055</f>
        <v>7.0840000000000005</v>
      </c>
      <c r="Z537" s="66">
        <f>101.2*0.055</f>
        <v>5.5659999999999998</v>
      </c>
      <c r="AA537" s="66">
        <f>89.9*0.055</f>
        <v>4.9445000000000006</v>
      </c>
      <c r="AB537" s="66">
        <f>60.5*0.055</f>
        <v>3.3275000000000001</v>
      </c>
      <c r="AC537" s="66">
        <f>51.2*0.055</f>
        <v>2.8160000000000003</v>
      </c>
    </row>
    <row r="538" spans="1:29">
      <c r="A538" s="43" t="s">
        <v>679</v>
      </c>
      <c r="B538" s="43" t="s">
        <v>825</v>
      </c>
      <c r="Q538" s="73">
        <v>0</v>
      </c>
      <c r="R538" s="50">
        <v>0</v>
      </c>
      <c r="S538" s="50">
        <v>0</v>
      </c>
      <c r="T538" s="66">
        <v>0</v>
      </c>
      <c r="U538" s="66">
        <v>0</v>
      </c>
      <c r="V538" s="66">
        <v>0</v>
      </c>
      <c r="W538" s="66">
        <v>0</v>
      </c>
      <c r="X538" s="66">
        <v>0</v>
      </c>
      <c r="Y538" s="66">
        <v>0</v>
      </c>
      <c r="Z538" s="66">
        <v>0</v>
      </c>
      <c r="AA538" s="66">
        <v>0</v>
      </c>
      <c r="AB538" s="66">
        <v>0</v>
      </c>
      <c r="AC538" s="66">
        <v>0</v>
      </c>
    </row>
    <row r="539" spans="1:29">
      <c r="A539" s="43" t="s">
        <v>679</v>
      </c>
      <c r="B539" s="43" t="s">
        <v>574</v>
      </c>
      <c r="C539" s="72">
        <v>98.16</v>
      </c>
      <c r="D539" s="72">
        <v>124.8</v>
      </c>
      <c r="E539" s="72">
        <v>102</v>
      </c>
      <c r="F539" s="72">
        <v>126</v>
      </c>
      <c r="G539" s="72">
        <v>129</v>
      </c>
      <c r="H539" s="72">
        <v>79.2</v>
      </c>
      <c r="I539" s="72">
        <v>67.95</v>
      </c>
      <c r="J539" s="72">
        <v>55.41</v>
      </c>
      <c r="K539" s="72">
        <v>41.1</v>
      </c>
      <c r="L539" s="72">
        <v>0</v>
      </c>
      <c r="N539" s="73">
        <v>0</v>
      </c>
      <c r="O539" s="73">
        <v>0</v>
      </c>
      <c r="P539" s="73">
        <v>0</v>
      </c>
      <c r="Q539" s="73">
        <v>0</v>
      </c>
      <c r="R539" s="50">
        <v>0</v>
      </c>
      <c r="S539" s="50">
        <v>0</v>
      </c>
      <c r="T539" s="66">
        <v>0</v>
      </c>
      <c r="U539" s="66">
        <v>0</v>
      </c>
      <c r="V539" s="66">
        <v>0</v>
      </c>
      <c r="W539" s="66">
        <v>0</v>
      </c>
      <c r="X539" s="66">
        <v>0</v>
      </c>
      <c r="Y539" s="66">
        <v>0</v>
      </c>
      <c r="Z539" s="66">
        <v>0</v>
      </c>
      <c r="AA539" s="66">
        <v>0</v>
      </c>
      <c r="AB539" s="66">
        <v>0</v>
      </c>
      <c r="AC539" s="66">
        <v>0</v>
      </c>
    </row>
    <row r="540" spans="1:29">
      <c r="A540" s="43" t="s">
        <v>679</v>
      </c>
      <c r="B540" s="43" t="s">
        <v>535</v>
      </c>
      <c r="C540" s="72">
        <v>0</v>
      </c>
      <c r="D540" s="72">
        <v>0</v>
      </c>
      <c r="E540" s="72">
        <v>0</v>
      </c>
      <c r="F540" s="72">
        <v>0</v>
      </c>
      <c r="G540" s="72">
        <v>0</v>
      </c>
      <c r="H540" s="72">
        <v>0</v>
      </c>
      <c r="I540" s="72">
        <v>0</v>
      </c>
      <c r="J540" s="72">
        <v>0</v>
      </c>
      <c r="K540" s="72">
        <v>0</v>
      </c>
      <c r="L540" s="72">
        <v>0</v>
      </c>
      <c r="N540" s="73">
        <v>0</v>
      </c>
      <c r="O540" s="73">
        <v>0</v>
      </c>
      <c r="P540" s="73">
        <v>0</v>
      </c>
      <c r="Q540" s="73">
        <v>0</v>
      </c>
      <c r="R540" s="50">
        <v>0</v>
      </c>
      <c r="S540" s="50">
        <v>0</v>
      </c>
      <c r="T540" s="66">
        <v>0</v>
      </c>
      <c r="U540" s="66">
        <v>0</v>
      </c>
      <c r="V540" s="66">
        <v>0</v>
      </c>
      <c r="W540" s="66">
        <v>0</v>
      </c>
      <c r="X540" s="66">
        <v>0</v>
      </c>
      <c r="Y540" s="66">
        <v>0</v>
      </c>
      <c r="Z540" s="66">
        <v>0</v>
      </c>
      <c r="AA540" s="66">
        <v>0</v>
      </c>
      <c r="AB540" s="66">
        <v>0</v>
      </c>
      <c r="AC540" s="66">
        <v>0</v>
      </c>
    </row>
    <row r="541" spans="1:29">
      <c r="A541" s="43" t="s">
        <v>736</v>
      </c>
      <c r="B541" s="43" t="s">
        <v>752</v>
      </c>
      <c r="C541" s="72">
        <v>3426.59</v>
      </c>
      <c r="D541" s="72">
        <v>3038.1</v>
      </c>
      <c r="E541" s="72">
        <v>3349.45</v>
      </c>
      <c r="F541" s="72">
        <v>2333.6999999999998</v>
      </c>
      <c r="G541" s="72">
        <v>2010.2</v>
      </c>
      <c r="H541" s="72">
        <v>1979.82</v>
      </c>
      <c r="I541" s="72">
        <v>1909.41</v>
      </c>
      <c r="J541" s="72">
        <v>1605.53</v>
      </c>
      <c r="K541" s="72">
        <v>1174.396</v>
      </c>
      <c r="L541" s="72">
        <v>1115.5429999999999</v>
      </c>
      <c r="M541" s="72">
        <v>661.53420000000006</v>
      </c>
      <c r="N541" s="73">
        <v>564.23199999999997</v>
      </c>
      <c r="O541" s="73">
        <v>234.16399999999999</v>
      </c>
      <c r="P541" s="73">
        <v>173.67599999999999</v>
      </c>
      <c r="Q541" s="73">
        <v>105.20099999999999</v>
      </c>
      <c r="R541" s="50">
        <v>0</v>
      </c>
      <c r="S541" s="50">
        <v>0</v>
      </c>
      <c r="T541" s="66" t="s">
        <v>685</v>
      </c>
      <c r="U541" s="66" t="s">
        <v>685</v>
      </c>
      <c r="V541" s="66" t="s">
        <v>685</v>
      </c>
      <c r="W541" s="66" t="s">
        <v>685</v>
      </c>
      <c r="X541" s="66" t="s">
        <v>685</v>
      </c>
      <c r="Y541" s="66" t="s">
        <v>685</v>
      </c>
      <c r="Z541" s="66" t="s">
        <v>685</v>
      </c>
      <c r="AA541" s="66">
        <v>0</v>
      </c>
      <c r="AB541" s="66">
        <v>0</v>
      </c>
      <c r="AC541" s="66">
        <v>0</v>
      </c>
    </row>
    <row r="542" spans="1:29">
      <c r="A542" s="43" t="s">
        <v>736</v>
      </c>
      <c r="B542" s="43" t="s">
        <v>663</v>
      </c>
      <c r="C542" s="72">
        <v>0</v>
      </c>
      <c r="D542" s="72">
        <v>0</v>
      </c>
      <c r="E542" s="72">
        <v>0.35199999999999998</v>
      </c>
      <c r="F542" s="72">
        <v>0.88</v>
      </c>
      <c r="G542" s="72">
        <v>0</v>
      </c>
      <c r="H542" s="72">
        <v>12.65</v>
      </c>
      <c r="I542" s="72">
        <v>0</v>
      </c>
      <c r="J542" s="72">
        <v>0</v>
      </c>
      <c r="K542" s="72">
        <v>0</v>
      </c>
      <c r="L542" s="72">
        <v>0</v>
      </c>
      <c r="M542" s="72">
        <v>0</v>
      </c>
      <c r="N542" s="73">
        <v>0</v>
      </c>
      <c r="O542" s="73">
        <v>0</v>
      </c>
      <c r="P542" s="73">
        <v>0</v>
      </c>
      <c r="Q542" s="73">
        <v>0</v>
      </c>
      <c r="R542" s="50">
        <v>0</v>
      </c>
      <c r="S542" s="50">
        <v>0</v>
      </c>
      <c r="T542" s="66" t="s">
        <v>685</v>
      </c>
      <c r="U542" s="66" t="s">
        <v>685</v>
      </c>
      <c r="V542" s="66" t="s">
        <v>685</v>
      </c>
      <c r="W542" s="66" t="s">
        <v>685</v>
      </c>
      <c r="X542" s="66" t="s">
        <v>685</v>
      </c>
      <c r="Y542" s="66" t="s">
        <v>685</v>
      </c>
      <c r="Z542" s="66" t="s">
        <v>685</v>
      </c>
      <c r="AA542" s="66">
        <v>0</v>
      </c>
      <c r="AB542" s="66">
        <v>0</v>
      </c>
      <c r="AC542" s="66">
        <v>0</v>
      </c>
    </row>
    <row r="543" spans="1:29">
      <c r="A543" s="43" t="s">
        <v>736</v>
      </c>
      <c r="B543" s="43" t="s">
        <v>243</v>
      </c>
      <c r="C543" s="72">
        <v>24</v>
      </c>
      <c r="D543" s="72">
        <v>0</v>
      </c>
      <c r="E543" s="72">
        <v>0</v>
      </c>
      <c r="F543" s="72">
        <v>0</v>
      </c>
      <c r="G543" s="72">
        <v>0</v>
      </c>
      <c r="H543" s="72">
        <v>0</v>
      </c>
      <c r="I543" s="72">
        <v>0</v>
      </c>
      <c r="J543" s="72">
        <v>20</v>
      </c>
      <c r="K543" s="72">
        <v>0</v>
      </c>
      <c r="L543" s="72">
        <v>0</v>
      </c>
      <c r="M543" s="72">
        <v>0</v>
      </c>
      <c r="N543" s="73">
        <v>0</v>
      </c>
      <c r="O543" s="73">
        <v>0</v>
      </c>
      <c r="P543" s="73">
        <v>0</v>
      </c>
      <c r="Q543" s="73">
        <v>0</v>
      </c>
      <c r="R543" s="50">
        <v>0</v>
      </c>
      <c r="S543" s="50">
        <v>0</v>
      </c>
      <c r="T543" s="66" t="s">
        <v>685</v>
      </c>
      <c r="U543" s="66" t="s">
        <v>685</v>
      </c>
      <c r="V543" s="66" t="s">
        <v>685</v>
      </c>
      <c r="W543" s="66" t="s">
        <v>685</v>
      </c>
      <c r="X543" s="66" t="s">
        <v>685</v>
      </c>
      <c r="Y543" s="66" t="s">
        <v>685</v>
      </c>
      <c r="Z543" s="66" t="s">
        <v>685</v>
      </c>
      <c r="AA543" s="66">
        <v>0</v>
      </c>
      <c r="AB543" s="66">
        <f>300*10</f>
        <v>3000</v>
      </c>
      <c r="AC543" s="66">
        <v>0</v>
      </c>
    </row>
    <row r="544" spans="1:29">
      <c r="A544" s="43" t="s">
        <v>736</v>
      </c>
      <c r="B544" s="43" t="s">
        <v>95</v>
      </c>
      <c r="C544" s="73">
        <v>0</v>
      </c>
      <c r="D544" s="73">
        <v>0</v>
      </c>
      <c r="E544" s="73">
        <v>231.02009999999999</v>
      </c>
      <c r="F544" s="73">
        <v>268.08460000000002</v>
      </c>
      <c r="G544" s="73">
        <v>256.67849999999999</v>
      </c>
      <c r="H544" s="73">
        <v>330.87635</v>
      </c>
      <c r="I544" s="73">
        <v>320.14679999999998</v>
      </c>
      <c r="J544" s="73">
        <v>336.78295000000003</v>
      </c>
      <c r="K544" s="73">
        <v>2524.2733999999996</v>
      </c>
      <c r="L544" s="73">
        <v>331.90359999999998</v>
      </c>
      <c r="M544" s="73">
        <v>359.95639499999999</v>
      </c>
      <c r="N544" s="73">
        <v>383.69362600000005</v>
      </c>
      <c r="O544" s="73">
        <v>413.71437199999997</v>
      </c>
      <c r="P544" s="73">
        <v>383.53705500000001</v>
      </c>
      <c r="Q544" s="73">
        <v>494.03680000000003</v>
      </c>
      <c r="R544" s="50">
        <f>(6455.587*0.055)+(1620.21*0.11)+(20*0.065)+(45.306*0.02)+(1.55*0.07)</f>
        <v>535.59500500000001</v>
      </c>
      <c r="S544" s="50">
        <f>((6167.26-162)*0.055)+(1242.06*0.11)+(1.8*0.065)+((33.7-18.63)*0.02)+(1.08*0.07)</f>
        <v>467.40990000000005</v>
      </c>
      <c r="T544" s="66">
        <f>((7635.03-107.51)*0.055)+((2869.16-6.76)*0.11)+((64.29-34.8)*0.02)+(1.18*0.07)</f>
        <v>729.55</v>
      </c>
      <c r="U544" s="66">
        <f>((5355.2-68.554)*0.055)+((1321.045-2)*0.11)+(86.74*0.065)+((14.951-13.62)*0.02)+(0.58*0.07)</f>
        <v>441.56580000000002</v>
      </c>
      <c r="V544" s="66">
        <f>((5963.03-49.28)*0.055)+(1239.97*0.11)+(4.47*0.065)+((91.63-18.7)*0.02)</f>
        <v>463.40210000000002</v>
      </c>
      <c r="W544" s="66">
        <f>((5454.56-29.28)*0.055)+(1079.04*0.11)+(65.48*0.02)+(1.52*0.07)</f>
        <v>418.50080000000008</v>
      </c>
      <c r="X544" s="66">
        <f>((4583.643-20.7648)*0.055)+(605.675*0.11)+((68.848-8.7168)*0.02)+(1.49*0.07)</f>
        <v>318.889475</v>
      </c>
      <c r="Y544" s="66">
        <f>((3243.3987-29.812)*0.055)+((529.3294-0.544)*0.11)+(36.6835*0.02)+(1.95*0.07)</f>
        <v>235.78383250000002</v>
      </c>
      <c r="Z544" s="66">
        <f>((3639.85-32.13)*0.055)+((441.74-0.136)*0.11)+(64.58*0.02)+((1.93)*0.07)</f>
        <v>248.42773999999997</v>
      </c>
      <c r="AA544" s="66">
        <f>((3272.897-33.367)*0.055)+((323.623-0.136)*0.11)+(21.792*0.02)+(0.295*0.025)+(0.295*0.033)</f>
        <v>214.21067000000002</v>
      </c>
      <c r="AB544" s="66">
        <f>((3687.4-8.16)*0.055)+((235.21-0.08)*0.11)+((15.27-5.45)*0.02)+(0.05*0.07)</f>
        <v>228.42240000000004</v>
      </c>
      <c r="AC544" s="66">
        <f>((3020.951-0.068)*0.055)+((135.306-0.082)*0.11)+(27.058*0.02)</f>
        <v>181.56436499999998</v>
      </c>
    </row>
    <row r="545" spans="1:29">
      <c r="A545" s="43" t="s">
        <v>736</v>
      </c>
      <c r="B545" s="43" t="s">
        <v>825</v>
      </c>
      <c r="Q545" s="73">
        <v>0</v>
      </c>
      <c r="R545" s="50">
        <v>0</v>
      </c>
      <c r="S545" s="50">
        <v>0</v>
      </c>
      <c r="T545" s="66">
        <v>0</v>
      </c>
      <c r="U545" s="66">
        <v>0</v>
      </c>
      <c r="V545" s="66">
        <v>0</v>
      </c>
      <c r="W545" s="66">
        <v>0</v>
      </c>
      <c r="X545" s="66">
        <v>0</v>
      </c>
      <c r="Y545" s="66">
        <v>0</v>
      </c>
      <c r="Z545" s="66">
        <v>0</v>
      </c>
      <c r="AA545" s="66">
        <v>0</v>
      </c>
      <c r="AB545" s="66">
        <v>0</v>
      </c>
      <c r="AC545" s="66">
        <v>0</v>
      </c>
    </row>
    <row r="546" spans="1:29">
      <c r="A546" s="43" t="s">
        <v>736</v>
      </c>
      <c r="B546" s="43" t="s">
        <v>574</v>
      </c>
      <c r="C546" s="72">
        <v>22.89</v>
      </c>
      <c r="D546" s="72">
        <v>24.93</v>
      </c>
      <c r="E546" s="72">
        <v>27.8</v>
      </c>
      <c r="F546" s="72">
        <v>36.31</v>
      </c>
      <c r="G546" s="72">
        <v>56.04</v>
      </c>
      <c r="H546" s="72">
        <v>60.6</v>
      </c>
      <c r="I546" s="72">
        <v>72.22</v>
      </c>
      <c r="J546" s="72">
        <v>115.77</v>
      </c>
      <c r="K546" s="72">
        <v>99.756</v>
      </c>
      <c r="L546" s="72">
        <v>0</v>
      </c>
      <c r="M546" s="72">
        <v>74.268600000000006</v>
      </c>
      <c r="N546" s="73">
        <v>0</v>
      </c>
      <c r="O546" s="73">
        <v>10.518000000000001</v>
      </c>
      <c r="P546" s="73">
        <v>8.1839999999999993</v>
      </c>
      <c r="Q546" s="73">
        <v>0</v>
      </c>
      <c r="R546" s="50">
        <f>8.78*0.6</f>
        <v>5.2679999999999998</v>
      </c>
      <c r="S546" s="50">
        <f>5.87*0.6</f>
        <v>3.5219999999999998</v>
      </c>
      <c r="T546" s="66">
        <f>4.03*0.6</f>
        <v>2.4180000000000001</v>
      </c>
      <c r="U546" s="66">
        <v>0</v>
      </c>
      <c r="V546" s="66">
        <f>11.47*0.6</f>
        <v>6.8820000000000006</v>
      </c>
      <c r="W546" s="66">
        <v>0</v>
      </c>
      <c r="X546" s="66">
        <v>0</v>
      </c>
      <c r="Y546" s="66">
        <v>0</v>
      </c>
      <c r="Z546" s="66">
        <v>0</v>
      </c>
      <c r="AA546" s="66">
        <v>0</v>
      </c>
      <c r="AB546" s="66">
        <v>0</v>
      </c>
      <c r="AC546" s="66">
        <v>0</v>
      </c>
    </row>
    <row r="547" spans="1:29">
      <c r="A547" s="43" t="s">
        <v>736</v>
      </c>
      <c r="B547" s="43" t="s">
        <v>535</v>
      </c>
      <c r="C547" s="72">
        <v>0</v>
      </c>
      <c r="D547" s="72">
        <v>0</v>
      </c>
      <c r="E547" s="72">
        <v>36.29</v>
      </c>
      <c r="F547" s="72">
        <v>21.37</v>
      </c>
      <c r="G547" s="72">
        <v>76.069999999999993</v>
      </c>
      <c r="H547" s="72">
        <v>51.05</v>
      </c>
      <c r="I547" s="72">
        <v>35</v>
      </c>
      <c r="J547" s="72">
        <v>12.917</v>
      </c>
      <c r="K547" s="72">
        <v>11.436</v>
      </c>
      <c r="L547" s="72">
        <v>11.38</v>
      </c>
      <c r="M547" s="72">
        <v>6.1769999999999996</v>
      </c>
      <c r="N547" s="73">
        <v>5.14</v>
      </c>
      <c r="O547" s="73">
        <v>5.7720000000000002</v>
      </c>
      <c r="P547" s="73">
        <v>5.7720000000000002</v>
      </c>
      <c r="Q547" s="73">
        <f>19.24*0.1</f>
        <v>1.9239999999999999</v>
      </c>
      <c r="R547" s="50">
        <v>0</v>
      </c>
      <c r="S547" s="50">
        <v>0</v>
      </c>
      <c r="T547" s="66">
        <v>0</v>
      </c>
      <c r="U547" s="66">
        <v>0</v>
      </c>
      <c r="V547" s="66">
        <v>0</v>
      </c>
      <c r="W547" s="66">
        <v>0</v>
      </c>
      <c r="X547" s="66">
        <v>0</v>
      </c>
      <c r="Y547" s="66">
        <v>0</v>
      </c>
      <c r="Z547" s="66">
        <v>0</v>
      </c>
      <c r="AA547" s="66">
        <v>0</v>
      </c>
      <c r="AB547" s="66">
        <v>0</v>
      </c>
      <c r="AC547" s="66">
        <v>0</v>
      </c>
    </row>
    <row r="548" spans="1:29">
      <c r="A548" s="43" t="s">
        <v>676</v>
      </c>
      <c r="B548" s="43" t="s">
        <v>752</v>
      </c>
      <c r="K548" s="72">
        <v>0</v>
      </c>
      <c r="N548" s="73">
        <v>2.1</v>
      </c>
      <c r="O548" s="73">
        <v>0</v>
      </c>
      <c r="P548" s="73">
        <v>0</v>
      </c>
      <c r="Q548" s="73">
        <v>0</v>
      </c>
      <c r="R548" s="50">
        <v>0</v>
      </c>
      <c r="S548" s="50">
        <v>0</v>
      </c>
      <c r="T548" s="66" t="s">
        <v>685</v>
      </c>
      <c r="U548" s="66" t="s">
        <v>685</v>
      </c>
      <c r="V548" s="66" t="s">
        <v>685</v>
      </c>
      <c r="W548" s="66" t="s">
        <v>685</v>
      </c>
      <c r="X548" s="66" t="s">
        <v>685</v>
      </c>
      <c r="Y548" s="66" t="s">
        <v>685</v>
      </c>
      <c r="Z548" s="66" t="s">
        <v>685</v>
      </c>
      <c r="AA548" s="66">
        <v>0</v>
      </c>
      <c r="AB548" s="66">
        <v>0</v>
      </c>
      <c r="AC548" s="66">
        <v>0</v>
      </c>
    </row>
    <row r="549" spans="1:29">
      <c r="A549" s="43" t="s">
        <v>676</v>
      </c>
      <c r="B549" s="43" t="s">
        <v>663</v>
      </c>
      <c r="K549" s="72">
        <v>0</v>
      </c>
      <c r="N549" s="73">
        <v>0</v>
      </c>
      <c r="O549" s="73">
        <v>0</v>
      </c>
      <c r="P549" s="73">
        <v>0</v>
      </c>
      <c r="Q549" s="73">
        <v>0</v>
      </c>
      <c r="R549" s="50">
        <v>0</v>
      </c>
      <c r="S549" s="50">
        <v>0</v>
      </c>
      <c r="T549" s="66" t="s">
        <v>685</v>
      </c>
      <c r="U549" s="66" t="s">
        <v>685</v>
      </c>
      <c r="V549" s="66" t="s">
        <v>685</v>
      </c>
      <c r="W549" s="66" t="s">
        <v>685</v>
      </c>
      <c r="X549" s="66" t="s">
        <v>685</v>
      </c>
      <c r="Y549" s="66" t="s">
        <v>685</v>
      </c>
      <c r="Z549" s="66" t="s">
        <v>685</v>
      </c>
      <c r="AA549" s="66">
        <v>0</v>
      </c>
      <c r="AB549" s="66">
        <v>0</v>
      </c>
      <c r="AC549" s="66">
        <v>0</v>
      </c>
    </row>
    <row r="550" spans="1:29">
      <c r="A550" s="43" t="s">
        <v>676</v>
      </c>
      <c r="B550" s="43" t="s">
        <v>243</v>
      </c>
      <c r="K550" s="72">
        <v>0</v>
      </c>
      <c r="N550" s="73">
        <v>0</v>
      </c>
      <c r="O550" s="73">
        <v>0</v>
      </c>
      <c r="P550" s="73">
        <v>0</v>
      </c>
      <c r="Q550" s="73">
        <v>0</v>
      </c>
      <c r="R550" s="50">
        <v>0</v>
      </c>
      <c r="S550" s="50">
        <v>0</v>
      </c>
      <c r="T550" s="66" t="s">
        <v>685</v>
      </c>
      <c r="U550" s="66" t="s">
        <v>685</v>
      </c>
      <c r="V550" s="66" t="s">
        <v>685</v>
      </c>
      <c r="W550" s="66" t="s">
        <v>685</v>
      </c>
      <c r="X550" s="66" t="s">
        <v>685</v>
      </c>
      <c r="Y550" s="66" t="s">
        <v>685</v>
      </c>
      <c r="Z550" s="66" t="s">
        <v>685</v>
      </c>
      <c r="AA550" s="66">
        <v>0</v>
      </c>
      <c r="AB550" s="66">
        <v>0</v>
      </c>
      <c r="AC550" s="66">
        <v>0</v>
      </c>
    </row>
    <row r="551" spans="1:29">
      <c r="A551" s="43" t="s">
        <v>676</v>
      </c>
      <c r="B551" s="43" t="s">
        <v>95</v>
      </c>
      <c r="K551" s="73">
        <v>2.0146500000000001</v>
      </c>
      <c r="N551" s="73">
        <v>3.2862499999999999</v>
      </c>
      <c r="O551" s="73">
        <v>4.3968499999999997</v>
      </c>
      <c r="P551" s="73">
        <v>3.7353999999999998</v>
      </c>
      <c r="Q551" s="73">
        <v>5.0621999999999998</v>
      </c>
      <c r="R551" s="50">
        <f>(49.09*0.055)+(12.09*0.11)+(0.05*0.02)</f>
        <v>4.0308500000000009</v>
      </c>
      <c r="S551" s="50">
        <f>(66.65*0.055)</f>
        <v>3.6657500000000005</v>
      </c>
      <c r="T551" s="66">
        <f>67*0.055</f>
        <v>3.6850000000000001</v>
      </c>
      <c r="U551" s="66">
        <f>57.936*0.055</f>
        <v>3.18648</v>
      </c>
      <c r="V551" s="66">
        <f>60.2888*0.055</f>
        <v>3.3158840000000001</v>
      </c>
      <c r="W551" s="66">
        <f>44.472*0.055</f>
        <v>2.4459599999999999</v>
      </c>
      <c r="X551" s="66">
        <f>43.6*0.055</f>
        <v>2.3980000000000001</v>
      </c>
      <c r="Y551" s="66">
        <f>43.588*0.055</f>
        <v>2.3973400000000002</v>
      </c>
      <c r="Z551" s="66">
        <f>21.991*0.055</f>
        <v>1.2095050000000001</v>
      </c>
      <c r="AA551" s="66">
        <f>21.99*0.055</f>
        <v>1.2094499999999999</v>
      </c>
      <c r="AB551" s="66">
        <f>1.673*0.055</f>
        <v>9.2015E-2</v>
      </c>
      <c r="AC551" s="66">
        <f>1.6788*0.055</f>
        <v>9.2333999999999999E-2</v>
      </c>
    </row>
    <row r="552" spans="1:29">
      <c r="A552" s="43" t="s">
        <v>676</v>
      </c>
      <c r="B552" s="43" t="s">
        <v>825</v>
      </c>
      <c r="Q552" s="73">
        <v>0</v>
      </c>
      <c r="R552" s="50">
        <v>0</v>
      </c>
      <c r="S552" s="50">
        <v>0</v>
      </c>
      <c r="T552" s="66">
        <v>0</v>
      </c>
      <c r="U552" s="66">
        <v>0</v>
      </c>
      <c r="V552" s="66">
        <v>0</v>
      </c>
      <c r="W552" s="66">
        <v>0</v>
      </c>
      <c r="X552" s="66">
        <v>0</v>
      </c>
      <c r="Y552" s="66">
        <v>0</v>
      </c>
      <c r="Z552" s="66">
        <v>0</v>
      </c>
      <c r="AA552" s="66">
        <v>0</v>
      </c>
      <c r="AB552" s="66">
        <v>0</v>
      </c>
      <c r="AC552" s="66">
        <v>0</v>
      </c>
    </row>
    <row r="553" spans="1:29">
      <c r="A553" s="43" t="s">
        <v>676</v>
      </c>
      <c r="B553" s="43" t="s">
        <v>574</v>
      </c>
      <c r="K553" s="72">
        <v>0</v>
      </c>
      <c r="N553" s="73">
        <v>0</v>
      </c>
      <c r="O553" s="73">
        <v>0</v>
      </c>
      <c r="P553" s="73">
        <v>0</v>
      </c>
      <c r="Q553" s="73">
        <v>0</v>
      </c>
      <c r="R553" s="50">
        <v>0</v>
      </c>
      <c r="S553" s="50">
        <v>0</v>
      </c>
      <c r="T553" s="66">
        <v>0</v>
      </c>
      <c r="U553" s="66">
        <v>0</v>
      </c>
      <c r="V553" s="66">
        <v>0</v>
      </c>
      <c r="W553" s="66">
        <v>0</v>
      </c>
      <c r="X553" s="66">
        <v>0</v>
      </c>
      <c r="Y553" s="66">
        <v>0</v>
      </c>
      <c r="Z553" s="66">
        <v>0</v>
      </c>
      <c r="AA553" s="66">
        <v>0</v>
      </c>
      <c r="AB553" s="66">
        <v>0</v>
      </c>
      <c r="AC553" s="66">
        <v>0</v>
      </c>
    </row>
    <row r="554" spans="1:29">
      <c r="A554" s="43" t="s">
        <v>676</v>
      </c>
      <c r="B554" s="43" t="s">
        <v>535</v>
      </c>
      <c r="K554" s="72">
        <v>0</v>
      </c>
      <c r="N554" s="73">
        <v>0</v>
      </c>
      <c r="O554" s="73">
        <v>0</v>
      </c>
      <c r="P554" s="73">
        <v>0</v>
      </c>
      <c r="Q554" s="73">
        <v>0</v>
      </c>
      <c r="R554" s="50">
        <v>0</v>
      </c>
      <c r="S554" s="50">
        <v>0</v>
      </c>
      <c r="T554" s="66">
        <v>0</v>
      </c>
      <c r="U554" s="66">
        <v>0</v>
      </c>
      <c r="V554" s="66">
        <v>0</v>
      </c>
      <c r="W554" s="66">
        <v>0</v>
      </c>
      <c r="X554" s="66">
        <v>0</v>
      </c>
      <c r="Y554" s="66">
        <v>0</v>
      </c>
      <c r="Z554" s="66">
        <v>0</v>
      </c>
      <c r="AA554" s="66">
        <v>0</v>
      </c>
      <c r="AB554" s="66">
        <v>0</v>
      </c>
      <c r="AC554" s="66">
        <v>0</v>
      </c>
    </row>
    <row r="555" spans="1:29">
      <c r="A555" s="43" t="s">
        <v>678</v>
      </c>
      <c r="B555" s="43" t="s">
        <v>752</v>
      </c>
      <c r="C555" s="72">
        <v>103.9</v>
      </c>
      <c r="D555" s="72">
        <v>109.248</v>
      </c>
      <c r="E555" s="72">
        <v>111.056</v>
      </c>
      <c r="F555" s="72">
        <v>113.108</v>
      </c>
      <c r="G555" s="72">
        <v>37.06</v>
      </c>
      <c r="H555" s="72">
        <v>29.25</v>
      </c>
      <c r="I555" s="72">
        <v>27</v>
      </c>
      <c r="J555" s="72">
        <v>26</v>
      </c>
      <c r="K555" s="72">
        <v>26</v>
      </c>
      <c r="M555" s="72">
        <v>25</v>
      </c>
      <c r="N555" s="73">
        <v>16.2</v>
      </c>
      <c r="O555" s="73">
        <v>-13</v>
      </c>
      <c r="P555" s="73">
        <v>3</v>
      </c>
      <c r="Q555" s="73">
        <v>0</v>
      </c>
      <c r="R555" s="50">
        <v>0</v>
      </c>
      <c r="S555" s="50">
        <v>0</v>
      </c>
      <c r="T555" s="66">
        <v>0</v>
      </c>
      <c r="U555" s="66">
        <v>0</v>
      </c>
      <c r="V555" s="66" t="s">
        <v>685</v>
      </c>
      <c r="W555" s="66" t="s">
        <v>685</v>
      </c>
      <c r="X555" s="66" t="s">
        <v>685</v>
      </c>
      <c r="Y555" s="66" t="s">
        <v>685</v>
      </c>
      <c r="Z555" s="66" t="s">
        <v>685</v>
      </c>
      <c r="AA555" s="66">
        <v>0</v>
      </c>
      <c r="AB555" s="66">
        <v>0</v>
      </c>
    </row>
    <row r="556" spans="1:29">
      <c r="A556" s="43" t="s">
        <v>678</v>
      </c>
      <c r="B556" s="43" t="s">
        <v>663</v>
      </c>
      <c r="C556" s="72">
        <v>0</v>
      </c>
      <c r="D556" s="72">
        <v>0</v>
      </c>
      <c r="E556" s="72">
        <v>0</v>
      </c>
      <c r="F556" s="72">
        <v>0</v>
      </c>
      <c r="G556" s="72">
        <v>0</v>
      </c>
      <c r="H556" s="72">
        <v>0</v>
      </c>
      <c r="I556" s="72">
        <v>0</v>
      </c>
      <c r="J556" s="72">
        <v>0</v>
      </c>
      <c r="K556" s="72">
        <v>0</v>
      </c>
      <c r="M556" s="72">
        <v>0</v>
      </c>
      <c r="N556" s="73">
        <v>0</v>
      </c>
      <c r="O556" s="73">
        <v>0</v>
      </c>
      <c r="P556" s="73">
        <v>0</v>
      </c>
      <c r="Q556" s="73">
        <v>0</v>
      </c>
      <c r="R556" s="50">
        <v>0</v>
      </c>
      <c r="S556" s="50">
        <v>0</v>
      </c>
      <c r="T556" s="66">
        <v>0</v>
      </c>
      <c r="U556" s="66">
        <v>0</v>
      </c>
      <c r="V556" s="66" t="s">
        <v>685</v>
      </c>
      <c r="W556" s="66" t="s">
        <v>685</v>
      </c>
      <c r="X556" s="66" t="s">
        <v>685</v>
      </c>
      <c r="Y556" s="66" t="s">
        <v>685</v>
      </c>
      <c r="Z556" s="66" t="s">
        <v>685</v>
      </c>
      <c r="AA556" s="66">
        <v>0</v>
      </c>
      <c r="AB556" s="66">
        <v>0</v>
      </c>
    </row>
    <row r="557" spans="1:29">
      <c r="A557" s="43" t="s">
        <v>678</v>
      </c>
      <c r="B557" s="43" t="s">
        <v>243</v>
      </c>
      <c r="C557" s="72">
        <v>0</v>
      </c>
      <c r="D557" s="72">
        <v>0</v>
      </c>
      <c r="E557" s="72">
        <v>0</v>
      </c>
      <c r="F557" s="72">
        <v>0</v>
      </c>
      <c r="G557" s="72">
        <v>0</v>
      </c>
      <c r="H557" s="72">
        <v>0</v>
      </c>
      <c r="I557" s="72">
        <v>0</v>
      </c>
      <c r="J557" s="72">
        <v>0</v>
      </c>
      <c r="K557" s="72">
        <v>0</v>
      </c>
      <c r="M557" s="72">
        <v>0</v>
      </c>
      <c r="N557" s="73">
        <v>0</v>
      </c>
      <c r="O557" s="73">
        <v>0</v>
      </c>
      <c r="P557" s="73">
        <v>0</v>
      </c>
      <c r="Q557" s="73">
        <v>0</v>
      </c>
      <c r="R557" s="50">
        <v>0</v>
      </c>
      <c r="S557" s="50">
        <v>0</v>
      </c>
      <c r="T557" s="66">
        <v>0</v>
      </c>
      <c r="U557" s="66">
        <v>0</v>
      </c>
      <c r="V557" s="66" t="s">
        <v>685</v>
      </c>
      <c r="W557" s="66" t="s">
        <v>685</v>
      </c>
      <c r="X557" s="66" t="s">
        <v>685</v>
      </c>
      <c r="Y557" s="66" t="s">
        <v>685</v>
      </c>
      <c r="Z557" s="66" t="s">
        <v>685</v>
      </c>
      <c r="AA557" s="66">
        <v>0</v>
      </c>
      <c r="AB557" s="66">
        <v>0</v>
      </c>
    </row>
    <row r="558" spans="1:29">
      <c r="A558" s="43" t="s">
        <v>678</v>
      </c>
      <c r="B558" s="43" t="s">
        <v>95</v>
      </c>
      <c r="C558" s="73">
        <v>2.2000000000000002</v>
      </c>
      <c r="D558" s="73">
        <v>2.31</v>
      </c>
      <c r="E558" s="73">
        <v>4.0969499999999996</v>
      </c>
      <c r="F558" s="73">
        <v>3.9451500000000004</v>
      </c>
      <c r="G558" s="73">
        <v>1.8688999999999998</v>
      </c>
      <c r="H558" s="73">
        <v>1.00925</v>
      </c>
      <c r="I558" s="73">
        <v>1.2923900000000001</v>
      </c>
      <c r="J558" s="73">
        <v>2.31</v>
      </c>
      <c r="K558" s="73">
        <v>2.3650000000000002</v>
      </c>
      <c r="M558" s="73">
        <v>2.5299999999999998</v>
      </c>
      <c r="N558" s="73">
        <v>0</v>
      </c>
      <c r="O558" s="73">
        <v>-1.375</v>
      </c>
      <c r="P558" s="73">
        <v>2.09</v>
      </c>
      <c r="Q558" s="73">
        <f>65*0.055</f>
        <v>3.5750000000000002</v>
      </c>
      <c r="R558" s="50">
        <f>282.1*0.055</f>
        <v>15.515500000000001</v>
      </c>
      <c r="S558" s="50">
        <f>290*0.055</f>
        <v>15.95</v>
      </c>
      <c r="T558" s="66">
        <f>302*0.055</f>
        <v>16.61</v>
      </c>
      <c r="U558" s="66">
        <f>187*0.055</f>
        <v>10.285</v>
      </c>
      <c r="V558" s="66">
        <f>185*0.055</f>
        <v>10.175000000000001</v>
      </c>
      <c r="W558" s="66">
        <f>184*0.055</f>
        <v>10.119999999999999</v>
      </c>
      <c r="X558" s="66">
        <f>175*0.055</f>
        <v>9.625</v>
      </c>
      <c r="Y558" s="66">
        <f>165*0.055</f>
        <v>9.0749999999999993</v>
      </c>
      <c r="Z558" s="66">
        <f>165*0.055</f>
        <v>9.0749999999999993</v>
      </c>
      <c r="AA558" s="66">
        <f>137*0.055</f>
        <v>7.5350000000000001</v>
      </c>
      <c r="AB558" s="66">
        <f>95*0.055</f>
        <v>5.2249999999999996</v>
      </c>
    </row>
    <row r="559" spans="1:29">
      <c r="A559" s="43" t="s">
        <v>678</v>
      </c>
      <c r="B559" s="43" t="s">
        <v>825</v>
      </c>
      <c r="Q559" s="73">
        <v>0</v>
      </c>
      <c r="R559" s="50">
        <v>0</v>
      </c>
      <c r="S559" s="50">
        <v>0</v>
      </c>
      <c r="T559" s="66">
        <v>0</v>
      </c>
      <c r="U559" s="66">
        <v>0</v>
      </c>
      <c r="V559" s="66">
        <v>0</v>
      </c>
      <c r="W559" s="66">
        <v>0</v>
      </c>
      <c r="X559" s="66">
        <v>0</v>
      </c>
      <c r="Y559" s="66">
        <v>0</v>
      </c>
      <c r="Z559" s="66">
        <v>0</v>
      </c>
      <c r="AA559" s="66">
        <v>0</v>
      </c>
      <c r="AB559" s="66">
        <v>0</v>
      </c>
    </row>
    <row r="560" spans="1:29">
      <c r="A560" s="43" t="s">
        <v>678</v>
      </c>
      <c r="B560" s="43" t="s">
        <v>574</v>
      </c>
      <c r="C560" s="72">
        <v>0</v>
      </c>
      <c r="D560" s="72">
        <v>0</v>
      </c>
      <c r="E560" s="72">
        <v>0</v>
      </c>
      <c r="F560" s="72">
        <v>0</v>
      </c>
      <c r="G560" s="72">
        <v>0</v>
      </c>
      <c r="H560" s="72">
        <v>0</v>
      </c>
      <c r="I560" s="72">
        <v>0</v>
      </c>
      <c r="J560" s="72">
        <v>0</v>
      </c>
      <c r="K560" s="72">
        <v>0</v>
      </c>
      <c r="M560" s="72">
        <v>0</v>
      </c>
      <c r="N560" s="73">
        <v>0</v>
      </c>
      <c r="O560" s="73">
        <v>0</v>
      </c>
      <c r="P560" s="73">
        <v>0</v>
      </c>
      <c r="Q560" s="73">
        <v>0</v>
      </c>
      <c r="R560" s="50">
        <v>0</v>
      </c>
      <c r="S560" s="50">
        <v>0</v>
      </c>
      <c r="T560" s="66">
        <v>0</v>
      </c>
      <c r="U560" s="66">
        <v>0</v>
      </c>
      <c r="V560" s="66">
        <v>0</v>
      </c>
      <c r="W560" s="66">
        <v>0</v>
      </c>
      <c r="X560" s="66">
        <v>0</v>
      </c>
      <c r="Y560" s="66">
        <v>0</v>
      </c>
      <c r="Z560" s="66">
        <v>0</v>
      </c>
      <c r="AA560" s="66">
        <v>0</v>
      </c>
      <c r="AB560" s="66">
        <v>0</v>
      </c>
    </row>
    <row r="561" spans="1:29">
      <c r="A561" s="43" t="s">
        <v>678</v>
      </c>
      <c r="B561" s="43" t="s">
        <v>535</v>
      </c>
      <c r="C561" s="72">
        <v>0</v>
      </c>
      <c r="D561" s="72">
        <v>0</v>
      </c>
      <c r="E561" s="72">
        <v>0</v>
      </c>
      <c r="F561" s="72">
        <v>0</v>
      </c>
      <c r="G561" s="72">
        <v>0</v>
      </c>
      <c r="H561" s="72">
        <v>0</v>
      </c>
      <c r="I561" s="72">
        <v>0</v>
      </c>
      <c r="J561" s="72">
        <v>0</v>
      </c>
      <c r="K561" s="72">
        <v>0</v>
      </c>
      <c r="M561" s="72">
        <v>0</v>
      </c>
      <c r="N561" s="73">
        <v>0</v>
      </c>
      <c r="O561" s="73">
        <v>0</v>
      </c>
      <c r="P561" s="73">
        <v>0</v>
      </c>
      <c r="Q561" s="73">
        <v>0</v>
      </c>
      <c r="R561" s="50">
        <v>0</v>
      </c>
      <c r="S561" s="50">
        <v>0</v>
      </c>
      <c r="T561" s="66">
        <v>0</v>
      </c>
      <c r="U561" s="66">
        <v>0</v>
      </c>
      <c r="V561" s="66">
        <v>0</v>
      </c>
      <c r="W561" s="66">
        <v>0</v>
      </c>
      <c r="X561" s="66">
        <v>0</v>
      </c>
      <c r="Y561" s="66">
        <v>0</v>
      </c>
      <c r="Z561" s="66">
        <v>0</v>
      </c>
      <c r="AA561" s="66">
        <v>0</v>
      </c>
      <c r="AB561" s="66">
        <v>0</v>
      </c>
    </row>
    <row r="562" spans="1:29">
      <c r="A562" s="43" t="s">
        <v>674</v>
      </c>
      <c r="B562" s="43" t="s">
        <v>752</v>
      </c>
      <c r="I562" s="72">
        <v>0.34</v>
      </c>
      <c r="J562" s="72">
        <v>0.34</v>
      </c>
      <c r="K562" s="72">
        <v>0.34</v>
      </c>
      <c r="L562" s="72">
        <v>0</v>
      </c>
      <c r="M562" s="72">
        <v>0.3</v>
      </c>
      <c r="N562" s="73">
        <v>0</v>
      </c>
      <c r="O562" s="73">
        <v>0</v>
      </c>
      <c r="P562" s="73">
        <v>0</v>
      </c>
      <c r="Q562" s="73">
        <v>0</v>
      </c>
      <c r="R562" s="50">
        <v>0</v>
      </c>
      <c r="S562" s="50">
        <v>0</v>
      </c>
      <c r="T562" s="66" t="s">
        <v>685</v>
      </c>
      <c r="U562" s="66" t="s">
        <v>685</v>
      </c>
      <c r="V562" s="66" t="s">
        <v>685</v>
      </c>
      <c r="W562" s="66" t="s">
        <v>685</v>
      </c>
      <c r="X562" s="66" t="s">
        <v>685</v>
      </c>
      <c r="Y562" s="66" t="s">
        <v>685</v>
      </c>
      <c r="Z562" s="66" t="s">
        <v>685</v>
      </c>
      <c r="AA562" s="66">
        <v>0</v>
      </c>
      <c r="AB562" s="66">
        <v>0</v>
      </c>
      <c r="AC562" s="66">
        <v>0</v>
      </c>
    </row>
    <row r="563" spans="1:29">
      <c r="A563" s="43" t="s">
        <v>674</v>
      </c>
      <c r="B563" s="43" t="s">
        <v>663</v>
      </c>
      <c r="I563" s="72">
        <v>0</v>
      </c>
      <c r="J563" s="72">
        <v>0</v>
      </c>
      <c r="K563" s="72">
        <v>0</v>
      </c>
      <c r="L563" s="72">
        <v>0</v>
      </c>
      <c r="M563" s="72">
        <v>0</v>
      </c>
      <c r="N563" s="73">
        <v>0</v>
      </c>
      <c r="O563" s="73">
        <v>0</v>
      </c>
      <c r="P563" s="73">
        <v>0</v>
      </c>
      <c r="Q563" s="73">
        <v>0</v>
      </c>
      <c r="R563" s="50">
        <v>0</v>
      </c>
      <c r="S563" s="50">
        <v>0</v>
      </c>
      <c r="T563" s="66" t="s">
        <v>685</v>
      </c>
      <c r="U563" s="66" t="s">
        <v>685</v>
      </c>
      <c r="V563" s="66" t="s">
        <v>685</v>
      </c>
      <c r="W563" s="66" t="s">
        <v>685</v>
      </c>
      <c r="X563" s="66" t="s">
        <v>685</v>
      </c>
      <c r="Y563" s="66" t="s">
        <v>685</v>
      </c>
      <c r="Z563" s="66" t="s">
        <v>685</v>
      </c>
      <c r="AA563" s="66">
        <v>0</v>
      </c>
      <c r="AB563" s="66">
        <v>0</v>
      </c>
      <c r="AC563" s="66">
        <v>0</v>
      </c>
    </row>
    <row r="564" spans="1:29">
      <c r="A564" s="43" t="s">
        <v>674</v>
      </c>
      <c r="B564" s="43" t="s">
        <v>243</v>
      </c>
      <c r="I564" s="72">
        <v>0</v>
      </c>
      <c r="J564" s="72">
        <v>0</v>
      </c>
      <c r="K564" s="72">
        <v>0</v>
      </c>
      <c r="L564" s="72">
        <v>0</v>
      </c>
      <c r="M564" s="72">
        <v>0</v>
      </c>
      <c r="N564" s="73">
        <v>0</v>
      </c>
      <c r="O564" s="73">
        <v>0</v>
      </c>
      <c r="P564" s="73">
        <v>0</v>
      </c>
      <c r="Q564" s="73">
        <v>0</v>
      </c>
      <c r="R564" s="50">
        <v>0</v>
      </c>
      <c r="S564" s="50">
        <v>0</v>
      </c>
      <c r="T564" s="66" t="s">
        <v>685</v>
      </c>
      <c r="U564" s="66" t="s">
        <v>685</v>
      </c>
      <c r="V564" s="66" t="s">
        <v>685</v>
      </c>
      <c r="W564" s="66" t="s">
        <v>685</v>
      </c>
      <c r="X564" s="66" t="s">
        <v>685</v>
      </c>
      <c r="Y564" s="66" t="s">
        <v>685</v>
      </c>
      <c r="Z564" s="66" t="s">
        <v>685</v>
      </c>
      <c r="AA564" s="66">
        <v>0</v>
      </c>
      <c r="AB564" s="66">
        <v>0</v>
      </c>
      <c r="AC564" s="66">
        <v>0</v>
      </c>
    </row>
    <row r="565" spans="1:29">
      <c r="A565" s="43" t="s">
        <v>674</v>
      </c>
      <c r="B565" s="43" t="s">
        <v>95</v>
      </c>
      <c r="I565" s="73">
        <v>0.1188</v>
      </c>
      <c r="J565" s="73">
        <v>0.1188</v>
      </c>
      <c r="K565" s="73">
        <v>0.1188</v>
      </c>
      <c r="L565" s="73">
        <v>4.1250000000000002E-2</v>
      </c>
      <c r="M565" s="73">
        <v>8.2500000000000004E-3</v>
      </c>
      <c r="N565" s="73">
        <v>6.3799999999999996E-2</v>
      </c>
      <c r="O565" s="73">
        <v>0.21615000000000001</v>
      </c>
      <c r="P565" s="73">
        <v>0.22935</v>
      </c>
      <c r="Q565" s="73">
        <f>(3.48*0.055)</f>
        <v>0.19139999999999999</v>
      </c>
      <c r="R565" s="50">
        <f>4.5*0.055</f>
        <v>0.2475</v>
      </c>
      <c r="S565" s="50">
        <f>4.33*0.055</f>
        <v>0.23815</v>
      </c>
      <c r="T565" s="66">
        <f>3.73*0.055</f>
        <v>0.20515</v>
      </c>
      <c r="U565" s="66">
        <f>2.21*0.055</f>
        <v>0.12155000000000001</v>
      </c>
      <c r="V565" s="66">
        <f>1.46*0.055</f>
        <v>8.0299999999999996E-2</v>
      </c>
      <c r="W565" s="66">
        <f>1.49*0.055</f>
        <v>8.1949999999999995E-2</v>
      </c>
      <c r="X565" s="66">
        <f>(1.54-1.54)*0.055</f>
        <v>0</v>
      </c>
      <c r="Y565" s="66">
        <v>0</v>
      </c>
      <c r="Z565" s="66">
        <v>0</v>
      </c>
      <c r="AA565" s="66">
        <v>0</v>
      </c>
      <c r="AB565" s="66">
        <v>0</v>
      </c>
      <c r="AC565" s="66">
        <v>0</v>
      </c>
    </row>
    <row r="566" spans="1:29">
      <c r="A566" s="43" t="s">
        <v>674</v>
      </c>
      <c r="B566" s="43" t="s">
        <v>825</v>
      </c>
      <c r="Q566" s="73">
        <v>0</v>
      </c>
      <c r="R566" s="50">
        <v>0</v>
      </c>
      <c r="S566" s="50">
        <v>0</v>
      </c>
      <c r="T566" s="66">
        <v>0</v>
      </c>
      <c r="U566" s="66">
        <v>0</v>
      </c>
      <c r="V566" s="66">
        <v>0</v>
      </c>
      <c r="W566" s="66">
        <v>0</v>
      </c>
      <c r="X566" s="66">
        <v>0</v>
      </c>
      <c r="Y566" s="66">
        <v>0</v>
      </c>
      <c r="Z566" s="66">
        <v>0</v>
      </c>
      <c r="AA566" s="66">
        <v>0</v>
      </c>
      <c r="AB566" s="66">
        <v>0</v>
      </c>
      <c r="AC566" s="66">
        <v>0</v>
      </c>
    </row>
    <row r="567" spans="1:29">
      <c r="A567" s="43" t="s">
        <v>674</v>
      </c>
      <c r="B567" s="43" t="s">
        <v>574</v>
      </c>
      <c r="I567" s="72">
        <v>0</v>
      </c>
      <c r="J567" s="72">
        <v>0</v>
      </c>
      <c r="K567" s="72">
        <v>0</v>
      </c>
      <c r="L567" s="72">
        <v>0</v>
      </c>
      <c r="M567" s="72">
        <v>0</v>
      </c>
      <c r="N567" s="73">
        <v>0</v>
      </c>
      <c r="O567" s="73">
        <v>0</v>
      </c>
      <c r="P567" s="73">
        <v>0</v>
      </c>
      <c r="Q567" s="73">
        <v>0</v>
      </c>
      <c r="R567" s="50">
        <v>0</v>
      </c>
      <c r="S567" s="50">
        <v>0</v>
      </c>
      <c r="T567" s="66">
        <v>0</v>
      </c>
      <c r="U567" s="66">
        <v>0</v>
      </c>
      <c r="V567" s="66">
        <v>0</v>
      </c>
      <c r="W567" s="66">
        <v>0</v>
      </c>
      <c r="X567" s="66">
        <v>0</v>
      </c>
      <c r="Y567" s="66">
        <v>0</v>
      </c>
      <c r="Z567" s="66">
        <v>0</v>
      </c>
      <c r="AA567" s="66">
        <v>0</v>
      </c>
      <c r="AB567" s="66">
        <v>0</v>
      </c>
      <c r="AC567" s="66">
        <v>0</v>
      </c>
    </row>
    <row r="568" spans="1:29">
      <c r="A568" s="43" t="s">
        <v>674</v>
      </c>
      <c r="B568" s="43" t="s">
        <v>535</v>
      </c>
      <c r="I568" s="72">
        <v>0</v>
      </c>
      <c r="J568" s="72">
        <v>0</v>
      </c>
      <c r="K568" s="72">
        <v>0</v>
      </c>
      <c r="L568" s="72">
        <v>0</v>
      </c>
      <c r="M568" s="72">
        <v>0</v>
      </c>
      <c r="N568" s="73">
        <v>0</v>
      </c>
      <c r="O568" s="73">
        <v>0</v>
      </c>
      <c r="P568" s="73">
        <v>0</v>
      </c>
      <c r="Q568" s="73">
        <v>0</v>
      </c>
      <c r="R568" s="50">
        <v>0</v>
      </c>
      <c r="S568" s="50">
        <v>0</v>
      </c>
      <c r="T568" s="66">
        <v>0</v>
      </c>
      <c r="U568" s="66">
        <v>0</v>
      </c>
      <c r="V568" s="66">
        <v>0</v>
      </c>
      <c r="W568" s="66">
        <v>0</v>
      </c>
      <c r="X568" s="66">
        <v>0</v>
      </c>
      <c r="Y568" s="66">
        <v>0</v>
      </c>
      <c r="Z568" s="66">
        <v>0</v>
      </c>
      <c r="AA568" s="66">
        <v>0</v>
      </c>
      <c r="AB568" s="66">
        <v>0</v>
      </c>
      <c r="AC568" s="66">
        <v>0</v>
      </c>
    </row>
    <row r="569" spans="1:29">
      <c r="A569" s="43" t="s">
        <v>675</v>
      </c>
      <c r="B569" s="43" t="s">
        <v>752</v>
      </c>
      <c r="G569" s="72">
        <v>13.4</v>
      </c>
      <c r="H569" s="72">
        <v>14.22</v>
      </c>
      <c r="I569" s="72">
        <v>15.02</v>
      </c>
      <c r="J569" s="72">
        <v>14.72</v>
      </c>
      <c r="K569" s="72">
        <v>14.32</v>
      </c>
      <c r="L569" s="72">
        <v>7.14</v>
      </c>
      <c r="M569" s="72">
        <v>6.12</v>
      </c>
      <c r="N569" s="73">
        <v>2.95</v>
      </c>
      <c r="O569" s="73">
        <v>1.25</v>
      </c>
      <c r="Q569" s="73">
        <v>0</v>
      </c>
      <c r="S569" s="50">
        <v>0</v>
      </c>
      <c r="T569" s="66" t="s">
        <v>685</v>
      </c>
      <c r="U569" s="66">
        <v>0</v>
      </c>
      <c r="V569" s="66" t="s">
        <v>685</v>
      </c>
      <c r="W569" s="66" t="s">
        <v>685</v>
      </c>
      <c r="X569" s="66" t="s">
        <v>685</v>
      </c>
      <c r="Y569" s="66" t="s">
        <v>685</v>
      </c>
      <c r="Z569" s="66" t="s">
        <v>685</v>
      </c>
      <c r="AA569" s="66">
        <v>0</v>
      </c>
      <c r="AB569" s="66">
        <v>0</v>
      </c>
      <c r="AC569" s="66">
        <v>0</v>
      </c>
    </row>
    <row r="570" spans="1:29">
      <c r="A570" s="43" t="s">
        <v>675</v>
      </c>
      <c r="B570" s="43" t="s">
        <v>663</v>
      </c>
      <c r="G570" s="72">
        <v>0</v>
      </c>
      <c r="H570" s="72">
        <v>0</v>
      </c>
      <c r="I570" s="72">
        <v>0</v>
      </c>
      <c r="J570" s="72">
        <v>0</v>
      </c>
      <c r="K570" s="72">
        <v>0</v>
      </c>
      <c r="L570" s="72">
        <v>0</v>
      </c>
      <c r="M570" s="72">
        <v>0</v>
      </c>
      <c r="N570" s="73">
        <v>0</v>
      </c>
      <c r="O570" s="73">
        <v>0</v>
      </c>
      <c r="Q570" s="73">
        <v>0</v>
      </c>
      <c r="S570" s="50">
        <v>0</v>
      </c>
      <c r="T570" s="66" t="s">
        <v>685</v>
      </c>
      <c r="U570" s="66">
        <v>0</v>
      </c>
      <c r="V570" s="66" t="s">
        <v>685</v>
      </c>
      <c r="W570" s="66" t="s">
        <v>685</v>
      </c>
      <c r="X570" s="66" t="s">
        <v>685</v>
      </c>
      <c r="Y570" s="66" t="s">
        <v>685</v>
      </c>
      <c r="Z570" s="66" t="s">
        <v>685</v>
      </c>
      <c r="AA570" s="66">
        <v>0</v>
      </c>
      <c r="AB570" s="66">
        <v>0</v>
      </c>
      <c r="AC570" s="66">
        <v>0</v>
      </c>
    </row>
    <row r="571" spans="1:29">
      <c r="A571" s="43" t="s">
        <v>675</v>
      </c>
      <c r="B571" s="43" t="s">
        <v>243</v>
      </c>
      <c r="G571" s="72">
        <v>0</v>
      </c>
      <c r="H571" s="72">
        <v>0</v>
      </c>
      <c r="I571" s="72">
        <v>0</v>
      </c>
      <c r="J571" s="72">
        <v>0</v>
      </c>
      <c r="K571" s="72">
        <v>0</v>
      </c>
      <c r="L571" s="72">
        <v>0</v>
      </c>
      <c r="M571" s="72">
        <v>0</v>
      </c>
      <c r="N571" s="73">
        <v>0</v>
      </c>
      <c r="O571" s="73">
        <v>0</v>
      </c>
      <c r="Q571" s="73">
        <v>0</v>
      </c>
      <c r="S571" s="50">
        <v>0</v>
      </c>
      <c r="T571" s="66" t="s">
        <v>685</v>
      </c>
      <c r="U571" s="66">
        <v>0</v>
      </c>
      <c r="V571" s="66" t="s">
        <v>685</v>
      </c>
      <c r="W571" s="66" t="s">
        <v>685</v>
      </c>
      <c r="X571" s="66" t="s">
        <v>685</v>
      </c>
      <c r="Y571" s="66" t="s">
        <v>685</v>
      </c>
      <c r="Z571" s="66" t="s">
        <v>685</v>
      </c>
      <c r="AA571" s="66">
        <v>0</v>
      </c>
      <c r="AB571" s="66">
        <v>0</v>
      </c>
      <c r="AC571" s="66">
        <v>0</v>
      </c>
    </row>
    <row r="572" spans="1:29">
      <c r="A572" s="43" t="s">
        <v>675</v>
      </c>
      <c r="B572" s="43" t="s">
        <v>95</v>
      </c>
      <c r="G572" s="73">
        <v>0</v>
      </c>
      <c r="H572" s="73">
        <v>1.353</v>
      </c>
      <c r="I572" s="73">
        <v>1.5565</v>
      </c>
      <c r="J572" s="73">
        <v>1.837</v>
      </c>
      <c r="K572" s="73">
        <v>1.353</v>
      </c>
      <c r="L572" s="73">
        <v>1.2649999999999999</v>
      </c>
      <c r="M572" s="73">
        <v>1.155</v>
      </c>
      <c r="N572" s="73">
        <v>0.27775</v>
      </c>
      <c r="O572" s="73">
        <v>1.375</v>
      </c>
      <c r="Q572" s="73">
        <f>200*0.055</f>
        <v>11</v>
      </c>
      <c r="S572" s="50">
        <f>320*0.055</f>
        <v>17.600000000000001</v>
      </c>
      <c r="T572" s="66">
        <f>370*0.055</f>
        <v>20.350000000000001</v>
      </c>
      <c r="U572" s="66">
        <f>390*0.055</f>
        <v>21.45</v>
      </c>
      <c r="V572" s="66">
        <f>365*0.055</f>
        <v>20.074999999999999</v>
      </c>
      <c r="W572" s="66">
        <f>335*0.055</f>
        <v>18.425000000000001</v>
      </c>
      <c r="X572" s="66">
        <f>330*0.055</f>
        <v>18.149999999999999</v>
      </c>
      <c r="Y572" s="66">
        <f>287.26*0.055</f>
        <v>15.799299999999999</v>
      </c>
      <c r="Z572" s="66">
        <f>273.55*0.055</f>
        <v>15.045250000000001</v>
      </c>
      <c r="AA572" s="66">
        <f>252.98*0.055</f>
        <v>13.9139</v>
      </c>
      <c r="AB572" s="66">
        <f>239.9*0.055</f>
        <v>13.1945</v>
      </c>
      <c r="AC572" s="66">
        <f>238.6*0.055</f>
        <v>13.122999999999999</v>
      </c>
    </row>
    <row r="573" spans="1:29">
      <c r="A573" s="43" t="s">
        <v>675</v>
      </c>
      <c r="B573" s="43" t="s">
        <v>825</v>
      </c>
      <c r="Q573" s="73">
        <v>0</v>
      </c>
      <c r="S573" s="50">
        <v>0</v>
      </c>
      <c r="T573" s="66">
        <v>0</v>
      </c>
      <c r="U573" s="66">
        <v>0</v>
      </c>
      <c r="V573" s="66">
        <v>0</v>
      </c>
      <c r="W573" s="66">
        <v>0</v>
      </c>
      <c r="X573" s="66">
        <v>0</v>
      </c>
      <c r="Y573" s="66">
        <v>0</v>
      </c>
      <c r="Z573" s="66">
        <v>0</v>
      </c>
      <c r="AA573" s="66">
        <v>0</v>
      </c>
      <c r="AB573" s="66">
        <v>0</v>
      </c>
      <c r="AC573" s="66">
        <v>0</v>
      </c>
    </row>
    <row r="574" spans="1:29">
      <c r="A574" s="43" t="s">
        <v>675</v>
      </c>
      <c r="B574" s="43" t="s">
        <v>574</v>
      </c>
      <c r="G574" s="72">
        <v>0</v>
      </c>
      <c r="H574" s="72">
        <v>0</v>
      </c>
      <c r="I574" s="72">
        <v>0</v>
      </c>
      <c r="J574" s="72">
        <v>0</v>
      </c>
      <c r="K574" s="72">
        <v>0</v>
      </c>
      <c r="L574" s="72">
        <v>0</v>
      </c>
      <c r="M574" s="72">
        <v>0</v>
      </c>
      <c r="N574" s="73">
        <v>0</v>
      </c>
      <c r="O574" s="73">
        <v>0</v>
      </c>
      <c r="Q574" s="73">
        <v>0</v>
      </c>
      <c r="S574" s="50">
        <v>0</v>
      </c>
      <c r="T574" s="66">
        <v>0</v>
      </c>
      <c r="U574" s="66">
        <v>0</v>
      </c>
      <c r="V574" s="66">
        <v>0</v>
      </c>
      <c r="W574" s="66">
        <v>0</v>
      </c>
      <c r="X574" s="66">
        <v>0</v>
      </c>
      <c r="Y574" s="66">
        <v>0</v>
      </c>
      <c r="Z574" s="66">
        <v>0</v>
      </c>
      <c r="AA574" s="66">
        <v>0</v>
      </c>
      <c r="AB574" s="66">
        <v>0</v>
      </c>
      <c r="AC574" s="66">
        <v>0</v>
      </c>
    </row>
    <row r="575" spans="1:29">
      <c r="A575" s="43" t="s">
        <v>675</v>
      </c>
      <c r="B575" s="43" t="s">
        <v>535</v>
      </c>
      <c r="G575" s="72">
        <v>0</v>
      </c>
      <c r="H575" s="72">
        <v>0</v>
      </c>
      <c r="I575" s="72">
        <v>0</v>
      </c>
      <c r="J575" s="72">
        <v>0</v>
      </c>
      <c r="K575" s="72">
        <v>0</v>
      </c>
      <c r="L575" s="72">
        <v>0</v>
      </c>
      <c r="M575" s="72">
        <v>0</v>
      </c>
      <c r="N575" s="73">
        <v>0</v>
      </c>
      <c r="O575" s="73">
        <v>0</v>
      </c>
      <c r="Q575" s="73">
        <v>0</v>
      </c>
      <c r="S575" s="50">
        <v>0</v>
      </c>
      <c r="T575" s="66">
        <v>0</v>
      </c>
      <c r="U575" s="66">
        <v>0</v>
      </c>
      <c r="V575" s="66">
        <v>0</v>
      </c>
      <c r="W575" s="66">
        <v>0</v>
      </c>
      <c r="X575" s="66">
        <v>0</v>
      </c>
      <c r="Y575" s="66">
        <v>0</v>
      </c>
      <c r="Z575" s="66">
        <v>0</v>
      </c>
      <c r="AA575" s="66">
        <v>0</v>
      </c>
      <c r="AB575" s="66">
        <v>0</v>
      </c>
      <c r="AC575" s="66">
        <v>0</v>
      </c>
    </row>
    <row r="576" spans="1:29">
      <c r="A576" s="43" t="s">
        <v>673</v>
      </c>
      <c r="B576" s="43" t="s">
        <v>752</v>
      </c>
      <c r="C576" s="72">
        <v>23.85</v>
      </c>
      <c r="D576" s="72">
        <v>36.146000000000001</v>
      </c>
      <c r="E576" s="72">
        <v>27.001999999999999</v>
      </c>
      <c r="F576" s="72">
        <v>38.270000000000003</v>
      </c>
      <c r="G576" s="72">
        <v>21.92</v>
      </c>
      <c r="H576" s="72">
        <v>19.07</v>
      </c>
      <c r="I576" s="72">
        <v>14.458</v>
      </c>
      <c r="J576" s="72">
        <v>7.33</v>
      </c>
      <c r="K576" s="72">
        <v>4.0179999999999998</v>
      </c>
      <c r="L576" s="72">
        <v>3.4</v>
      </c>
      <c r="M576" s="72">
        <v>-7.0000000000000007E-2</v>
      </c>
      <c r="N576" s="73">
        <v>1</v>
      </c>
      <c r="O576" s="73">
        <v>0</v>
      </c>
      <c r="P576" s="73">
        <v>0</v>
      </c>
      <c r="Q576" s="73">
        <v>0</v>
      </c>
      <c r="R576" s="50">
        <v>0</v>
      </c>
      <c r="S576" s="50">
        <v>0</v>
      </c>
      <c r="T576" s="66" t="s">
        <v>685</v>
      </c>
      <c r="U576" s="66" t="s">
        <v>685</v>
      </c>
      <c r="V576" s="66" t="s">
        <v>685</v>
      </c>
      <c r="W576" s="66" t="s">
        <v>685</v>
      </c>
      <c r="X576" s="66" t="s">
        <v>685</v>
      </c>
      <c r="Y576" s="66" t="s">
        <v>685</v>
      </c>
      <c r="Z576" s="66" t="s">
        <v>685</v>
      </c>
      <c r="AA576" s="66">
        <v>0</v>
      </c>
      <c r="AB576" s="66">
        <v>0</v>
      </c>
      <c r="AC576" s="66">
        <v>0</v>
      </c>
    </row>
    <row r="577" spans="1:29">
      <c r="A577" s="43" t="s">
        <v>673</v>
      </c>
      <c r="B577" s="43" t="s">
        <v>663</v>
      </c>
      <c r="C577" s="72">
        <v>8.7999999999999995E-2</v>
      </c>
      <c r="D577" s="72">
        <v>4.3999999999999997E-2</v>
      </c>
      <c r="E577" s="72">
        <v>1.0999999999999999E-2</v>
      </c>
      <c r="F577" s="72">
        <v>2.1999999999999999E-2</v>
      </c>
      <c r="G577" s="72">
        <v>1.0999999999999999E-2</v>
      </c>
      <c r="H577" s="72">
        <v>1.0999999999999999E-2</v>
      </c>
      <c r="I577" s="72">
        <v>1.0999999999999999E-2</v>
      </c>
      <c r="J577" s="72">
        <v>2.1999999999999999E-2</v>
      </c>
      <c r="K577" s="72">
        <v>3.3000000000000002E-2</v>
      </c>
      <c r="L577" s="72">
        <v>2.1999999999999999E-2</v>
      </c>
      <c r="M577" s="72">
        <v>3.3000000000000002E-2</v>
      </c>
      <c r="N577" s="73">
        <v>0</v>
      </c>
      <c r="O577" s="73">
        <v>0</v>
      </c>
      <c r="P577" s="73">
        <v>0</v>
      </c>
      <c r="Q577" s="73">
        <v>0</v>
      </c>
      <c r="R577" s="50">
        <v>0</v>
      </c>
      <c r="S577" s="50">
        <v>0</v>
      </c>
      <c r="T577" s="66" t="s">
        <v>685</v>
      </c>
      <c r="U577" s="66" t="s">
        <v>685</v>
      </c>
      <c r="V577" s="66" t="s">
        <v>685</v>
      </c>
      <c r="W577" s="66" t="s">
        <v>685</v>
      </c>
      <c r="X577" s="66" t="s">
        <v>685</v>
      </c>
      <c r="Y577" s="66" t="s">
        <v>685</v>
      </c>
      <c r="Z577" s="66" t="s">
        <v>685</v>
      </c>
      <c r="AA577" s="66">
        <v>0</v>
      </c>
      <c r="AB577" s="66">
        <v>0</v>
      </c>
      <c r="AC577" s="66">
        <v>0</v>
      </c>
    </row>
    <row r="578" spans="1:29">
      <c r="A578" s="43" t="s">
        <v>673</v>
      </c>
      <c r="B578" s="43" t="s">
        <v>243</v>
      </c>
      <c r="C578" s="72">
        <v>0</v>
      </c>
      <c r="D578" s="72">
        <v>0</v>
      </c>
      <c r="E578" s="72">
        <v>0</v>
      </c>
      <c r="F578" s="72">
        <v>0</v>
      </c>
      <c r="G578" s="72">
        <v>0</v>
      </c>
      <c r="H578" s="72">
        <v>0</v>
      </c>
      <c r="I578" s="72">
        <v>0</v>
      </c>
      <c r="J578" s="72">
        <v>0</v>
      </c>
      <c r="K578" s="72">
        <v>0</v>
      </c>
      <c r="L578" s="72">
        <v>0</v>
      </c>
      <c r="M578" s="72">
        <v>0</v>
      </c>
      <c r="N578" s="73">
        <v>0</v>
      </c>
      <c r="O578" s="73">
        <v>0</v>
      </c>
      <c r="P578" s="73">
        <v>0</v>
      </c>
      <c r="Q578" s="73">
        <v>0</v>
      </c>
      <c r="R578" s="50">
        <v>0</v>
      </c>
      <c r="S578" s="50">
        <v>0</v>
      </c>
      <c r="T578" s="66" t="s">
        <v>685</v>
      </c>
      <c r="U578" s="66" t="s">
        <v>685</v>
      </c>
      <c r="V578" s="66" t="s">
        <v>685</v>
      </c>
      <c r="W578" s="66" t="s">
        <v>685</v>
      </c>
      <c r="X578" s="66" t="s">
        <v>685</v>
      </c>
      <c r="Y578" s="66" t="s">
        <v>685</v>
      </c>
      <c r="Z578" s="66" t="s">
        <v>685</v>
      </c>
      <c r="AA578" s="66">
        <v>0</v>
      </c>
      <c r="AB578" s="66">
        <v>0</v>
      </c>
      <c r="AC578" s="66">
        <v>0</v>
      </c>
    </row>
    <row r="579" spans="1:29">
      <c r="A579" s="43" t="s">
        <v>673</v>
      </c>
      <c r="B579" s="43" t="s">
        <v>95</v>
      </c>
      <c r="C579" s="73">
        <v>3.5848999999999998</v>
      </c>
      <c r="D579" s="73">
        <v>1.0741500000000002</v>
      </c>
      <c r="E579" s="73">
        <v>2.7950999999999997</v>
      </c>
      <c r="F579" s="73">
        <v>3.2840500000000001</v>
      </c>
      <c r="G579" s="73">
        <v>4.927999999999999</v>
      </c>
      <c r="H579" s="73">
        <v>8.3951999999999991</v>
      </c>
      <c r="I579" s="73">
        <v>5.5302500000000006</v>
      </c>
      <c r="J579" s="73">
        <v>7.1423000000000005</v>
      </c>
      <c r="K579" s="73">
        <v>12.305149999999999</v>
      </c>
      <c r="L579" s="73">
        <v>12.305149999999999</v>
      </c>
      <c r="M579" s="73">
        <v>0.22840000000000002</v>
      </c>
      <c r="N579" s="73">
        <v>7.5768499999999985</v>
      </c>
      <c r="O579" s="73">
        <v>8.6432000000000002</v>
      </c>
      <c r="P579" s="73">
        <v>6.6044000000000009</v>
      </c>
      <c r="Q579" s="73">
        <v>10.7232</v>
      </c>
      <c r="R579" s="50">
        <f>((166.48-72.07)*0.055)+(1.22*0.11)+(0.5*0.02)</f>
        <v>5.3367499999999994</v>
      </c>
      <c r="S579" s="50">
        <f>((219.06-64.99)*0.055)+(3.13*0.11)+(0.18*0.02)</f>
        <v>8.8217500000000015</v>
      </c>
      <c r="T579" s="66">
        <f>((225.4-99.46)*0.055)+(1.9*0.11)</f>
        <v>7.1356999999999999</v>
      </c>
      <c r="U579" s="66">
        <f>((111.76-14.89)*0.055)+(0.95*0.11)+(0.02*0.065)+(0.2*0.02)+(0.03*0.022)</f>
        <v>5.4383099999999995</v>
      </c>
      <c r="V579" s="66">
        <f>((141.44-0.7)*0.055)+(1.65*0.11)+(0.02*0.065)+(0.04*0.02)+(0.07*0.022)</f>
        <v>7.92584</v>
      </c>
      <c r="W579" s="66">
        <f>((121.31-0.73)*0.055)+(1.36*0.11)+(-0.03*0.065)+(0.4*0.02)+(-0.05*0.022)</f>
        <v>6.7864500000000003</v>
      </c>
      <c r="X579" s="66">
        <f>((110.77-1.11)*0.055)+(0.2*0.02)</f>
        <v>6.0352999999999994</v>
      </c>
      <c r="Y579" s="66">
        <f>(112-5.9)*0.055</f>
        <v>5.8354999999999997</v>
      </c>
      <c r="Z579" s="66">
        <f>(124.9-0.6)*0.055</f>
        <v>6.8365000000000009</v>
      </c>
      <c r="AA579" s="66">
        <f>86.33*0.055</f>
        <v>4.7481499999999999</v>
      </c>
      <c r="AB579" s="66">
        <f>36.82*0.055</f>
        <v>2.0251000000000001</v>
      </c>
      <c r="AC579" s="66">
        <f>25.17*0.055</f>
        <v>1.3843500000000002</v>
      </c>
    </row>
    <row r="580" spans="1:29">
      <c r="A580" s="43" t="s">
        <v>673</v>
      </c>
      <c r="B580" s="43" t="s">
        <v>825</v>
      </c>
      <c r="Q580" s="73">
        <v>0</v>
      </c>
      <c r="R580" s="50">
        <v>0</v>
      </c>
      <c r="S580" s="50">
        <v>0</v>
      </c>
      <c r="T580" s="66">
        <v>0</v>
      </c>
      <c r="U580" s="66">
        <v>0</v>
      </c>
      <c r="V580" s="66">
        <v>0</v>
      </c>
      <c r="W580" s="66">
        <v>0</v>
      </c>
      <c r="X580" s="66">
        <v>0</v>
      </c>
      <c r="Y580" s="66">
        <v>0</v>
      </c>
      <c r="Z580" s="66">
        <v>0</v>
      </c>
      <c r="AA580" s="66">
        <v>0</v>
      </c>
      <c r="AB580" s="66">
        <v>0</v>
      </c>
      <c r="AC580" s="66">
        <v>0</v>
      </c>
    </row>
    <row r="581" spans="1:29">
      <c r="A581" s="43" t="s">
        <v>673</v>
      </c>
      <c r="B581" s="43" t="s">
        <v>574</v>
      </c>
      <c r="C581" s="72">
        <v>0</v>
      </c>
      <c r="D581" s="72">
        <v>1.7999999999999999E-2</v>
      </c>
      <c r="E581" s="72">
        <v>0.36</v>
      </c>
      <c r="F581" s="72">
        <v>0.42</v>
      </c>
      <c r="G581" s="72">
        <v>0.42</v>
      </c>
      <c r="H581" s="72">
        <v>0</v>
      </c>
      <c r="I581" s="72">
        <v>0.42</v>
      </c>
      <c r="J581" s="72">
        <v>0</v>
      </c>
      <c r="K581" s="72">
        <v>0</v>
      </c>
      <c r="L581" s="72">
        <v>0</v>
      </c>
      <c r="M581" s="72">
        <v>0</v>
      </c>
      <c r="N581" s="73">
        <v>0</v>
      </c>
      <c r="O581" s="73">
        <v>0</v>
      </c>
      <c r="P581" s="73">
        <v>0</v>
      </c>
      <c r="Q581" s="73">
        <v>0</v>
      </c>
      <c r="R581" s="50">
        <v>0</v>
      </c>
      <c r="S581" s="50">
        <v>0</v>
      </c>
      <c r="T581" s="66">
        <v>0</v>
      </c>
      <c r="U581" s="66">
        <v>0</v>
      </c>
      <c r="V581" s="66">
        <v>0</v>
      </c>
      <c r="W581" s="66">
        <v>0</v>
      </c>
      <c r="X581" s="66">
        <v>0</v>
      </c>
      <c r="Y581" s="66">
        <v>0</v>
      </c>
      <c r="Z581" s="66">
        <v>0</v>
      </c>
      <c r="AA581" s="66">
        <v>0</v>
      </c>
      <c r="AB581" s="66">
        <v>0</v>
      </c>
      <c r="AC581" s="66">
        <v>0</v>
      </c>
    </row>
    <row r="582" spans="1:29">
      <c r="A582" s="43" t="s">
        <v>673</v>
      </c>
      <c r="B582" s="43" t="s">
        <v>535</v>
      </c>
      <c r="C582" s="72">
        <v>8.8999999999999996E-2</v>
      </c>
      <c r="D582" s="72">
        <v>0.41399999999999998</v>
      </c>
      <c r="E582" s="72">
        <v>3.0000000000000001E-3</v>
      </c>
      <c r="F582" s="72">
        <v>0.11</v>
      </c>
      <c r="G582" s="72">
        <v>0.10100000000000001</v>
      </c>
      <c r="H582" s="72">
        <v>0.11</v>
      </c>
      <c r="I582" s="72">
        <v>0</v>
      </c>
      <c r="J582" s="72">
        <v>0</v>
      </c>
      <c r="K582" s="72">
        <v>0</v>
      </c>
      <c r="L582" s="72">
        <v>0</v>
      </c>
      <c r="M582" s="72">
        <v>0</v>
      </c>
      <c r="N582" s="73">
        <v>0</v>
      </c>
      <c r="O582" s="73">
        <v>0</v>
      </c>
      <c r="P582" s="73">
        <v>0</v>
      </c>
      <c r="Q582" s="73">
        <v>0</v>
      </c>
      <c r="R582" s="50">
        <v>0</v>
      </c>
      <c r="S582" s="50">
        <v>0</v>
      </c>
      <c r="T582" s="66">
        <v>0</v>
      </c>
      <c r="U582" s="66">
        <v>0</v>
      </c>
      <c r="V582" s="66">
        <v>0</v>
      </c>
      <c r="W582" s="66">
        <v>0</v>
      </c>
      <c r="X582" s="66">
        <v>0</v>
      </c>
      <c r="Y582" s="66">
        <v>0</v>
      </c>
      <c r="Z582" s="66">
        <v>0</v>
      </c>
      <c r="AA582" s="66">
        <v>0</v>
      </c>
      <c r="AB582" s="66">
        <v>0</v>
      </c>
      <c r="AC582" s="66">
        <v>0</v>
      </c>
    </row>
    <row r="583" spans="1:29">
      <c r="A583" s="43" t="s">
        <v>677</v>
      </c>
      <c r="B583" s="43" t="s">
        <v>752</v>
      </c>
      <c r="C583" s="72">
        <v>4858.66</v>
      </c>
      <c r="D583" s="72">
        <v>4858.76</v>
      </c>
      <c r="E583" s="72">
        <v>4157.5</v>
      </c>
      <c r="F583" s="72">
        <v>3482.9</v>
      </c>
      <c r="G583" s="72">
        <v>2837.88</v>
      </c>
      <c r="H583" s="72">
        <v>3059.53</v>
      </c>
      <c r="I583" s="72">
        <v>2223.94</v>
      </c>
      <c r="J583" s="72">
        <v>1943.74</v>
      </c>
      <c r="K583" s="72">
        <v>1983.15</v>
      </c>
      <c r="L583" s="72">
        <v>3209.9780000000001</v>
      </c>
      <c r="M583" s="72">
        <v>2018.2750000000001</v>
      </c>
      <c r="N583" s="73">
        <v>-441.28099999999995</v>
      </c>
      <c r="O583" s="73">
        <v>-480.59399999999999</v>
      </c>
      <c r="P583" s="73">
        <v>-129.77000000000001</v>
      </c>
      <c r="Q583" s="73">
        <v>-108.25999999999999</v>
      </c>
      <c r="R583" s="50">
        <v>-240.8</v>
      </c>
      <c r="S583" s="50">
        <v>-14</v>
      </c>
      <c r="T583" s="66" t="s">
        <v>685</v>
      </c>
      <c r="U583" s="66" t="s">
        <v>685</v>
      </c>
      <c r="V583" s="66" t="s">
        <v>685</v>
      </c>
      <c r="W583" s="66" t="s">
        <v>685</v>
      </c>
      <c r="X583" s="66" t="s">
        <v>685</v>
      </c>
      <c r="Y583" s="66" t="s">
        <v>685</v>
      </c>
      <c r="Z583" s="66" t="s">
        <v>685</v>
      </c>
      <c r="AA583" s="66">
        <v>0</v>
      </c>
      <c r="AB583" s="66">
        <v>0</v>
      </c>
      <c r="AC583" s="66">
        <v>0</v>
      </c>
    </row>
    <row r="584" spans="1:29">
      <c r="A584" s="43" t="s">
        <v>677</v>
      </c>
      <c r="B584" s="43" t="s">
        <v>663</v>
      </c>
      <c r="C584" s="72">
        <v>21985.7</v>
      </c>
      <c r="D584" s="72">
        <v>10700.03</v>
      </c>
      <c r="E584" s="72">
        <v>13082.3</v>
      </c>
      <c r="F584" s="72">
        <v>8050.9</v>
      </c>
      <c r="G584" s="72">
        <v>8810.89</v>
      </c>
      <c r="H584" s="72">
        <v>10219</v>
      </c>
      <c r="I584" s="72">
        <v>0</v>
      </c>
      <c r="J584" s="72">
        <v>0.82499999999999996</v>
      </c>
      <c r="K584" s="72">
        <v>0</v>
      </c>
      <c r="L584" s="72">
        <v>0</v>
      </c>
      <c r="M584" s="72">
        <v>68.078999999999994</v>
      </c>
      <c r="N584" s="73">
        <v>8.8000000000000009E-2</v>
      </c>
      <c r="O584" s="73">
        <v>79.144999999999996</v>
      </c>
      <c r="P584" s="73">
        <v>88.010999999999996</v>
      </c>
      <c r="Q584" s="73">
        <v>4.4000000000000004E-2</v>
      </c>
      <c r="R584" s="50">
        <f>0.05*1.1</f>
        <v>5.5000000000000007E-2</v>
      </c>
      <c r="S584" s="50">
        <f>0.02*1.1</f>
        <v>2.2000000000000002E-2</v>
      </c>
      <c r="T584" s="66" t="s">
        <v>685</v>
      </c>
      <c r="U584" s="66" t="s">
        <v>685</v>
      </c>
      <c r="V584" s="66" t="s">
        <v>685</v>
      </c>
      <c r="W584" s="66" t="s">
        <v>685</v>
      </c>
      <c r="X584" s="66" t="s">
        <v>685</v>
      </c>
      <c r="Y584" s="66" t="s">
        <v>685</v>
      </c>
      <c r="Z584" s="66" t="s">
        <v>685</v>
      </c>
      <c r="AA584" s="66">
        <f>0.057*1.1</f>
        <v>6.2700000000000006E-2</v>
      </c>
      <c r="AB584" s="66">
        <f>0.049*1.1</f>
        <v>5.3900000000000003E-2</v>
      </c>
      <c r="AC584" s="66">
        <f>0.01664*1.1</f>
        <v>1.8304000000000001E-2</v>
      </c>
    </row>
    <row r="585" spans="1:29">
      <c r="A585" s="43" t="s">
        <v>677</v>
      </c>
      <c r="B585" s="43" t="s">
        <v>243</v>
      </c>
      <c r="C585" s="72">
        <v>0</v>
      </c>
      <c r="D585" s="72">
        <v>89.1</v>
      </c>
      <c r="E585" s="72">
        <v>284.60000000000002</v>
      </c>
      <c r="F585" s="72">
        <v>212.8</v>
      </c>
      <c r="G585" s="72">
        <v>141</v>
      </c>
      <c r="H585" s="72">
        <v>230.4</v>
      </c>
      <c r="I585" s="72">
        <v>140.4</v>
      </c>
      <c r="J585" s="72">
        <v>147.30000000000001</v>
      </c>
      <c r="K585" s="72">
        <v>103.8</v>
      </c>
      <c r="L585" s="72">
        <v>105.6</v>
      </c>
      <c r="M585" s="72">
        <v>52.8</v>
      </c>
      <c r="N585" s="73">
        <v>51.63</v>
      </c>
      <c r="O585" s="73">
        <v>0</v>
      </c>
      <c r="P585" s="73">
        <v>0</v>
      </c>
      <c r="Q585" s="73">
        <v>0</v>
      </c>
      <c r="R585" s="50">
        <v>0</v>
      </c>
      <c r="S585" s="50">
        <v>0</v>
      </c>
      <c r="T585" s="66" t="s">
        <v>685</v>
      </c>
      <c r="U585" s="66" t="s">
        <v>685</v>
      </c>
      <c r="V585" s="66" t="s">
        <v>685</v>
      </c>
      <c r="W585" s="66" t="s">
        <v>685</v>
      </c>
      <c r="X585" s="66" t="s">
        <v>685</v>
      </c>
      <c r="Y585" s="66" t="s">
        <v>685</v>
      </c>
      <c r="Z585" s="66" t="s">
        <v>685</v>
      </c>
      <c r="AA585" s="66">
        <v>0</v>
      </c>
      <c r="AB585" s="66">
        <v>0</v>
      </c>
      <c r="AC585" s="66">
        <v>0</v>
      </c>
    </row>
    <row r="586" spans="1:29">
      <c r="A586" s="43" t="s">
        <v>677</v>
      </c>
      <c r="B586" s="43" t="s">
        <v>95</v>
      </c>
      <c r="C586" s="73">
        <v>311.62699999999995</v>
      </c>
      <c r="D586" s="73">
        <v>347.029</v>
      </c>
      <c r="E586" s="73">
        <v>432.142</v>
      </c>
      <c r="F586" s="73">
        <v>473.23</v>
      </c>
      <c r="G586" s="73">
        <v>1133.8699999999999</v>
      </c>
      <c r="H586" s="73">
        <v>1848.6654999999998</v>
      </c>
      <c r="I586" s="73">
        <v>1172.3664999999999</v>
      </c>
      <c r="J586" s="73">
        <v>792.36168999999995</v>
      </c>
      <c r="K586" s="73">
        <v>728.28</v>
      </c>
      <c r="L586" s="73">
        <v>1448.8445000000002</v>
      </c>
      <c r="M586" s="73">
        <v>1185.1122499999999</v>
      </c>
      <c r="N586" s="73">
        <v>1285.9762799999999</v>
      </c>
      <c r="O586" s="73">
        <v>1440.2013499999998</v>
      </c>
      <c r="P586" s="73">
        <v>1214.7568899999999</v>
      </c>
      <c r="Q586" s="73">
        <v>1125.6125999999999</v>
      </c>
      <c r="R586" s="50">
        <f>((5065.9-10093.3+12618.8)*0.055)+((7071.4-97.3)*0.11)+((158.3-0.04)*0.065)+((92.1-3)*0.02)+((10.9-74.6)*0.022)</f>
        <v>1195.3454999999999</v>
      </c>
      <c r="S586" s="50">
        <f>((3512.8+11812.7-8620.9)*0.055)+((7362.3-1056.1)*0.11)+((456.2-18.5)*0.065)+((72-8.7)*0.02)+((161.3-4)*0.022)</f>
        <v>1095.6121000000003</v>
      </c>
      <c r="T586" s="66">
        <f>((3614.34+7872-4058.3)*0.055)+((6017-253.4)*0.11)+(725.52*0.065)+(36.95*0.02)+((98.53-69.2)*0.022)</f>
        <v>1091.0812599999999</v>
      </c>
      <c r="U586" s="66">
        <f>((3043.2+7378-5726.6)*0.055)+((5043.7-352.3)*0.11)+(89*0.065)+(20.9*0.02)+((4.2-66.4)*0.022)</f>
        <v>779.09160000000008</v>
      </c>
      <c r="V586" s="66">
        <f>((2349.2+9214-6626.96)*0.055)+((4298.6-295.6)*0.11)+(166.23*0.065)+((31.5-3.04)*0.02)+((83.87-62.91)*0.022)</f>
        <v>723.65847000000008</v>
      </c>
      <c r="W586" s="66">
        <f>((2523.13+4728.95-2783.92)*0.055)+((3872.68-211.22)*0.11)+(158.78*0.065)+((51.53-2.96)*0.02)+((71.36-45.65)*0.022)</f>
        <v>660.36712</v>
      </c>
      <c r="X586" s="66">
        <f>((2442.203+4773.057-2579.539)*0.055)+((2685.065+-0.191-360.465)*0.11)+((138.594-0.92)*0.065)+((14.029-2.249)*0.02)+((14.425-22.563)*0.022)</f>
        <v>519.65501899999992</v>
      </c>
      <c r="Y586" s="66">
        <f>((2425.09+5965.23-3696.195)*0.055)+((1350.63-19.47)*0.11)+((153.38-16.56)*0.065)+((25.81-0.95)*0.02)+(10.03*0.022)</f>
        <v>414.21563500000002</v>
      </c>
      <c r="Z586" s="66">
        <f>((1529.39+7717.55-6284.57)*0.055)+((1350.09-1.9)*0.11)+((139.74-2.48)*0.065)+(45.76*0.02)</f>
        <v>321.06835000000007</v>
      </c>
      <c r="AA586" s="66">
        <f>((1465.63+5680.11-4101.25)*0.055)+((536.46-0.57)*0.11)+((113.73-0.91)*0.065)+((41.27-1.27)*0.02)</f>
        <v>234.52815000000001</v>
      </c>
      <c r="AB586" s="66">
        <f>((1623.086708+1030.94-1103.72510919)*0.055)+(316.1*0.11)-(3.9*0.02)</f>
        <v>119.95958793455002</v>
      </c>
      <c r="AC586" s="66">
        <f>((1965.31182529+2515.594393-2197.85433379185)*0.055)+((41.2948023-0.2399976)*0.11)-(0.44*0.065)+((17.24241312-3.0417932)*0.02)</f>
        <v>130.33929456279822</v>
      </c>
    </row>
    <row r="587" spans="1:29">
      <c r="A587" s="43" t="s">
        <v>677</v>
      </c>
      <c r="B587" s="43" t="s">
        <v>825</v>
      </c>
      <c r="Q587" s="73">
        <v>0</v>
      </c>
      <c r="R587" s="50">
        <f>(-229.9*0.11)</f>
        <v>-25.289000000000001</v>
      </c>
      <c r="S587" s="50">
        <f>+(-110*0.11)</f>
        <v>-12.1</v>
      </c>
      <c r="T587" s="66">
        <v>0</v>
      </c>
      <c r="U587" s="66">
        <v>0</v>
      </c>
      <c r="V587" s="66">
        <v>0</v>
      </c>
      <c r="W587" s="66">
        <f>-70.78*0.11</f>
        <v>-7.7858000000000001</v>
      </c>
      <c r="X587" s="66">
        <v>0</v>
      </c>
      <c r="Y587" s="66">
        <v>0</v>
      </c>
      <c r="Z587" s="66">
        <v>0</v>
      </c>
      <c r="AA587" s="66">
        <v>0</v>
      </c>
      <c r="AB587" s="66">
        <v>0</v>
      </c>
      <c r="AC587" s="66">
        <v>0</v>
      </c>
    </row>
    <row r="588" spans="1:29">
      <c r="A588" s="43" t="s">
        <v>677</v>
      </c>
      <c r="B588" s="43" t="s">
        <v>574</v>
      </c>
      <c r="C588" s="72">
        <v>2397.2399999999998</v>
      </c>
      <c r="D588" s="72">
        <v>1250.4000000000001</v>
      </c>
      <c r="E588" s="72">
        <v>1878</v>
      </c>
      <c r="F588" s="72">
        <v>1871.28</v>
      </c>
      <c r="G588" s="72">
        <v>1026.54</v>
      </c>
      <c r="H588" s="72">
        <v>1082.4000000000001</v>
      </c>
      <c r="I588" s="72">
        <v>1100.124</v>
      </c>
      <c r="J588" s="72">
        <v>1067.49</v>
      </c>
      <c r="K588" s="72">
        <v>967.95</v>
      </c>
      <c r="L588" s="72">
        <v>1068.6959999999999</v>
      </c>
      <c r="M588" s="72">
        <v>891.04200000000003</v>
      </c>
      <c r="N588" s="73">
        <v>722.63400000000001</v>
      </c>
      <c r="O588" s="73">
        <v>894.6</v>
      </c>
      <c r="P588" s="73">
        <v>840.32399999999996</v>
      </c>
      <c r="Q588" s="73">
        <v>745.44</v>
      </c>
      <c r="R588" s="50">
        <f>1113.2*0.6</f>
        <v>667.92</v>
      </c>
      <c r="S588" s="50">
        <f>813.73*0.6</f>
        <v>488.238</v>
      </c>
      <c r="T588" s="66">
        <f>541*0.6</f>
        <v>324.59999999999997</v>
      </c>
      <c r="U588" s="66">
        <f>545.6*0.6</f>
        <v>327.36</v>
      </c>
      <c r="V588" s="66">
        <v>0</v>
      </c>
      <c r="W588" s="66">
        <f>84.81*0.6</f>
        <v>50.886000000000003</v>
      </c>
      <c r="X588" s="66">
        <f>82.325*0.6</f>
        <v>49.395000000000003</v>
      </c>
      <c r="Y588" s="66">
        <v>0</v>
      </c>
      <c r="Z588" s="66">
        <v>0</v>
      </c>
      <c r="AA588" s="66">
        <v>0</v>
      </c>
      <c r="AB588" s="66">
        <v>0</v>
      </c>
      <c r="AC588" s="66">
        <v>0</v>
      </c>
    </row>
    <row r="589" spans="1:29">
      <c r="A589" s="43" t="s">
        <v>677</v>
      </c>
      <c r="B589" s="43" t="s">
        <v>535</v>
      </c>
      <c r="C589" s="72">
        <v>135.83000000000001</v>
      </c>
      <c r="D589" s="72">
        <v>122.6</v>
      </c>
      <c r="E589" s="72">
        <v>107.98</v>
      </c>
      <c r="F589" s="72">
        <v>76.400000000000006</v>
      </c>
      <c r="G589" s="72">
        <v>54.21</v>
      </c>
      <c r="H589" s="72">
        <v>38.6</v>
      </c>
      <c r="I589" s="72">
        <v>30</v>
      </c>
      <c r="J589" s="72">
        <v>0</v>
      </c>
      <c r="K589" s="72">
        <v>0</v>
      </c>
      <c r="L589" s="72">
        <v>0</v>
      </c>
      <c r="M589" s="72">
        <v>0</v>
      </c>
      <c r="N589" s="73">
        <v>2E-3</v>
      </c>
      <c r="O589" s="73">
        <v>0.13</v>
      </c>
      <c r="P589" s="73">
        <v>1E-4</v>
      </c>
      <c r="Q589" s="73">
        <v>1E-4</v>
      </c>
      <c r="R589" s="50">
        <v>0</v>
      </c>
      <c r="S589" s="50">
        <v>0</v>
      </c>
      <c r="T589" s="66">
        <v>0</v>
      </c>
      <c r="U589" s="66">
        <v>0</v>
      </c>
      <c r="V589" s="66">
        <v>0</v>
      </c>
      <c r="W589" s="66">
        <v>0</v>
      </c>
      <c r="X589" s="66">
        <v>0</v>
      </c>
      <c r="Y589" s="66">
        <v>0</v>
      </c>
      <c r="Z589" s="66">
        <v>0</v>
      </c>
      <c r="AA589" s="66">
        <v>0</v>
      </c>
      <c r="AB589" s="66">
        <v>0</v>
      </c>
      <c r="AC589" s="66">
        <v>0</v>
      </c>
    </row>
    <row r="590" spans="1:29">
      <c r="A590" s="69" t="s">
        <v>415</v>
      </c>
      <c r="B590" s="67" t="s">
        <v>752</v>
      </c>
      <c r="K590" s="72">
        <v>1.6839999999999999</v>
      </c>
      <c r="L590" s="72">
        <v>1.444</v>
      </c>
      <c r="M590" s="72">
        <v>0.38</v>
      </c>
      <c r="O590" s="73">
        <v>0.49199999999999999</v>
      </c>
      <c r="P590" s="73">
        <v>0</v>
      </c>
      <c r="Q590" s="73">
        <v>0</v>
      </c>
      <c r="R590" s="50">
        <v>0</v>
      </c>
      <c r="S590" s="50">
        <v>0</v>
      </c>
      <c r="T590" s="66" t="s">
        <v>685</v>
      </c>
      <c r="U590" s="66" t="s">
        <v>685</v>
      </c>
      <c r="V590" s="66" t="s">
        <v>685</v>
      </c>
      <c r="W590" s="66" t="s">
        <v>685</v>
      </c>
      <c r="X590" s="66" t="s">
        <v>685</v>
      </c>
      <c r="Y590" s="66" t="s">
        <v>685</v>
      </c>
      <c r="Z590" s="66" t="s">
        <v>685</v>
      </c>
      <c r="AA590" s="66">
        <v>0</v>
      </c>
      <c r="AB590" s="66">
        <v>0</v>
      </c>
      <c r="AC590" s="66">
        <v>0</v>
      </c>
    </row>
    <row r="591" spans="1:29">
      <c r="A591" s="69" t="s">
        <v>415</v>
      </c>
      <c r="B591" s="67" t="s">
        <v>663</v>
      </c>
      <c r="K591" s="72">
        <v>0</v>
      </c>
      <c r="L591" s="72">
        <v>0</v>
      </c>
      <c r="M591" s="72">
        <v>0</v>
      </c>
      <c r="O591" s="73">
        <v>0</v>
      </c>
      <c r="P591" s="73">
        <v>0</v>
      </c>
      <c r="Q591" s="73">
        <v>0</v>
      </c>
      <c r="R591" s="50">
        <v>0</v>
      </c>
      <c r="S591" s="50">
        <v>0</v>
      </c>
      <c r="T591" s="66" t="s">
        <v>685</v>
      </c>
      <c r="U591" s="66" t="s">
        <v>685</v>
      </c>
      <c r="V591" s="66" t="s">
        <v>685</v>
      </c>
      <c r="W591" s="66" t="s">
        <v>685</v>
      </c>
      <c r="X591" s="66" t="s">
        <v>685</v>
      </c>
      <c r="Y591" s="66" t="s">
        <v>685</v>
      </c>
      <c r="Z591" s="66" t="s">
        <v>685</v>
      </c>
      <c r="AA591" s="66">
        <v>0</v>
      </c>
      <c r="AB591" s="66">
        <v>0</v>
      </c>
      <c r="AC591" s="66">
        <v>0</v>
      </c>
    </row>
    <row r="592" spans="1:29">
      <c r="A592" s="69" t="s">
        <v>415</v>
      </c>
      <c r="B592" s="43" t="s">
        <v>243</v>
      </c>
      <c r="K592" s="72">
        <v>0</v>
      </c>
      <c r="L592" s="72">
        <v>0</v>
      </c>
      <c r="M592" s="72">
        <v>0</v>
      </c>
      <c r="O592" s="73">
        <v>0</v>
      </c>
      <c r="P592" s="73">
        <v>0</v>
      </c>
      <c r="Q592" s="73">
        <v>0</v>
      </c>
      <c r="R592" s="50">
        <v>0</v>
      </c>
      <c r="S592" s="50">
        <v>0</v>
      </c>
      <c r="T592" s="66" t="s">
        <v>685</v>
      </c>
      <c r="U592" s="66" t="s">
        <v>685</v>
      </c>
      <c r="V592" s="66" t="s">
        <v>685</v>
      </c>
      <c r="W592" s="66" t="s">
        <v>685</v>
      </c>
      <c r="X592" s="66" t="s">
        <v>685</v>
      </c>
      <c r="Y592" s="66" t="s">
        <v>685</v>
      </c>
      <c r="Z592" s="66" t="s">
        <v>685</v>
      </c>
      <c r="AA592" s="66">
        <v>0</v>
      </c>
      <c r="AB592" s="66">
        <v>0</v>
      </c>
      <c r="AC592" s="66">
        <v>0</v>
      </c>
    </row>
    <row r="593" spans="1:29">
      <c r="A593" s="69" t="s">
        <v>415</v>
      </c>
      <c r="B593" s="43" t="s">
        <v>95</v>
      </c>
      <c r="K593" s="73">
        <v>0.26345000000000002</v>
      </c>
      <c r="L593" s="73">
        <v>0.36519999999999997</v>
      </c>
      <c r="M593" s="73">
        <v>0.1474</v>
      </c>
      <c r="O593" s="50">
        <v>4.2900000000000001E-2</v>
      </c>
      <c r="P593" s="73">
        <v>0.21559999999999999</v>
      </c>
      <c r="Q593" s="73">
        <f>(1.64*0.055)+(0.14*0.022)</f>
        <v>9.3279999999999988E-2</v>
      </c>
      <c r="R593" s="50">
        <f>3.34*0.055</f>
        <v>0.1837</v>
      </c>
      <c r="S593" s="50">
        <f>1.17*0.055</f>
        <v>6.4349999999999991E-2</v>
      </c>
      <c r="T593" s="66">
        <f>1.14*0.055</f>
        <v>6.2699999999999992E-2</v>
      </c>
      <c r="U593" s="66">
        <f>(0.59*0.055)+(0.02*0.022)</f>
        <v>3.2890000000000003E-2</v>
      </c>
      <c r="V593" s="66">
        <f>(1.44*0.055)+(0.06*0.11)</f>
        <v>8.5799999999999987E-2</v>
      </c>
      <c r="W593" s="76">
        <f>0.082*0.055</f>
        <v>4.5100000000000001E-3</v>
      </c>
      <c r="X593" s="76">
        <f>0.73*0.055</f>
        <v>4.0149999999999998E-2</v>
      </c>
      <c r="Y593" s="76">
        <f>0.065*0.055</f>
        <v>3.5750000000000001E-3</v>
      </c>
      <c r="Z593" s="76">
        <v>0</v>
      </c>
      <c r="AA593" s="66">
        <f>1.818*0.055</f>
        <v>9.9990000000000009E-2</v>
      </c>
      <c r="AB593" s="66">
        <v>0</v>
      </c>
      <c r="AC593" s="66">
        <f>(0.22*0.055)+(0.02*0.022)</f>
        <v>1.2539999999999999E-2</v>
      </c>
    </row>
    <row r="594" spans="1:29">
      <c r="A594" s="69" t="s">
        <v>415</v>
      </c>
      <c r="B594" s="43" t="s">
        <v>825</v>
      </c>
      <c r="Q594" s="73">
        <v>0</v>
      </c>
      <c r="R594" s="50">
        <v>0</v>
      </c>
      <c r="S594" s="50">
        <v>0</v>
      </c>
      <c r="T594" s="66">
        <v>0</v>
      </c>
      <c r="U594" s="66">
        <v>0</v>
      </c>
      <c r="V594" s="66">
        <v>0</v>
      </c>
      <c r="W594" s="66">
        <v>0</v>
      </c>
      <c r="X594" s="66">
        <v>0</v>
      </c>
      <c r="Y594" s="66">
        <v>0</v>
      </c>
      <c r="Z594" s="66">
        <v>0</v>
      </c>
      <c r="AA594" s="66">
        <v>0</v>
      </c>
      <c r="AB594" s="66">
        <v>0</v>
      </c>
      <c r="AC594" s="66">
        <v>0</v>
      </c>
    </row>
    <row r="595" spans="1:29">
      <c r="A595" s="69" t="s">
        <v>415</v>
      </c>
      <c r="B595" s="43" t="s">
        <v>574</v>
      </c>
      <c r="K595" s="72">
        <v>0</v>
      </c>
      <c r="L595" s="72">
        <v>0</v>
      </c>
      <c r="M595" s="72">
        <v>0</v>
      </c>
      <c r="O595" s="73">
        <v>0</v>
      </c>
      <c r="P595" s="73">
        <v>0</v>
      </c>
      <c r="Q595" s="73">
        <v>0</v>
      </c>
      <c r="R595" s="50">
        <v>0</v>
      </c>
      <c r="S595" s="50">
        <v>0</v>
      </c>
      <c r="T595" s="66">
        <v>0</v>
      </c>
      <c r="U595" s="66">
        <v>0</v>
      </c>
      <c r="V595" s="66">
        <v>0</v>
      </c>
      <c r="W595" s="66">
        <v>0</v>
      </c>
      <c r="X595" s="66">
        <v>0</v>
      </c>
      <c r="Y595" s="66">
        <v>0</v>
      </c>
      <c r="Z595" s="66">
        <v>0</v>
      </c>
      <c r="AA595" s="66">
        <v>0</v>
      </c>
      <c r="AB595" s="66">
        <v>0</v>
      </c>
      <c r="AC595" s="66">
        <v>0</v>
      </c>
    </row>
    <row r="596" spans="1:29">
      <c r="A596" s="69" t="s">
        <v>415</v>
      </c>
      <c r="B596" s="67" t="s">
        <v>535</v>
      </c>
      <c r="K596" s="72">
        <v>0</v>
      </c>
      <c r="L596" s="72">
        <v>0</v>
      </c>
      <c r="M596" s="72">
        <v>0</v>
      </c>
      <c r="O596" s="73">
        <v>0</v>
      </c>
      <c r="P596" s="73">
        <v>0</v>
      </c>
      <c r="Q596" s="73">
        <v>0</v>
      </c>
      <c r="R596" s="50">
        <v>0</v>
      </c>
      <c r="S596" s="50">
        <v>0</v>
      </c>
      <c r="T596" s="66">
        <v>0</v>
      </c>
      <c r="U596" s="66">
        <v>0</v>
      </c>
      <c r="V596" s="66">
        <v>0</v>
      </c>
      <c r="W596" s="66">
        <v>0</v>
      </c>
      <c r="X596" s="66">
        <v>0</v>
      </c>
      <c r="Y596" s="66">
        <v>0</v>
      </c>
      <c r="Z596" s="66">
        <v>0</v>
      </c>
      <c r="AA596" s="66">
        <v>0</v>
      </c>
      <c r="AB596" s="66">
        <v>0</v>
      </c>
      <c r="AC596" s="66">
        <v>0</v>
      </c>
    </row>
    <row r="597" spans="1:29">
      <c r="A597" s="43" t="s">
        <v>236</v>
      </c>
      <c r="B597" s="43" t="s">
        <v>752</v>
      </c>
      <c r="F597" s="72">
        <v>20.02</v>
      </c>
      <c r="G597" s="72">
        <v>20.6</v>
      </c>
      <c r="H597" s="72">
        <v>13.86</v>
      </c>
      <c r="I597" s="72">
        <v>9.42</v>
      </c>
      <c r="J597" s="72">
        <v>6.9</v>
      </c>
      <c r="K597" s="72">
        <v>5.74</v>
      </c>
      <c r="L597" s="72">
        <v>4.08</v>
      </c>
      <c r="M597" s="72">
        <v>3.73</v>
      </c>
      <c r="N597" s="73">
        <v>2.2240000000000002</v>
      </c>
      <c r="O597" s="73">
        <v>1.0900000000000001</v>
      </c>
      <c r="P597" s="73">
        <v>0.42599999999999999</v>
      </c>
      <c r="Q597" s="73">
        <v>0.73</v>
      </c>
      <c r="R597" s="50">
        <v>0</v>
      </c>
      <c r="S597" s="50">
        <v>0</v>
      </c>
      <c r="T597" s="66" t="s">
        <v>685</v>
      </c>
      <c r="U597" s="66" t="s">
        <v>685</v>
      </c>
      <c r="V597" s="66" t="s">
        <v>685</v>
      </c>
      <c r="W597" s="66" t="s">
        <v>685</v>
      </c>
      <c r="X597" s="66" t="s">
        <v>685</v>
      </c>
      <c r="Y597" s="66" t="s">
        <v>685</v>
      </c>
      <c r="Z597" s="66" t="s">
        <v>685</v>
      </c>
      <c r="AA597" s="66">
        <v>0</v>
      </c>
      <c r="AB597" s="66">
        <v>0</v>
      </c>
      <c r="AC597" s="66">
        <v>0</v>
      </c>
    </row>
    <row r="598" spans="1:29">
      <c r="A598" s="43" t="s">
        <v>236</v>
      </c>
      <c r="B598" s="43" t="s">
        <v>663</v>
      </c>
      <c r="F598" s="72">
        <v>0</v>
      </c>
      <c r="G598" s="72">
        <v>0</v>
      </c>
      <c r="H598" s="72">
        <v>0</v>
      </c>
      <c r="I598" s="72">
        <v>0</v>
      </c>
      <c r="J598" s="72">
        <v>0</v>
      </c>
      <c r="K598" s="72">
        <v>0</v>
      </c>
      <c r="L598" s="72">
        <v>0</v>
      </c>
      <c r="M598" s="72">
        <v>0</v>
      </c>
      <c r="N598" s="73">
        <v>0</v>
      </c>
      <c r="O598" s="73">
        <v>0</v>
      </c>
      <c r="P598" s="73">
        <v>0</v>
      </c>
      <c r="Q598" s="73">
        <v>0</v>
      </c>
      <c r="R598" s="50">
        <v>0</v>
      </c>
      <c r="S598" s="50">
        <v>0</v>
      </c>
      <c r="T598" s="66" t="s">
        <v>685</v>
      </c>
      <c r="U598" s="66" t="s">
        <v>685</v>
      </c>
      <c r="V598" s="66" t="s">
        <v>685</v>
      </c>
      <c r="W598" s="66" t="s">
        <v>685</v>
      </c>
      <c r="X598" s="66" t="s">
        <v>685</v>
      </c>
      <c r="Y598" s="66" t="s">
        <v>685</v>
      </c>
      <c r="Z598" s="66" t="s">
        <v>685</v>
      </c>
      <c r="AA598" s="66">
        <v>0</v>
      </c>
      <c r="AB598" s="66">
        <v>0</v>
      </c>
      <c r="AC598" s="66">
        <v>0</v>
      </c>
    </row>
    <row r="599" spans="1:29">
      <c r="A599" s="43" t="s">
        <v>236</v>
      </c>
      <c r="B599" s="43" t="s">
        <v>243</v>
      </c>
      <c r="F599" s="72">
        <v>0</v>
      </c>
      <c r="G599" s="72">
        <v>0</v>
      </c>
      <c r="H599" s="72">
        <v>0</v>
      </c>
      <c r="I599" s="72">
        <v>0</v>
      </c>
      <c r="J599" s="72">
        <v>0</v>
      </c>
      <c r="K599" s="72">
        <v>0</v>
      </c>
      <c r="L599" s="72">
        <v>0</v>
      </c>
      <c r="M599" s="72">
        <v>0</v>
      </c>
      <c r="N599" s="73">
        <v>0</v>
      </c>
      <c r="O599" s="73">
        <v>0</v>
      </c>
      <c r="P599" s="73">
        <v>0</v>
      </c>
      <c r="Q599" s="73">
        <v>0</v>
      </c>
      <c r="R599" s="50">
        <v>0</v>
      </c>
      <c r="S599" s="50">
        <v>0</v>
      </c>
      <c r="T599" s="66" t="s">
        <v>685</v>
      </c>
      <c r="U599" s="66" t="s">
        <v>685</v>
      </c>
      <c r="V599" s="66" t="s">
        <v>685</v>
      </c>
      <c r="W599" s="66" t="s">
        <v>685</v>
      </c>
      <c r="X599" s="66" t="s">
        <v>685</v>
      </c>
      <c r="Y599" s="66" t="s">
        <v>685</v>
      </c>
      <c r="Z599" s="66" t="s">
        <v>685</v>
      </c>
      <c r="AA599" s="66">
        <v>0</v>
      </c>
      <c r="AB599" s="66">
        <v>0</v>
      </c>
      <c r="AC599" s="66">
        <v>0</v>
      </c>
    </row>
    <row r="600" spans="1:29">
      <c r="A600" s="43" t="s">
        <v>236</v>
      </c>
      <c r="B600" s="43" t="s">
        <v>95</v>
      </c>
      <c r="F600" s="73">
        <v>1.21E-2</v>
      </c>
      <c r="G600" s="73">
        <v>0</v>
      </c>
      <c r="H600" s="73">
        <v>0.19524999999999998</v>
      </c>
      <c r="I600" s="73">
        <v>0.55000000000000004</v>
      </c>
      <c r="J600" s="73">
        <v>0.51150000000000007</v>
      </c>
      <c r="K600" s="73">
        <v>0</v>
      </c>
      <c r="L600" s="73">
        <v>0</v>
      </c>
      <c r="M600" s="73">
        <v>0</v>
      </c>
      <c r="N600" s="73">
        <v>0</v>
      </c>
      <c r="O600" s="73">
        <v>0.72489999999999999</v>
      </c>
      <c r="P600" s="73">
        <v>2.1934</v>
      </c>
      <c r="Q600" s="73">
        <v>1.15225</v>
      </c>
      <c r="R600" s="50">
        <f>26.5*0.055</f>
        <v>1.4575</v>
      </c>
      <c r="S600" s="50">
        <f>21.09*0.055</f>
        <v>1.15995</v>
      </c>
      <c r="T600" s="66">
        <f>52.17*0.055</f>
        <v>2.8693500000000003</v>
      </c>
      <c r="U600" s="66">
        <f>(16.995*0.055)+(0.064*0.065)</f>
        <v>0.93888500000000008</v>
      </c>
      <c r="V600" s="66">
        <f>(6.85112*0.055)+(0.004875*0.065)</f>
        <v>0.37712847499999996</v>
      </c>
      <c r="W600" s="66">
        <f>(11.564*0.055)+(0.01476*0.065)</f>
        <v>0.63697940000000008</v>
      </c>
      <c r="X600" s="66">
        <f>8.1845*0.055</f>
        <v>0.45014749999999998</v>
      </c>
      <c r="Y600" s="66">
        <f>10.712*0.055</f>
        <v>0.58916000000000002</v>
      </c>
      <c r="Z600" s="66">
        <f>12.61*0.055</f>
        <v>0.69355</v>
      </c>
      <c r="AA600" s="66">
        <f>13.376*0.055</f>
        <v>0.73568</v>
      </c>
      <c r="AB600" s="66">
        <f>0.4432*0.055</f>
        <v>2.4375999999999998E-2</v>
      </c>
      <c r="AC600" s="66">
        <f>3.291*0.055</f>
        <v>0.181005</v>
      </c>
    </row>
    <row r="601" spans="1:29">
      <c r="A601" s="43" t="s">
        <v>236</v>
      </c>
      <c r="B601" s="43" t="s">
        <v>825</v>
      </c>
      <c r="Q601" s="73">
        <v>0</v>
      </c>
      <c r="R601" s="50">
        <v>0</v>
      </c>
      <c r="S601" s="50">
        <v>0</v>
      </c>
      <c r="T601" s="66">
        <v>0</v>
      </c>
      <c r="U601" s="66">
        <v>0</v>
      </c>
      <c r="V601" s="66">
        <v>0</v>
      </c>
      <c r="W601" s="66">
        <v>0</v>
      </c>
      <c r="X601" s="66">
        <v>0</v>
      </c>
      <c r="Y601" s="66">
        <v>0</v>
      </c>
      <c r="Z601" s="66">
        <v>0</v>
      </c>
      <c r="AA601" s="66">
        <v>0</v>
      </c>
      <c r="AB601" s="66">
        <v>0</v>
      </c>
      <c r="AC601" s="66">
        <v>0</v>
      </c>
    </row>
    <row r="602" spans="1:29">
      <c r="A602" s="43" t="s">
        <v>236</v>
      </c>
      <c r="B602" s="43" t="s">
        <v>574</v>
      </c>
      <c r="F602" s="72">
        <v>0</v>
      </c>
      <c r="G602" s="72">
        <v>0</v>
      </c>
      <c r="H602" s="72">
        <v>0</v>
      </c>
      <c r="I602" s="72">
        <v>0</v>
      </c>
      <c r="J602" s="72">
        <v>0</v>
      </c>
      <c r="K602" s="72">
        <v>0</v>
      </c>
      <c r="L602" s="72">
        <v>0</v>
      </c>
      <c r="M602" s="72">
        <v>0</v>
      </c>
      <c r="N602" s="73">
        <v>0</v>
      </c>
      <c r="O602" s="73">
        <v>0</v>
      </c>
      <c r="P602" s="73">
        <v>0</v>
      </c>
      <c r="Q602" s="73">
        <v>0</v>
      </c>
      <c r="R602" s="50">
        <v>0</v>
      </c>
      <c r="S602" s="50">
        <v>0</v>
      </c>
      <c r="T602" s="66">
        <v>0</v>
      </c>
      <c r="U602" s="66">
        <v>0</v>
      </c>
      <c r="V602" s="66">
        <v>0</v>
      </c>
      <c r="W602" s="66">
        <v>0</v>
      </c>
      <c r="X602" s="66">
        <v>0</v>
      </c>
      <c r="Y602" s="66">
        <v>0</v>
      </c>
      <c r="Z602" s="66">
        <v>0</v>
      </c>
      <c r="AA602" s="66">
        <v>0</v>
      </c>
      <c r="AB602" s="66">
        <v>0</v>
      </c>
      <c r="AC602" s="66">
        <v>0</v>
      </c>
    </row>
    <row r="603" spans="1:29">
      <c r="A603" s="43" t="s">
        <v>236</v>
      </c>
      <c r="B603" s="43" t="s">
        <v>535</v>
      </c>
      <c r="F603" s="72">
        <v>0</v>
      </c>
      <c r="G603" s="72">
        <v>0</v>
      </c>
      <c r="H603" s="72">
        <v>0</v>
      </c>
      <c r="I603" s="72">
        <v>0</v>
      </c>
      <c r="J603" s="72">
        <v>0</v>
      </c>
      <c r="K603" s="72">
        <v>0</v>
      </c>
      <c r="L603" s="72">
        <v>0</v>
      </c>
      <c r="M603" s="72">
        <v>0</v>
      </c>
      <c r="N603" s="73">
        <v>0</v>
      </c>
      <c r="O603" s="73">
        <v>0</v>
      </c>
      <c r="P603" s="73">
        <v>0</v>
      </c>
      <c r="Q603" s="73">
        <v>0</v>
      </c>
      <c r="R603" s="50">
        <v>0</v>
      </c>
      <c r="S603" s="50">
        <v>0</v>
      </c>
      <c r="T603" s="66">
        <v>0</v>
      </c>
      <c r="U603" s="66">
        <v>0</v>
      </c>
      <c r="V603" s="66">
        <v>0</v>
      </c>
      <c r="W603" s="66">
        <v>0</v>
      </c>
      <c r="X603" s="66">
        <v>0</v>
      </c>
      <c r="Y603" s="66">
        <v>0</v>
      </c>
      <c r="Z603" s="66">
        <v>0</v>
      </c>
      <c r="AA603" s="66">
        <v>0</v>
      </c>
      <c r="AB603" s="66">
        <v>0</v>
      </c>
      <c r="AC603" s="66">
        <v>0</v>
      </c>
    </row>
    <row r="604" spans="1:29">
      <c r="A604" s="68" t="s">
        <v>183</v>
      </c>
      <c r="B604" s="68" t="s">
        <v>752</v>
      </c>
      <c r="O604" s="73">
        <v>3.536</v>
      </c>
      <c r="P604" s="73">
        <v>0.08</v>
      </c>
      <c r="Q604" s="73">
        <v>0</v>
      </c>
      <c r="R604" s="50">
        <v>0</v>
      </c>
      <c r="S604" s="50">
        <v>0</v>
      </c>
      <c r="T604" s="66" t="s">
        <v>685</v>
      </c>
      <c r="U604" s="66" t="s">
        <v>685</v>
      </c>
      <c r="V604" s="66" t="s">
        <v>685</v>
      </c>
      <c r="W604" s="66" t="s">
        <v>685</v>
      </c>
      <c r="X604" s="66" t="s">
        <v>685</v>
      </c>
      <c r="Y604" s="66" t="s">
        <v>685</v>
      </c>
      <c r="Z604" s="66" t="s">
        <v>685</v>
      </c>
      <c r="AA604" s="66">
        <v>0</v>
      </c>
      <c r="AB604" s="66">
        <v>0</v>
      </c>
      <c r="AC604" s="66">
        <v>0</v>
      </c>
    </row>
    <row r="605" spans="1:29">
      <c r="A605" s="68" t="s">
        <v>183</v>
      </c>
      <c r="B605" s="68" t="s">
        <v>663</v>
      </c>
      <c r="O605" s="73">
        <v>0</v>
      </c>
      <c r="P605" s="73">
        <v>2.1999999999999999E-2</v>
      </c>
      <c r="Q605" s="73">
        <v>0</v>
      </c>
      <c r="R605" s="50">
        <v>0</v>
      </c>
      <c r="S605" s="50">
        <v>0</v>
      </c>
      <c r="T605" s="66" t="s">
        <v>685</v>
      </c>
      <c r="U605" s="66" t="s">
        <v>685</v>
      </c>
      <c r="V605" s="66" t="s">
        <v>685</v>
      </c>
      <c r="W605" s="66" t="s">
        <v>685</v>
      </c>
      <c r="X605" s="66" t="s">
        <v>685</v>
      </c>
      <c r="Y605" s="66" t="s">
        <v>685</v>
      </c>
      <c r="Z605" s="66" t="s">
        <v>685</v>
      </c>
      <c r="AA605" s="66">
        <v>0</v>
      </c>
      <c r="AB605" s="66">
        <v>0</v>
      </c>
      <c r="AC605" s="66">
        <v>0</v>
      </c>
    </row>
    <row r="606" spans="1:29">
      <c r="A606" s="68" t="s">
        <v>183</v>
      </c>
      <c r="B606" s="43" t="s">
        <v>243</v>
      </c>
      <c r="O606" s="73">
        <v>0</v>
      </c>
      <c r="P606" s="73">
        <v>0</v>
      </c>
      <c r="Q606" s="73">
        <v>0</v>
      </c>
      <c r="R606" s="50">
        <v>0</v>
      </c>
      <c r="S606" s="50">
        <v>0</v>
      </c>
      <c r="T606" s="66" t="s">
        <v>685</v>
      </c>
      <c r="U606" s="66" t="s">
        <v>685</v>
      </c>
      <c r="V606" s="66" t="s">
        <v>685</v>
      </c>
      <c r="W606" s="66" t="s">
        <v>685</v>
      </c>
      <c r="X606" s="66" t="s">
        <v>685</v>
      </c>
      <c r="Y606" s="66" t="s">
        <v>685</v>
      </c>
      <c r="Z606" s="66" t="s">
        <v>685</v>
      </c>
      <c r="AA606" s="66">
        <v>0</v>
      </c>
      <c r="AB606" s="66">
        <v>0</v>
      </c>
      <c r="AC606" s="66">
        <v>0</v>
      </c>
    </row>
    <row r="607" spans="1:29">
      <c r="A607" s="68" t="s">
        <v>183</v>
      </c>
      <c r="B607" s="68" t="s">
        <v>95</v>
      </c>
      <c r="O607" s="73">
        <v>0.74052000000000007</v>
      </c>
      <c r="P607" s="73">
        <v>0.38170000000000004</v>
      </c>
      <c r="Q607" s="73">
        <v>0.94269999999999998</v>
      </c>
      <c r="R607" s="50">
        <f>10.61*0.055</f>
        <v>0.58355000000000001</v>
      </c>
      <c r="S607" s="50">
        <f>13.12*0.055</f>
        <v>0.72159999999999991</v>
      </c>
      <c r="T607" s="66">
        <f>17.14*0.055</f>
        <v>0.94269999999999998</v>
      </c>
      <c r="U607" s="66">
        <f>13.6*0.055</f>
        <v>0.748</v>
      </c>
      <c r="V607" s="66">
        <f>12.99*0.055</f>
        <v>0.71445000000000003</v>
      </c>
      <c r="W607" s="66">
        <f>12.15*0.055</f>
        <v>0.66825000000000001</v>
      </c>
      <c r="X607" s="66">
        <f>11.29*0.055</f>
        <v>0.62095</v>
      </c>
      <c r="Y607" s="66">
        <f>3.54*0.055</f>
        <v>0.19470000000000001</v>
      </c>
      <c r="Z607" s="66">
        <f>3.09*0.055</f>
        <v>0.16994999999999999</v>
      </c>
      <c r="AA607" s="66">
        <f>0.94*0.055</f>
        <v>5.1699999999999996E-2</v>
      </c>
      <c r="AB607" s="66">
        <f>2.45*0.055</f>
        <v>0.13475000000000001</v>
      </c>
      <c r="AC607" s="66">
        <f>1.89*0.055</f>
        <v>0.10395</v>
      </c>
    </row>
    <row r="608" spans="1:29">
      <c r="A608" s="68" t="s">
        <v>183</v>
      </c>
      <c r="B608" s="43" t="s">
        <v>825</v>
      </c>
      <c r="Q608" s="73">
        <v>0</v>
      </c>
      <c r="R608" s="50">
        <v>0</v>
      </c>
      <c r="S608" s="50">
        <v>0</v>
      </c>
      <c r="T608" s="66">
        <v>0</v>
      </c>
      <c r="U608" s="66">
        <v>0</v>
      </c>
      <c r="V608" s="66">
        <v>0</v>
      </c>
      <c r="W608" s="66">
        <v>0</v>
      </c>
      <c r="X608" s="66">
        <v>0</v>
      </c>
      <c r="Y608" s="66">
        <v>0</v>
      </c>
      <c r="Z608" s="66">
        <v>0</v>
      </c>
      <c r="AA608" s="66">
        <v>0</v>
      </c>
      <c r="AB608" s="66">
        <v>0</v>
      </c>
      <c r="AC608" s="66">
        <v>0</v>
      </c>
    </row>
    <row r="609" spans="1:30">
      <c r="A609" s="68" t="s">
        <v>183</v>
      </c>
      <c r="B609" s="43" t="s">
        <v>574</v>
      </c>
      <c r="O609" s="73">
        <v>0</v>
      </c>
      <c r="P609" s="73">
        <v>0</v>
      </c>
      <c r="Q609" s="73">
        <v>0</v>
      </c>
      <c r="R609" s="50">
        <v>0</v>
      </c>
      <c r="S609" s="50">
        <v>0</v>
      </c>
      <c r="T609" s="66">
        <v>0</v>
      </c>
      <c r="U609" s="66">
        <v>0</v>
      </c>
      <c r="V609" s="66">
        <v>0</v>
      </c>
      <c r="W609" s="66">
        <v>0</v>
      </c>
      <c r="X609" s="66">
        <v>0</v>
      </c>
      <c r="Y609" s="66">
        <v>0</v>
      </c>
      <c r="Z609" s="66">
        <v>0</v>
      </c>
      <c r="AA609" s="66">
        <v>0</v>
      </c>
      <c r="AB609" s="66">
        <v>0</v>
      </c>
      <c r="AC609" s="66">
        <v>0</v>
      </c>
    </row>
    <row r="610" spans="1:30">
      <c r="A610" s="68" t="s">
        <v>183</v>
      </c>
      <c r="B610" s="68" t="s">
        <v>535</v>
      </c>
      <c r="O610" s="73">
        <v>0</v>
      </c>
      <c r="P610" s="73">
        <v>0</v>
      </c>
      <c r="Q610" s="73">
        <v>0</v>
      </c>
      <c r="R610" s="50">
        <v>0</v>
      </c>
      <c r="S610" s="50">
        <v>0</v>
      </c>
      <c r="T610" s="66">
        <v>0</v>
      </c>
      <c r="U610" s="66">
        <v>0</v>
      </c>
      <c r="V610" s="66">
        <v>0</v>
      </c>
      <c r="W610" s="66">
        <v>0</v>
      </c>
      <c r="X610" s="66">
        <v>0</v>
      </c>
      <c r="Y610" s="66">
        <v>0</v>
      </c>
      <c r="Z610" s="66">
        <v>0</v>
      </c>
      <c r="AA610" s="66">
        <v>0</v>
      </c>
      <c r="AB610" s="66">
        <v>0</v>
      </c>
      <c r="AC610" s="66">
        <v>0</v>
      </c>
    </row>
    <row r="611" spans="1:30">
      <c r="A611" s="43" t="s">
        <v>237</v>
      </c>
      <c r="B611" s="43" t="s">
        <v>752</v>
      </c>
      <c r="C611" s="72">
        <v>706.8</v>
      </c>
      <c r="D611" s="72">
        <v>814</v>
      </c>
      <c r="E611" s="72">
        <v>886</v>
      </c>
      <c r="G611" s="72">
        <v>870.6</v>
      </c>
      <c r="H611" s="72">
        <v>564</v>
      </c>
      <c r="I611" s="72">
        <v>435.21</v>
      </c>
      <c r="J611" s="72">
        <v>668.55</v>
      </c>
      <c r="K611" s="72">
        <v>474.84</v>
      </c>
      <c r="L611" s="72">
        <v>329</v>
      </c>
      <c r="M611" s="72">
        <v>38.72</v>
      </c>
      <c r="N611" s="73">
        <v>40</v>
      </c>
      <c r="O611" s="73">
        <v>24.08</v>
      </c>
      <c r="P611" s="73">
        <v>0</v>
      </c>
      <c r="Q611" s="73">
        <v>0</v>
      </c>
      <c r="R611" s="50">
        <v>0</v>
      </c>
      <c r="S611" s="50">
        <v>0</v>
      </c>
      <c r="T611" s="66">
        <v>0</v>
      </c>
      <c r="U611" s="66">
        <v>0</v>
      </c>
      <c r="V611" s="66" t="s">
        <v>685</v>
      </c>
      <c r="W611" s="66" t="s">
        <v>685</v>
      </c>
      <c r="X611" s="66" t="s">
        <v>685</v>
      </c>
      <c r="Y611" s="66" t="s">
        <v>685</v>
      </c>
      <c r="Z611" s="66" t="s">
        <v>685</v>
      </c>
      <c r="AA611" s="66">
        <v>0</v>
      </c>
      <c r="AB611" s="66">
        <v>0</v>
      </c>
      <c r="AC611" s="66">
        <v>0</v>
      </c>
    </row>
    <row r="612" spans="1:30">
      <c r="A612" s="43" t="s">
        <v>237</v>
      </c>
      <c r="B612" s="43" t="s">
        <v>663</v>
      </c>
      <c r="C612" s="72">
        <v>0</v>
      </c>
      <c r="D612" s="72">
        <v>0</v>
      </c>
      <c r="E612" s="72">
        <v>1.1000000000000001</v>
      </c>
      <c r="G612" s="72">
        <v>1.1000000000000001</v>
      </c>
      <c r="H612" s="72">
        <v>1.1000000000000001</v>
      </c>
      <c r="I612" s="72">
        <v>0.22</v>
      </c>
      <c r="J612" s="72">
        <v>0.22</v>
      </c>
      <c r="K612" s="72">
        <v>9.9000000000000005E-2</v>
      </c>
      <c r="L612" s="72">
        <v>4.3999999999999997E-2</v>
      </c>
      <c r="M612" s="72">
        <v>3.3000000000000002E-2</v>
      </c>
      <c r="N612" s="73">
        <v>0.10076</v>
      </c>
      <c r="O612" s="73">
        <v>3.5200000000000001E-3</v>
      </c>
      <c r="P612" s="73">
        <v>0</v>
      </c>
      <c r="Q612" s="73">
        <v>0</v>
      </c>
      <c r="R612" s="50">
        <v>0</v>
      </c>
      <c r="S612" s="50">
        <v>0</v>
      </c>
      <c r="T612" s="66">
        <v>0</v>
      </c>
      <c r="U612" s="66">
        <v>0</v>
      </c>
      <c r="V612" s="66" t="s">
        <v>685</v>
      </c>
      <c r="W612" s="66" t="s">
        <v>685</v>
      </c>
      <c r="X612" s="66" t="s">
        <v>685</v>
      </c>
      <c r="Y612" s="66" t="s">
        <v>685</v>
      </c>
      <c r="Z612" s="66" t="s">
        <v>685</v>
      </c>
      <c r="AA612" s="66">
        <v>0</v>
      </c>
      <c r="AB612" s="66">
        <v>0</v>
      </c>
      <c r="AC612" s="66">
        <v>0</v>
      </c>
    </row>
    <row r="613" spans="1:30">
      <c r="A613" s="43" t="s">
        <v>237</v>
      </c>
      <c r="B613" s="43" t="s">
        <v>243</v>
      </c>
      <c r="C613" s="72">
        <v>21</v>
      </c>
      <c r="D613" s="72">
        <v>0</v>
      </c>
      <c r="E613" s="72">
        <v>0</v>
      </c>
      <c r="G613" s="72">
        <v>0</v>
      </c>
      <c r="H613" s="72">
        <v>0</v>
      </c>
      <c r="I613" s="72">
        <v>0</v>
      </c>
      <c r="J613" s="72">
        <v>3.9</v>
      </c>
      <c r="K613" s="72">
        <v>0</v>
      </c>
      <c r="L613" s="72">
        <v>0</v>
      </c>
      <c r="M613" s="72">
        <v>0.03</v>
      </c>
      <c r="N613" s="73">
        <v>0</v>
      </c>
      <c r="O613" s="73">
        <v>0</v>
      </c>
      <c r="P613" s="73">
        <v>0</v>
      </c>
      <c r="Q613" s="73">
        <v>0</v>
      </c>
      <c r="R613" s="50">
        <v>0</v>
      </c>
      <c r="S613" s="50">
        <v>0</v>
      </c>
      <c r="T613" s="66">
        <v>0</v>
      </c>
      <c r="U613" s="66">
        <v>0</v>
      </c>
      <c r="V613" s="66" t="s">
        <v>685</v>
      </c>
      <c r="W613" s="66" t="s">
        <v>685</v>
      </c>
      <c r="X613" s="66" t="s">
        <v>685</v>
      </c>
      <c r="Y613" s="66" t="s">
        <v>685</v>
      </c>
      <c r="Z613" s="66" t="s">
        <v>685</v>
      </c>
      <c r="AA613" s="66">
        <v>0</v>
      </c>
      <c r="AB613" s="66">
        <v>0</v>
      </c>
      <c r="AC613" s="66">
        <v>0</v>
      </c>
    </row>
    <row r="614" spans="1:30">
      <c r="A614" s="43" t="s">
        <v>237</v>
      </c>
      <c r="B614" s="43" t="s">
        <v>95</v>
      </c>
      <c r="C614" s="73">
        <v>0</v>
      </c>
      <c r="D614" s="73">
        <v>0</v>
      </c>
      <c r="E614" s="73">
        <v>17.82</v>
      </c>
      <c r="G614" s="73">
        <v>20.46</v>
      </c>
      <c r="H614" s="73">
        <v>21.23</v>
      </c>
      <c r="I614" s="73">
        <v>21.23</v>
      </c>
      <c r="J614" s="77" t="s">
        <v>642</v>
      </c>
      <c r="K614" s="77" t="s">
        <v>642</v>
      </c>
      <c r="L614" s="73">
        <v>40.700000000000003</v>
      </c>
      <c r="M614" s="73">
        <v>31.9</v>
      </c>
      <c r="N614" s="73">
        <v>49.774999999999999</v>
      </c>
      <c r="O614" s="73">
        <v>33.164999999999999</v>
      </c>
      <c r="P614" s="73">
        <v>50.930550000000004</v>
      </c>
      <c r="Q614" s="73">
        <f>67.9723-(73.52*0.11)</f>
        <v>59.885100000000008</v>
      </c>
      <c r="R614" s="50">
        <f>(576.52*0.055)+(100.8*0.11)</f>
        <v>42.796599999999998</v>
      </c>
      <c r="S614" s="50">
        <f>(1053.57*0.055)+(106.9*0.11)+(0.0165*0.022)</f>
        <v>69.705712999999989</v>
      </c>
      <c r="T614" s="66">
        <f>(896.04*0.055)+(90.2*0.11)</f>
        <v>59.2042</v>
      </c>
      <c r="U614" s="66">
        <f>(701.635*0.055)+(5.5*0.11)</f>
        <v>39.194924999999998</v>
      </c>
      <c r="V614" s="66">
        <f>695.672*0.055</f>
        <v>38.261960000000002</v>
      </c>
      <c r="W614" s="66">
        <f>329.78*0.055</f>
        <v>18.137899999999998</v>
      </c>
      <c r="X614" s="66">
        <f>488.66*0.055</f>
        <v>26.876300000000001</v>
      </c>
      <c r="Y614" s="66">
        <f>593.46*0.055</f>
        <v>32.640300000000003</v>
      </c>
      <c r="Z614" s="66">
        <f>(466.58*0.055)</f>
        <v>25.661899999999999</v>
      </c>
      <c r="AA614" s="66">
        <f>499.83*0.055</f>
        <v>27.490649999999999</v>
      </c>
      <c r="AB614" s="66">
        <f>458.74*0.055</f>
        <v>25.230700000000002</v>
      </c>
      <c r="AC614" s="66">
        <f>320.41*0.055</f>
        <v>17.62255</v>
      </c>
    </row>
    <row r="615" spans="1:30">
      <c r="A615" s="43" t="s">
        <v>237</v>
      </c>
      <c r="B615" s="43" t="s">
        <v>825</v>
      </c>
      <c r="Q615" s="73">
        <f>73.52*0.11</f>
        <v>8.0871999999999993</v>
      </c>
      <c r="R615" s="50">
        <f>78*0.11</f>
        <v>8.58</v>
      </c>
      <c r="S615" s="50">
        <f>82.68*0.11</f>
        <v>9.0948000000000011</v>
      </c>
      <c r="T615" s="50">
        <f>87.64*0.11</f>
        <v>9.6403999999999996</v>
      </c>
      <c r="U615" s="50">
        <f>92.89*0.11</f>
        <v>10.2179</v>
      </c>
      <c r="V615" s="66">
        <f>98.5*0.11</f>
        <v>10.835000000000001</v>
      </c>
      <c r="W615" s="66">
        <f>104.41*0.11</f>
        <v>11.485099999999999</v>
      </c>
      <c r="X615" s="66">
        <f>110.67*0.11</f>
        <v>12.1737</v>
      </c>
      <c r="Y615" s="66">
        <f>117.31*0.11</f>
        <v>12.9041</v>
      </c>
      <c r="Z615" s="66">
        <f>98.4*0.11</f>
        <v>10.824</v>
      </c>
      <c r="AA615" s="66">
        <f>104.3*0.11</f>
        <v>11.472999999999999</v>
      </c>
      <c r="AB615" s="66">
        <f>104.3*0.11</f>
        <v>11.472999999999999</v>
      </c>
      <c r="AC615" s="66">
        <f>104.3*0.11</f>
        <v>11.472999999999999</v>
      </c>
    </row>
    <row r="616" spans="1:30">
      <c r="A616" s="43" t="s">
        <v>237</v>
      </c>
      <c r="B616" s="43" t="s">
        <v>574</v>
      </c>
      <c r="C616" s="72">
        <v>778.8</v>
      </c>
      <c r="D616" s="72">
        <v>651</v>
      </c>
      <c r="E616" s="72">
        <v>399</v>
      </c>
      <c r="G616" s="72">
        <v>409.2</v>
      </c>
      <c r="H616" s="72">
        <v>870.24</v>
      </c>
      <c r="I616" s="72">
        <v>1621.356</v>
      </c>
      <c r="J616" s="72">
        <v>387</v>
      </c>
      <c r="K616" s="72">
        <v>697.2</v>
      </c>
      <c r="L616" s="72">
        <v>691.2</v>
      </c>
      <c r="M616" s="72">
        <v>524.76</v>
      </c>
      <c r="N616" s="73">
        <v>383.76</v>
      </c>
      <c r="O616" s="73">
        <v>263.76</v>
      </c>
      <c r="P616" s="73">
        <v>161.76</v>
      </c>
      <c r="Q616" s="73">
        <v>108.36</v>
      </c>
      <c r="R616" s="50">
        <f>134.9*0.6</f>
        <v>80.94</v>
      </c>
      <c r="S616" s="50">
        <f>94.9*0.6</f>
        <v>56.940000000000005</v>
      </c>
      <c r="T616" s="66">
        <f>36.65*0.6</f>
        <v>21.99</v>
      </c>
      <c r="U616" s="66">
        <v>0</v>
      </c>
      <c r="V616" s="66">
        <v>0</v>
      </c>
      <c r="W616" s="66">
        <v>0</v>
      </c>
      <c r="X616" s="66">
        <v>0</v>
      </c>
      <c r="Y616" s="66">
        <v>0</v>
      </c>
      <c r="Z616" s="66">
        <v>0</v>
      </c>
      <c r="AA616" s="66">
        <v>0</v>
      </c>
      <c r="AB616" s="66">
        <v>0</v>
      </c>
      <c r="AC616" s="66">
        <v>0</v>
      </c>
    </row>
    <row r="617" spans="1:30">
      <c r="A617" s="43" t="s">
        <v>237</v>
      </c>
      <c r="B617" s="43" t="s">
        <v>535</v>
      </c>
      <c r="C617" s="72">
        <v>0</v>
      </c>
      <c r="D617" s="72">
        <v>0</v>
      </c>
      <c r="E617" s="72">
        <v>0.1</v>
      </c>
      <c r="G617" s="72">
        <v>0.1</v>
      </c>
      <c r="H617" s="72">
        <v>0</v>
      </c>
      <c r="I617" s="72">
        <v>0</v>
      </c>
      <c r="J617" s="72">
        <v>0.01</v>
      </c>
      <c r="K617" s="72">
        <v>1E-3</v>
      </c>
      <c r="L617" s="72">
        <v>0</v>
      </c>
      <c r="M617" s="72">
        <v>0</v>
      </c>
      <c r="N617" s="73">
        <v>0</v>
      </c>
      <c r="O617" s="73">
        <v>1.3999999999999999E-4</v>
      </c>
      <c r="P617" s="73">
        <v>0</v>
      </c>
      <c r="Q617" s="73">
        <v>0</v>
      </c>
      <c r="R617" s="50">
        <v>0</v>
      </c>
      <c r="S617" s="50">
        <v>0</v>
      </c>
      <c r="T617" s="66">
        <v>0</v>
      </c>
      <c r="U617" s="66">
        <v>0</v>
      </c>
      <c r="V617" s="66">
        <v>0</v>
      </c>
      <c r="W617" s="66">
        <v>0</v>
      </c>
      <c r="X617" s="66">
        <v>0</v>
      </c>
      <c r="Y617" s="66">
        <v>0</v>
      </c>
      <c r="Z617" s="66">
        <v>0</v>
      </c>
      <c r="AA617" s="66">
        <v>0</v>
      </c>
      <c r="AB617" s="66">
        <v>0</v>
      </c>
      <c r="AC617" s="66">
        <v>0</v>
      </c>
    </row>
    <row r="618" spans="1:30">
      <c r="A618" s="43" t="s">
        <v>96</v>
      </c>
      <c r="B618" s="43" t="s">
        <v>752</v>
      </c>
      <c r="M618" s="72">
        <v>0.3</v>
      </c>
      <c r="N618" s="73">
        <v>2.2999999999999998</v>
      </c>
      <c r="O618" s="73">
        <v>2.2999999999999998</v>
      </c>
      <c r="P618" s="73">
        <v>1.3</v>
      </c>
      <c r="Q618" s="73">
        <v>1.2</v>
      </c>
      <c r="R618" s="50">
        <v>0</v>
      </c>
      <c r="S618" s="50">
        <v>0</v>
      </c>
      <c r="T618" s="66" t="s">
        <v>685</v>
      </c>
      <c r="U618" s="66" t="s">
        <v>685</v>
      </c>
      <c r="V618" s="66" t="s">
        <v>685</v>
      </c>
      <c r="W618" s="66" t="s">
        <v>685</v>
      </c>
      <c r="X618" s="66" t="s">
        <v>685</v>
      </c>
      <c r="Y618" s="66" t="s">
        <v>685</v>
      </c>
      <c r="Z618" s="66" t="s">
        <v>685</v>
      </c>
      <c r="AA618" s="66">
        <v>0</v>
      </c>
      <c r="AB618" s="66">
        <v>0</v>
      </c>
      <c r="AC618" s="66">
        <v>0</v>
      </c>
    </row>
    <row r="619" spans="1:30">
      <c r="A619" s="43" t="s">
        <v>96</v>
      </c>
      <c r="B619" s="43" t="s">
        <v>663</v>
      </c>
      <c r="M619" s="72">
        <v>0</v>
      </c>
      <c r="N619" s="73">
        <v>0</v>
      </c>
      <c r="O619" s="73">
        <v>0</v>
      </c>
      <c r="P619" s="73">
        <v>0</v>
      </c>
      <c r="Q619" s="73">
        <v>0</v>
      </c>
      <c r="R619" s="50">
        <v>0</v>
      </c>
      <c r="S619" s="50">
        <v>0</v>
      </c>
      <c r="T619" s="66" t="s">
        <v>685</v>
      </c>
      <c r="U619" s="66" t="s">
        <v>685</v>
      </c>
      <c r="V619" s="66" t="s">
        <v>685</v>
      </c>
      <c r="W619" s="66" t="s">
        <v>685</v>
      </c>
      <c r="X619" s="66" t="s">
        <v>685</v>
      </c>
      <c r="Y619" s="66" t="s">
        <v>685</v>
      </c>
      <c r="Z619" s="66" t="s">
        <v>685</v>
      </c>
      <c r="AA619" s="66">
        <v>0</v>
      </c>
      <c r="AB619" s="66">
        <v>0</v>
      </c>
      <c r="AC619" s="66">
        <v>0</v>
      </c>
    </row>
    <row r="620" spans="1:30">
      <c r="A620" s="43" t="s">
        <v>96</v>
      </c>
      <c r="B620" s="43" t="s">
        <v>243</v>
      </c>
      <c r="M620" s="72">
        <v>0</v>
      </c>
      <c r="N620" s="73">
        <v>0</v>
      </c>
      <c r="O620" s="73">
        <v>0</v>
      </c>
      <c r="P620" s="73">
        <v>0</v>
      </c>
      <c r="Q620" s="73">
        <v>0</v>
      </c>
      <c r="R620" s="50">
        <v>0</v>
      </c>
      <c r="S620" s="50">
        <v>0</v>
      </c>
      <c r="T620" s="66" t="s">
        <v>685</v>
      </c>
      <c r="U620" s="66" t="s">
        <v>685</v>
      </c>
      <c r="V620" s="66" t="s">
        <v>685</v>
      </c>
      <c r="W620" s="66" t="s">
        <v>685</v>
      </c>
      <c r="X620" s="66" t="s">
        <v>685</v>
      </c>
      <c r="Y620" s="66" t="s">
        <v>685</v>
      </c>
      <c r="Z620" s="66" t="s">
        <v>685</v>
      </c>
      <c r="AA620" s="66">
        <v>0</v>
      </c>
      <c r="AB620" s="66">
        <v>0</v>
      </c>
      <c r="AC620" s="66">
        <v>0</v>
      </c>
    </row>
    <row r="621" spans="1:30">
      <c r="A621" s="43" t="s">
        <v>96</v>
      </c>
      <c r="B621" s="43" t="s">
        <v>95</v>
      </c>
      <c r="M621" s="73">
        <v>1.1000000000000001E-3</v>
      </c>
      <c r="N621" s="73">
        <v>1.2677500000000002</v>
      </c>
      <c r="O621" s="73">
        <v>1.2677500000000002</v>
      </c>
      <c r="P621" s="73">
        <v>2.2330000000000001</v>
      </c>
      <c r="Q621" s="73">
        <f>78.6*0.055</f>
        <v>4.3229999999999995</v>
      </c>
      <c r="R621" s="50">
        <f>157.756*0.055</f>
        <v>8.6765799999999995</v>
      </c>
      <c r="S621" s="50">
        <f>152.8*0.055</f>
        <v>8.4039999999999999</v>
      </c>
      <c r="T621" s="66">
        <f>148*0.055</f>
        <v>8.14</v>
      </c>
      <c r="U621" s="66">
        <f>150*0.055</f>
        <v>8.25</v>
      </c>
      <c r="V621" s="66">
        <f>130*0.055</f>
        <v>7.15</v>
      </c>
      <c r="W621" s="50">
        <f>130*0.055</f>
        <v>7.15</v>
      </c>
      <c r="X621" s="43">
        <f>128*0.055</f>
        <v>7.04</v>
      </c>
      <c r="Y621" s="78">
        <f>91.5*0.055</f>
        <v>5.0324999999999998</v>
      </c>
      <c r="Z621" s="78">
        <f>73*0.055</f>
        <v>4.0149999999999997</v>
      </c>
      <c r="AA621" s="78">
        <f>65*0.055</f>
        <v>3.5750000000000002</v>
      </c>
      <c r="AB621" s="78">
        <f>40.2*0.055</f>
        <v>2.2110000000000003</v>
      </c>
      <c r="AC621" s="78">
        <f>40.2*0.055</f>
        <v>2.2110000000000003</v>
      </c>
      <c r="AD621" s="78"/>
    </row>
    <row r="622" spans="1:30">
      <c r="A622" s="43" t="s">
        <v>96</v>
      </c>
      <c r="B622" s="43" t="s">
        <v>825</v>
      </c>
      <c r="Q622" s="73">
        <v>0</v>
      </c>
      <c r="R622" s="50">
        <v>0</v>
      </c>
      <c r="S622" s="50">
        <v>0</v>
      </c>
      <c r="T622" s="66">
        <v>0</v>
      </c>
      <c r="U622" s="66">
        <v>0</v>
      </c>
      <c r="V622" s="66">
        <v>0</v>
      </c>
      <c r="W622" s="50">
        <v>0</v>
      </c>
      <c r="X622" s="50">
        <v>0</v>
      </c>
      <c r="Y622" s="50">
        <v>0</v>
      </c>
      <c r="Z622" s="50">
        <v>0</v>
      </c>
      <c r="AA622" s="50">
        <v>0</v>
      </c>
      <c r="AB622" s="50">
        <v>0</v>
      </c>
      <c r="AC622" s="50">
        <v>0</v>
      </c>
      <c r="AD622" s="50"/>
    </row>
    <row r="623" spans="1:30">
      <c r="A623" s="43" t="s">
        <v>96</v>
      </c>
      <c r="B623" s="43" t="s">
        <v>574</v>
      </c>
      <c r="M623" s="72">
        <v>0.9</v>
      </c>
      <c r="N623" s="73">
        <v>0.54</v>
      </c>
      <c r="O623" s="73">
        <v>0</v>
      </c>
      <c r="P623" s="73">
        <v>0.24</v>
      </c>
      <c r="Q623" s="73">
        <v>0</v>
      </c>
      <c r="R623" s="50">
        <v>0</v>
      </c>
      <c r="S623" s="50">
        <v>0</v>
      </c>
      <c r="T623" s="66">
        <v>0</v>
      </c>
      <c r="U623" s="66">
        <f>0.47*0.6</f>
        <v>0.28199999999999997</v>
      </c>
      <c r="V623" s="66">
        <v>0</v>
      </c>
      <c r="W623" s="50">
        <v>0</v>
      </c>
      <c r="X623" s="50">
        <v>0</v>
      </c>
      <c r="Y623" s="50">
        <v>0</v>
      </c>
      <c r="Z623" s="50">
        <v>0</v>
      </c>
      <c r="AA623" s="50">
        <v>0</v>
      </c>
      <c r="AB623" s="50">
        <v>0</v>
      </c>
      <c r="AC623" s="50">
        <v>0</v>
      </c>
      <c r="AD623" s="50"/>
    </row>
    <row r="624" spans="1:30">
      <c r="A624" s="43" t="s">
        <v>96</v>
      </c>
      <c r="B624" s="43" t="s">
        <v>535</v>
      </c>
      <c r="M624" s="72">
        <v>0</v>
      </c>
      <c r="N624" s="73">
        <v>0</v>
      </c>
      <c r="O624" s="73">
        <v>0</v>
      </c>
      <c r="P624" s="73">
        <v>0</v>
      </c>
      <c r="Q624" s="73">
        <v>0</v>
      </c>
      <c r="R624" s="50">
        <v>0</v>
      </c>
      <c r="S624" s="50">
        <v>0</v>
      </c>
      <c r="T624" s="66">
        <v>0</v>
      </c>
      <c r="U624" s="66">
        <v>0</v>
      </c>
      <c r="V624" s="66">
        <v>0</v>
      </c>
      <c r="W624" s="50">
        <v>0</v>
      </c>
      <c r="X624" s="50">
        <v>0</v>
      </c>
      <c r="Y624" s="50">
        <v>0</v>
      </c>
      <c r="Z624" s="50">
        <v>0</v>
      </c>
      <c r="AA624" s="50">
        <v>0</v>
      </c>
      <c r="AB624" s="50">
        <v>0</v>
      </c>
      <c r="AC624" s="50">
        <v>0</v>
      </c>
      <c r="AD624" s="50"/>
    </row>
    <row r="625" spans="1:29">
      <c r="A625" s="43" t="s">
        <v>97</v>
      </c>
      <c r="B625" s="43" t="s">
        <v>752</v>
      </c>
      <c r="O625" s="73">
        <v>0</v>
      </c>
      <c r="P625" s="73">
        <v>0</v>
      </c>
      <c r="Q625" s="73">
        <v>0</v>
      </c>
      <c r="R625" s="50">
        <v>0</v>
      </c>
      <c r="S625" s="50">
        <v>0</v>
      </c>
      <c r="T625" s="66" t="s">
        <v>685</v>
      </c>
      <c r="U625" s="66" t="s">
        <v>685</v>
      </c>
      <c r="V625" s="66" t="s">
        <v>685</v>
      </c>
      <c r="W625" s="66" t="s">
        <v>685</v>
      </c>
      <c r="X625" s="66" t="s">
        <v>685</v>
      </c>
      <c r="Y625" s="66" t="s">
        <v>685</v>
      </c>
      <c r="Z625" s="66" t="s">
        <v>685</v>
      </c>
      <c r="AA625" s="66">
        <v>0</v>
      </c>
      <c r="AB625" s="66">
        <v>0</v>
      </c>
      <c r="AC625" s="66">
        <v>0</v>
      </c>
    </row>
    <row r="626" spans="1:29">
      <c r="A626" s="43" t="s">
        <v>97</v>
      </c>
      <c r="B626" s="43" t="s">
        <v>663</v>
      </c>
      <c r="O626" s="73">
        <v>0</v>
      </c>
      <c r="P626" s="73">
        <v>0</v>
      </c>
      <c r="Q626" s="73">
        <v>0</v>
      </c>
      <c r="R626" s="50">
        <v>0</v>
      </c>
      <c r="S626" s="50">
        <v>0</v>
      </c>
      <c r="T626" s="66" t="s">
        <v>685</v>
      </c>
      <c r="U626" s="66" t="s">
        <v>685</v>
      </c>
      <c r="V626" s="66" t="s">
        <v>685</v>
      </c>
      <c r="W626" s="66" t="s">
        <v>685</v>
      </c>
      <c r="X626" s="66" t="s">
        <v>685</v>
      </c>
      <c r="Y626" s="66" t="s">
        <v>685</v>
      </c>
      <c r="Z626" s="66" t="s">
        <v>685</v>
      </c>
      <c r="AA626" s="66">
        <v>0</v>
      </c>
      <c r="AB626" s="66">
        <v>0</v>
      </c>
      <c r="AC626" s="66">
        <v>0</v>
      </c>
    </row>
    <row r="627" spans="1:29">
      <c r="A627" s="43" t="s">
        <v>97</v>
      </c>
      <c r="B627" s="43" t="s">
        <v>243</v>
      </c>
      <c r="O627" s="73">
        <v>0</v>
      </c>
      <c r="P627" s="73">
        <v>0</v>
      </c>
      <c r="Q627" s="73">
        <v>0</v>
      </c>
      <c r="R627" s="50">
        <v>0</v>
      </c>
      <c r="S627" s="50">
        <v>0</v>
      </c>
      <c r="T627" s="66" t="s">
        <v>685</v>
      </c>
      <c r="U627" s="66" t="s">
        <v>685</v>
      </c>
      <c r="V627" s="66" t="s">
        <v>685</v>
      </c>
      <c r="W627" s="66" t="s">
        <v>685</v>
      </c>
      <c r="X627" s="66" t="s">
        <v>685</v>
      </c>
      <c r="Y627" s="66" t="s">
        <v>685</v>
      </c>
      <c r="Z627" s="66" t="s">
        <v>685</v>
      </c>
      <c r="AA627" s="66">
        <v>0</v>
      </c>
      <c r="AB627" s="66">
        <v>0</v>
      </c>
      <c r="AC627" s="66">
        <v>0</v>
      </c>
    </row>
    <row r="628" spans="1:29">
      <c r="A628" s="43" t="s">
        <v>97</v>
      </c>
      <c r="B628" s="43" t="s">
        <v>95</v>
      </c>
      <c r="O628" s="73">
        <v>2.3737999999999997</v>
      </c>
      <c r="P628" s="73">
        <v>1.9601999999999999</v>
      </c>
      <c r="Q628" s="73">
        <f>75.07*0.055</f>
        <v>4.1288499999999999</v>
      </c>
      <c r="R628" s="50">
        <f>(79.79*0.055)+(0.75*0.11)</f>
        <v>4.4709500000000002</v>
      </c>
      <c r="S628" s="50">
        <f>104.58*0.055</f>
        <v>5.7519</v>
      </c>
      <c r="T628" s="66">
        <v>0</v>
      </c>
      <c r="U628" s="66">
        <f>54.989*0.055</f>
        <v>3.0243949999999997</v>
      </c>
      <c r="V628" s="66">
        <f>36*0.055</f>
        <v>1.98</v>
      </c>
      <c r="W628" s="66">
        <f>26.95*0.055</f>
        <v>1.4822500000000001</v>
      </c>
      <c r="X628" s="66">
        <f>60.695*0.055</f>
        <v>3.338225</v>
      </c>
      <c r="Y628" s="66">
        <f>65.31*0.055</f>
        <v>3.59205</v>
      </c>
      <c r="Z628" s="66">
        <f>61.29*0.055</f>
        <v>3.3709500000000001</v>
      </c>
      <c r="AA628" s="66">
        <f>63.67*0.055</f>
        <v>3.5018500000000001</v>
      </c>
      <c r="AB628" s="66">
        <f>37.03*0.055</f>
        <v>2.0366500000000003</v>
      </c>
      <c r="AC628" s="66">
        <f>26.7634*0.055</f>
        <v>1.4719870000000002</v>
      </c>
    </row>
    <row r="629" spans="1:29">
      <c r="A629" s="43" t="s">
        <v>97</v>
      </c>
      <c r="B629" s="43" t="s">
        <v>825</v>
      </c>
      <c r="Q629" s="73">
        <v>0</v>
      </c>
      <c r="R629" s="50">
        <v>0</v>
      </c>
      <c r="S629" s="50">
        <v>0</v>
      </c>
      <c r="T629" s="66">
        <v>0</v>
      </c>
      <c r="U629" s="66">
        <v>0</v>
      </c>
      <c r="V629" s="66">
        <v>0</v>
      </c>
      <c r="W629" s="66">
        <v>0</v>
      </c>
      <c r="X629" s="66">
        <v>0</v>
      </c>
      <c r="Y629" s="66">
        <v>0</v>
      </c>
      <c r="Z629" s="66">
        <f>0.924*0.11</f>
        <v>0.10164000000000001</v>
      </c>
      <c r="AA629" s="66">
        <v>0</v>
      </c>
      <c r="AB629" s="66">
        <v>0</v>
      </c>
      <c r="AC629" s="66">
        <v>0</v>
      </c>
    </row>
    <row r="630" spans="1:29">
      <c r="A630" s="43" t="s">
        <v>97</v>
      </c>
      <c r="B630" s="43" t="s">
        <v>574</v>
      </c>
      <c r="O630" s="73">
        <v>0</v>
      </c>
      <c r="P630" s="73">
        <v>0</v>
      </c>
      <c r="Q630" s="73">
        <v>0</v>
      </c>
      <c r="R630" s="50">
        <v>0</v>
      </c>
      <c r="S630" s="50">
        <v>0</v>
      </c>
      <c r="T630" s="66">
        <v>0</v>
      </c>
      <c r="U630" s="66">
        <v>0</v>
      </c>
      <c r="V630" s="66">
        <v>0</v>
      </c>
      <c r="W630" s="66">
        <v>0</v>
      </c>
      <c r="X630" s="66">
        <v>0</v>
      </c>
      <c r="Y630" s="66">
        <v>0</v>
      </c>
      <c r="Z630" s="66">
        <v>0</v>
      </c>
      <c r="AA630" s="66">
        <v>0</v>
      </c>
      <c r="AB630" s="66">
        <v>0</v>
      </c>
      <c r="AC630" s="66">
        <v>0</v>
      </c>
    </row>
    <row r="631" spans="1:29">
      <c r="A631" s="43" t="s">
        <v>97</v>
      </c>
      <c r="B631" s="43" t="s">
        <v>535</v>
      </c>
      <c r="O631" s="73">
        <v>0</v>
      </c>
      <c r="P631" s="73">
        <v>0</v>
      </c>
      <c r="Q631" s="73">
        <v>0</v>
      </c>
      <c r="R631" s="50">
        <v>0</v>
      </c>
      <c r="S631" s="50">
        <v>0</v>
      </c>
      <c r="T631" s="66">
        <v>0</v>
      </c>
      <c r="U631" s="66">
        <v>0</v>
      </c>
      <c r="V631" s="66">
        <v>0</v>
      </c>
      <c r="W631" s="66">
        <v>0</v>
      </c>
      <c r="X631" s="66">
        <v>0</v>
      </c>
      <c r="Y631" s="66">
        <v>0</v>
      </c>
      <c r="Z631" s="66">
        <v>0</v>
      </c>
      <c r="AA631" s="66">
        <v>0</v>
      </c>
      <c r="AB631" s="66">
        <v>0</v>
      </c>
      <c r="AC631" s="66">
        <v>0</v>
      </c>
    </row>
    <row r="632" spans="1:29">
      <c r="A632" s="43" t="s">
        <v>98</v>
      </c>
      <c r="B632" s="43" t="s">
        <v>752</v>
      </c>
      <c r="C632" s="72">
        <v>27.06</v>
      </c>
      <c r="D632" s="72">
        <v>28.43</v>
      </c>
      <c r="E632" s="72">
        <v>19.25</v>
      </c>
      <c r="F632" s="72">
        <v>16.760000000000002</v>
      </c>
      <c r="G632" s="72">
        <v>16.760000000000002</v>
      </c>
      <c r="H632" s="72">
        <v>22.13</v>
      </c>
      <c r="I632" s="72">
        <v>24</v>
      </c>
      <c r="J632" s="72">
        <v>20</v>
      </c>
      <c r="K632" s="72">
        <v>17.2</v>
      </c>
      <c r="L632" s="72">
        <v>7.7</v>
      </c>
      <c r="M632" s="72">
        <v>0</v>
      </c>
      <c r="N632" s="73">
        <v>0</v>
      </c>
      <c r="O632" s="73">
        <v>0</v>
      </c>
      <c r="P632" s="73">
        <v>0</v>
      </c>
      <c r="Q632" s="73">
        <v>0</v>
      </c>
      <c r="R632" s="50">
        <v>0</v>
      </c>
      <c r="S632" s="50">
        <v>0</v>
      </c>
      <c r="T632" s="66" t="s">
        <v>685</v>
      </c>
      <c r="U632" s="66" t="s">
        <v>685</v>
      </c>
      <c r="V632" s="66" t="s">
        <v>685</v>
      </c>
      <c r="W632" s="66" t="s">
        <v>685</v>
      </c>
      <c r="X632" s="66" t="s">
        <v>685</v>
      </c>
      <c r="Y632" s="66" t="s">
        <v>685</v>
      </c>
      <c r="Z632" s="66" t="s">
        <v>685</v>
      </c>
      <c r="AA632" s="66">
        <v>0</v>
      </c>
      <c r="AB632" s="66">
        <v>0</v>
      </c>
      <c r="AC632" s="66">
        <v>0</v>
      </c>
    </row>
    <row r="633" spans="1:29">
      <c r="A633" s="43" t="s">
        <v>98</v>
      </c>
      <c r="B633" s="43" t="s">
        <v>663</v>
      </c>
      <c r="C633" s="72">
        <v>0</v>
      </c>
      <c r="D633" s="72">
        <v>0</v>
      </c>
      <c r="E633" s="72">
        <v>0</v>
      </c>
      <c r="F633" s="72">
        <v>0</v>
      </c>
      <c r="G633" s="72">
        <v>0</v>
      </c>
      <c r="H633" s="72">
        <v>0</v>
      </c>
      <c r="I633" s="72">
        <v>0</v>
      </c>
      <c r="J633" s="72">
        <v>0</v>
      </c>
      <c r="K633" s="72">
        <v>0</v>
      </c>
      <c r="L633" s="72">
        <v>0</v>
      </c>
      <c r="M633" s="72">
        <v>0</v>
      </c>
      <c r="N633" s="73">
        <v>0</v>
      </c>
      <c r="O633" s="73">
        <v>0</v>
      </c>
      <c r="P633" s="73">
        <v>0</v>
      </c>
      <c r="Q633" s="73">
        <v>0</v>
      </c>
      <c r="R633" s="50">
        <v>0</v>
      </c>
      <c r="S633" s="50">
        <v>0</v>
      </c>
      <c r="T633" s="66" t="s">
        <v>685</v>
      </c>
      <c r="U633" s="66" t="s">
        <v>685</v>
      </c>
      <c r="V633" s="66" t="s">
        <v>685</v>
      </c>
      <c r="W633" s="66" t="s">
        <v>685</v>
      </c>
      <c r="X633" s="66" t="s">
        <v>685</v>
      </c>
      <c r="Y633" s="66" t="s">
        <v>685</v>
      </c>
      <c r="Z633" s="66" t="s">
        <v>685</v>
      </c>
      <c r="AA633" s="66">
        <v>0</v>
      </c>
      <c r="AB633" s="66">
        <v>0</v>
      </c>
      <c r="AC633" s="66">
        <v>0</v>
      </c>
    </row>
    <row r="634" spans="1:29">
      <c r="A634" s="43" t="s">
        <v>98</v>
      </c>
      <c r="B634" s="43" t="s">
        <v>243</v>
      </c>
      <c r="C634" s="72">
        <v>10.199999999999999</v>
      </c>
      <c r="D634" s="72">
        <v>7.3</v>
      </c>
      <c r="E634" s="72">
        <v>7.3</v>
      </c>
      <c r="F634" s="72">
        <v>6.71</v>
      </c>
      <c r="G634" s="72">
        <v>7.67</v>
      </c>
      <c r="H634" s="72">
        <v>0</v>
      </c>
      <c r="I634" s="72">
        <v>0</v>
      </c>
      <c r="J634" s="72">
        <v>0</v>
      </c>
      <c r="K634" s="72">
        <v>0</v>
      </c>
      <c r="L634" s="72">
        <v>0</v>
      </c>
      <c r="M634" s="72">
        <v>0</v>
      </c>
      <c r="N634" s="73">
        <v>0</v>
      </c>
      <c r="O634" s="73">
        <v>0</v>
      </c>
      <c r="P634" s="73">
        <v>0</v>
      </c>
      <c r="Q634" s="73">
        <v>0</v>
      </c>
      <c r="R634" s="50">
        <v>0</v>
      </c>
      <c r="S634" s="50">
        <v>0</v>
      </c>
      <c r="T634" s="66" t="s">
        <v>685</v>
      </c>
      <c r="U634" s="66" t="s">
        <v>685</v>
      </c>
      <c r="V634" s="66" t="s">
        <v>685</v>
      </c>
      <c r="W634" s="66" t="s">
        <v>685</v>
      </c>
      <c r="X634" s="66" t="s">
        <v>685</v>
      </c>
      <c r="Y634" s="66" t="s">
        <v>685</v>
      </c>
      <c r="Z634" s="66" t="s">
        <v>685</v>
      </c>
      <c r="AA634" s="66">
        <v>0</v>
      </c>
      <c r="AB634" s="66">
        <v>0</v>
      </c>
      <c r="AC634" s="66">
        <v>0</v>
      </c>
    </row>
    <row r="635" spans="1:29">
      <c r="A635" s="43" t="s">
        <v>98</v>
      </c>
      <c r="B635" s="43" t="s">
        <v>95</v>
      </c>
      <c r="C635" s="73">
        <v>0.12595000000000001</v>
      </c>
      <c r="D635" s="73">
        <v>6.6879999999999997</v>
      </c>
      <c r="E635" s="73">
        <v>6.6879999999999997</v>
      </c>
      <c r="F635" s="73">
        <v>7.6287200000000004</v>
      </c>
      <c r="G635" s="73">
        <v>7.6287200000000004</v>
      </c>
      <c r="H635" s="73">
        <v>0</v>
      </c>
      <c r="I635" s="73">
        <v>0</v>
      </c>
      <c r="J635" s="73">
        <v>0</v>
      </c>
      <c r="K635" s="73">
        <v>0</v>
      </c>
      <c r="L635" s="73">
        <v>0</v>
      </c>
      <c r="M635" s="73">
        <v>0</v>
      </c>
      <c r="N635" s="73">
        <v>0</v>
      </c>
      <c r="O635" s="73">
        <v>11.824999999999999</v>
      </c>
      <c r="P635" s="73">
        <v>5.7750000000000004</v>
      </c>
      <c r="Q635" s="73">
        <v>6.0269000000000004</v>
      </c>
      <c r="R635" s="50">
        <f>(190.74*0.055)+(2*0.11)</f>
        <v>10.710700000000001</v>
      </c>
      <c r="S635" s="50">
        <f>(176.53*0.055)+(2.18*0.11)</f>
        <v>9.94895</v>
      </c>
      <c r="T635" s="66">
        <f>((137-50.47)*0.055)</f>
        <v>4.75915</v>
      </c>
      <c r="U635" s="66">
        <f>(126*0.055)+(0.8*0.11)</f>
        <v>7.0179999999999998</v>
      </c>
      <c r="V635" s="66">
        <f>(64.596*0.055)+(0.75*0.11)</f>
        <v>3.6352800000000003</v>
      </c>
      <c r="W635" s="66">
        <f>(96.401*0.055)+(0.55*0.11)</f>
        <v>5.3625550000000004</v>
      </c>
      <c r="X635" s="66">
        <f>65.09*0.055</f>
        <v>3.5799500000000002</v>
      </c>
      <c r="Y635" s="66">
        <f>(48.7-0.1612)*0.055</f>
        <v>2.6696340000000003</v>
      </c>
      <c r="Z635" s="66">
        <f>31*0.055</f>
        <v>1.7050000000000001</v>
      </c>
      <c r="AA635" s="66">
        <f>14*0.055</f>
        <v>0.77</v>
      </c>
      <c r="AB635" s="66">
        <f>13.5*0.055</f>
        <v>0.74250000000000005</v>
      </c>
      <c r="AC635" s="66">
        <f>13*0.055</f>
        <v>0.71499999999999997</v>
      </c>
    </row>
    <row r="636" spans="1:29">
      <c r="A636" s="43" t="s">
        <v>98</v>
      </c>
      <c r="B636" s="43" t="s">
        <v>825</v>
      </c>
      <c r="Q636" s="73">
        <v>0</v>
      </c>
      <c r="R636" s="50">
        <v>0</v>
      </c>
      <c r="S636" s="50">
        <v>0</v>
      </c>
      <c r="T636" s="66">
        <v>0</v>
      </c>
      <c r="U636" s="66">
        <v>0</v>
      </c>
      <c r="V636" s="66">
        <v>0</v>
      </c>
      <c r="W636" s="66">
        <v>0</v>
      </c>
      <c r="X636" s="66">
        <v>0</v>
      </c>
      <c r="Y636" s="66">
        <v>0</v>
      </c>
      <c r="Z636" s="66">
        <v>0</v>
      </c>
      <c r="AA636" s="66">
        <v>0</v>
      </c>
      <c r="AB636" s="66">
        <v>0</v>
      </c>
      <c r="AC636" s="66">
        <v>0</v>
      </c>
    </row>
    <row r="637" spans="1:29">
      <c r="A637" s="43" t="s">
        <v>98</v>
      </c>
      <c r="B637" s="43" t="s">
        <v>574</v>
      </c>
      <c r="C637" s="72">
        <v>0</v>
      </c>
      <c r="D637" s="72">
        <v>0</v>
      </c>
      <c r="E637" s="72">
        <v>0</v>
      </c>
      <c r="F637" s="72">
        <v>0</v>
      </c>
      <c r="G637" s="72">
        <v>0</v>
      </c>
      <c r="H637" s="72">
        <v>0</v>
      </c>
      <c r="I637" s="72">
        <v>0</v>
      </c>
      <c r="J637" s="72">
        <v>0</v>
      </c>
      <c r="K637" s="72">
        <v>0</v>
      </c>
      <c r="L637" s="72">
        <v>0</v>
      </c>
      <c r="M637" s="72">
        <v>0</v>
      </c>
      <c r="N637" s="73">
        <v>0</v>
      </c>
      <c r="O637" s="73">
        <v>0</v>
      </c>
      <c r="P637" s="73">
        <v>0</v>
      </c>
      <c r="Q637" s="73">
        <v>0</v>
      </c>
      <c r="R637" s="50">
        <v>0</v>
      </c>
      <c r="S637" s="50">
        <v>0</v>
      </c>
      <c r="T637" s="66">
        <v>0</v>
      </c>
      <c r="U637" s="66">
        <v>0</v>
      </c>
      <c r="V637" s="66">
        <v>0</v>
      </c>
      <c r="W637" s="66">
        <v>0</v>
      </c>
      <c r="X637" s="66">
        <v>0</v>
      </c>
      <c r="Y637" s="66">
        <v>0</v>
      </c>
      <c r="Z637" s="66">
        <v>0</v>
      </c>
      <c r="AA637" s="66">
        <v>0</v>
      </c>
      <c r="AB637" s="66">
        <v>0</v>
      </c>
      <c r="AC637" s="66">
        <v>0</v>
      </c>
    </row>
    <row r="638" spans="1:29">
      <c r="A638" s="43" t="s">
        <v>98</v>
      </c>
      <c r="B638" s="43" t="s">
        <v>535</v>
      </c>
      <c r="C638" s="72">
        <v>0</v>
      </c>
      <c r="D638" s="72">
        <v>0</v>
      </c>
      <c r="E638" s="72">
        <v>0</v>
      </c>
      <c r="F638" s="72">
        <v>0</v>
      </c>
      <c r="G638" s="72">
        <v>0</v>
      </c>
      <c r="H638" s="72">
        <v>0</v>
      </c>
      <c r="I638" s="72">
        <v>0</v>
      </c>
      <c r="J638" s="72">
        <v>0</v>
      </c>
      <c r="K638" s="72">
        <v>0</v>
      </c>
      <c r="L638" s="72">
        <v>0</v>
      </c>
      <c r="M638" s="72">
        <v>0</v>
      </c>
      <c r="N638" s="73">
        <v>0</v>
      </c>
      <c r="O638" s="73">
        <v>0</v>
      </c>
      <c r="P638" s="73">
        <v>0</v>
      </c>
      <c r="Q638" s="73">
        <v>0</v>
      </c>
      <c r="R638" s="50">
        <v>0</v>
      </c>
      <c r="S638" s="50">
        <v>0</v>
      </c>
      <c r="T638" s="66">
        <v>0</v>
      </c>
      <c r="U638" s="66">
        <v>0</v>
      </c>
      <c r="V638" s="66">
        <v>0</v>
      </c>
      <c r="W638" s="66">
        <v>0</v>
      </c>
      <c r="X638" s="66">
        <v>0</v>
      </c>
      <c r="Y638" s="66">
        <v>0</v>
      </c>
      <c r="Z638" s="66">
        <v>0</v>
      </c>
      <c r="AA638" s="66">
        <v>0</v>
      </c>
      <c r="AB638" s="66">
        <v>0</v>
      </c>
      <c r="AC638" s="66">
        <v>0</v>
      </c>
    </row>
    <row r="639" spans="1:29">
      <c r="A639" s="68" t="s">
        <v>772</v>
      </c>
      <c r="B639" s="68" t="s">
        <v>752</v>
      </c>
      <c r="K639" s="72">
        <v>2.7199999999999998E-2</v>
      </c>
      <c r="M639" s="72">
        <v>1.6E-2</v>
      </c>
      <c r="N639" s="73">
        <v>1.6E-2</v>
      </c>
      <c r="P639" s="50">
        <v>0.03</v>
      </c>
      <c r="Q639" s="73">
        <v>0</v>
      </c>
      <c r="R639" s="50">
        <v>0</v>
      </c>
      <c r="S639" s="50">
        <v>0</v>
      </c>
      <c r="T639" s="66" t="s">
        <v>685</v>
      </c>
      <c r="U639" s="66" t="s">
        <v>685</v>
      </c>
      <c r="V639" s="66">
        <v>0</v>
      </c>
      <c r="W639" s="66" t="s">
        <v>685</v>
      </c>
      <c r="X639" s="66" t="s">
        <v>685</v>
      </c>
      <c r="Y639" s="66" t="s">
        <v>685</v>
      </c>
      <c r="Z639" s="66" t="s">
        <v>685</v>
      </c>
      <c r="AA639" s="66">
        <v>0</v>
      </c>
      <c r="AB639" s="66">
        <v>0</v>
      </c>
      <c r="AC639" s="66">
        <v>0</v>
      </c>
    </row>
    <row r="640" spans="1:29">
      <c r="A640" s="68" t="s">
        <v>772</v>
      </c>
      <c r="B640" s="68" t="s">
        <v>663</v>
      </c>
      <c r="K640" s="72">
        <v>0</v>
      </c>
      <c r="M640" s="72">
        <v>0</v>
      </c>
      <c r="N640" s="73">
        <v>0</v>
      </c>
      <c r="P640" s="73">
        <v>0</v>
      </c>
      <c r="Q640" s="73">
        <v>0</v>
      </c>
      <c r="R640" s="50">
        <v>0</v>
      </c>
      <c r="S640" s="50">
        <v>0</v>
      </c>
      <c r="T640" s="66" t="s">
        <v>685</v>
      </c>
      <c r="U640" s="66" t="s">
        <v>685</v>
      </c>
      <c r="V640" s="66">
        <v>0</v>
      </c>
      <c r="W640" s="66" t="s">
        <v>685</v>
      </c>
      <c r="X640" s="66" t="s">
        <v>685</v>
      </c>
      <c r="Y640" s="66" t="s">
        <v>685</v>
      </c>
      <c r="Z640" s="66" t="s">
        <v>685</v>
      </c>
      <c r="AA640" s="66">
        <v>0</v>
      </c>
      <c r="AB640" s="66">
        <v>0</v>
      </c>
      <c r="AC640" s="66">
        <v>0</v>
      </c>
    </row>
    <row r="641" spans="1:29">
      <c r="A641" s="68" t="s">
        <v>772</v>
      </c>
      <c r="B641" s="43" t="s">
        <v>243</v>
      </c>
      <c r="K641" s="72">
        <v>0</v>
      </c>
      <c r="M641" s="72">
        <v>0</v>
      </c>
      <c r="N641" s="73">
        <v>0</v>
      </c>
      <c r="P641" s="73">
        <v>0</v>
      </c>
      <c r="Q641" s="73">
        <v>0</v>
      </c>
      <c r="R641" s="50">
        <v>0</v>
      </c>
      <c r="S641" s="50">
        <v>0</v>
      </c>
      <c r="T641" s="66" t="s">
        <v>685</v>
      </c>
      <c r="U641" s="66" t="s">
        <v>685</v>
      </c>
      <c r="V641" s="66">
        <v>0</v>
      </c>
      <c r="W641" s="66" t="s">
        <v>685</v>
      </c>
      <c r="X641" s="66" t="s">
        <v>685</v>
      </c>
      <c r="Y641" s="66" t="s">
        <v>685</v>
      </c>
      <c r="Z641" s="66" t="s">
        <v>685</v>
      </c>
      <c r="AA641" s="66">
        <v>0</v>
      </c>
      <c r="AB641" s="66">
        <v>0</v>
      </c>
      <c r="AC641" s="66">
        <v>0</v>
      </c>
    </row>
    <row r="642" spans="1:29">
      <c r="A642" s="68" t="s">
        <v>772</v>
      </c>
      <c r="B642" s="43" t="s">
        <v>95</v>
      </c>
      <c r="K642" s="73">
        <v>6.9079999999999992E-3</v>
      </c>
      <c r="M642" s="73">
        <v>2.2000000000000001E-3</v>
      </c>
      <c r="N642" s="75">
        <v>1.1000000000000001E-3</v>
      </c>
      <c r="P642" s="50">
        <v>7.7000000000000011E-3</v>
      </c>
      <c r="Q642" s="73">
        <f>0.1*0.055</f>
        <v>5.5000000000000005E-3</v>
      </c>
      <c r="R642" s="50">
        <f>0.26*0.055</f>
        <v>1.43E-2</v>
      </c>
      <c r="S642" s="50">
        <f>0.11*0.055</f>
        <v>6.0499999999999998E-3</v>
      </c>
      <c r="T642" s="66">
        <f>0.13*0.055</f>
        <v>7.1500000000000001E-3</v>
      </c>
      <c r="U642" s="66">
        <f>0.15*0.055</f>
        <v>8.2500000000000004E-3</v>
      </c>
      <c r="V642" s="66">
        <v>0</v>
      </c>
      <c r="W642" s="66">
        <f>0.3*0.055</f>
        <v>1.6500000000000001E-2</v>
      </c>
      <c r="X642" s="66">
        <f>0.15*0.055</f>
        <v>8.2500000000000004E-3</v>
      </c>
      <c r="Y642" s="66">
        <v>0</v>
      </c>
      <c r="Z642" s="66">
        <v>0</v>
      </c>
      <c r="AA642" s="66">
        <v>0</v>
      </c>
      <c r="AB642" s="66">
        <v>0</v>
      </c>
      <c r="AC642" s="66">
        <v>0</v>
      </c>
    </row>
    <row r="643" spans="1:29">
      <c r="A643" s="68" t="s">
        <v>772</v>
      </c>
      <c r="B643" s="43" t="s">
        <v>825</v>
      </c>
      <c r="Q643" s="73">
        <v>0</v>
      </c>
      <c r="R643" s="50">
        <v>0</v>
      </c>
      <c r="S643" s="50">
        <v>0</v>
      </c>
      <c r="T643" s="66">
        <v>0</v>
      </c>
      <c r="U643" s="66">
        <v>0</v>
      </c>
      <c r="V643" s="66">
        <v>0</v>
      </c>
      <c r="W643" s="66">
        <v>0</v>
      </c>
      <c r="X643" s="66">
        <v>0</v>
      </c>
      <c r="Y643" s="66">
        <v>0</v>
      </c>
      <c r="Z643" s="66">
        <v>0</v>
      </c>
      <c r="AA643" s="66">
        <v>0</v>
      </c>
      <c r="AB643" s="66">
        <v>0</v>
      </c>
      <c r="AC643" s="66">
        <v>0</v>
      </c>
    </row>
    <row r="644" spans="1:29">
      <c r="A644" s="68" t="s">
        <v>772</v>
      </c>
      <c r="B644" s="43" t="s">
        <v>574</v>
      </c>
      <c r="K644" s="72">
        <v>0</v>
      </c>
      <c r="M644" s="72">
        <v>0</v>
      </c>
      <c r="N644" s="73">
        <v>0</v>
      </c>
      <c r="P644" s="73">
        <v>0</v>
      </c>
      <c r="Q644" s="73">
        <v>0</v>
      </c>
      <c r="R644" s="50">
        <v>0</v>
      </c>
      <c r="S644" s="50">
        <v>0</v>
      </c>
      <c r="T644" s="66">
        <v>0</v>
      </c>
      <c r="U644" s="66">
        <v>0</v>
      </c>
      <c r="V644" s="66">
        <v>0</v>
      </c>
      <c r="W644" s="66">
        <v>0</v>
      </c>
      <c r="X644" s="66">
        <v>0</v>
      </c>
      <c r="Y644" s="66">
        <v>0</v>
      </c>
      <c r="Z644" s="66">
        <v>0</v>
      </c>
      <c r="AA644" s="66">
        <v>0</v>
      </c>
      <c r="AB644" s="66">
        <v>0</v>
      </c>
      <c r="AC644" s="66">
        <v>0</v>
      </c>
    </row>
    <row r="645" spans="1:29">
      <c r="A645" s="68" t="s">
        <v>772</v>
      </c>
      <c r="B645" s="68" t="s">
        <v>535</v>
      </c>
      <c r="K645" s="72">
        <v>0</v>
      </c>
      <c r="M645" s="72">
        <v>0</v>
      </c>
      <c r="N645" s="73">
        <v>0</v>
      </c>
      <c r="P645" s="73">
        <v>0</v>
      </c>
      <c r="Q645" s="73">
        <v>0</v>
      </c>
      <c r="R645" s="50">
        <v>0</v>
      </c>
      <c r="S645" s="50">
        <v>0</v>
      </c>
      <c r="T645" s="66">
        <v>0</v>
      </c>
      <c r="U645" s="66">
        <v>0</v>
      </c>
      <c r="V645" s="66">
        <v>0</v>
      </c>
      <c r="W645" s="66">
        <v>0</v>
      </c>
      <c r="X645" s="66">
        <v>0</v>
      </c>
      <c r="Y645" s="66">
        <v>0</v>
      </c>
      <c r="Z645" s="66">
        <v>0</v>
      </c>
      <c r="AA645" s="66">
        <v>0</v>
      </c>
      <c r="AB645" s="66">
        <v>0</v>
      </c>
      <c r="AC645" s="66">
        <v>0</v>
      </c>
    </row>
    <row r="646" spans="1:29">
      <c r="A646" s="43" t="s">
        <v>99</v>
      </c>
      <c r="B646" s="43" t="s">
        <v>752</v>
      </c>
      <c r="H646" s="72">
        <v>94</v>
      </c>
      <c r="J646" s="72">
        <v>0</v>
      </c>
      <c r="K646" s="72">
        <v>0</v>
      </c>
      <c r="M646" s="72">
        <v>12</v>
      </c>
      <c r="N646" s="72">
        <v>0</v>
      </c>
      <c r="O646" s="72">
        <v>0</v>
      </c>
      <c r="P646" s="72">
        <v>0</v>
      </c>
      <c r="Q646" s="72">
        <v>0</v>
      </c>
      <c r="R646" s="66">
        <v>0</v>
      </c>
      <c r="S646" s="66">
        <v>0</v>
      </c>
      <c r="T646" s="66" t="s">
        <v>685</v>
      </c>
      <c r="U646" s="66" t="s">
        <v>685</v>
      </c>
      <c r="V646" s="66" t="s">
        <v>685</v>
      </c>
      <c r="W646" s="66" t="s">
        <v>685</v>
      </c>
      <c r="X646" s="66" t="s">
        <v>685</v>
      </c>
      <c r="Y646" s="66" t="s">
        <v>685</v>
      </c>
      <c r="Z646" s="66" t="s">
        <v>685</v>
      </c>
      <c r="AA646" s="66">
        <v>0</v>
      </c>
      <c r="AB646" s="66">
        <v>0</v>
      </c>
      <c r="AC646" s="66">
        <v>0</v>
      </c>
    </row>
    <row r="647" spans="1:29">
      <c r="A647" s="43" t="s">
        <v>99</v>
      </c>
      <c r="B647" s="43" t="s">
        <v>663</v>
      </c>
      <c r="H647" s="72">
        <v>0.88</v>
      </c>
      <c r="J647" s="72">
        <v>8.7999999999999995E-2</v>
      </c>
      <c r="K647" s="72">
        <v>8.7999999999999995E-2</v>
      </c>
      <c r="M647" s="72">
        <v>0.11</v>
      </c>
      <c r="N647" s="72">
        <v>0.1</v>
      </c>
      <c r="O647" s="72">
        <v>0.11</v>
      </c>
      <c r="P647" s="72">
        <v>0.11</v>
      </c>
      <c r="Q647" s="72">
        <f>0.1*1.1</f>
        <v>0.11000000000000001</v>
      </c>
      <c r="R647" s="66">
        <f>0.1*1.1</f>
        <v>0.11000000000000001</v>
      </c>
      <c r="S647" s="66">
        <f>0.1*1.1</f>
        <v>0.11000000000000001</v>
      </c>
      <c r="T647" s="66" t="s">
        <v>685</v>
      </c>
      <c r="U647" s="66" t="s">
        <v>685</v>
      </c>
      <c r="V647" s="66" t="s">
        <v>685</v>
      </c>
      <c r="W647" s="66" t="s">
        <v>685</v>
      </c>
      <c r="X647" s="66" t="s">
        <v>685</v>
      </c>
      <c r="Y647" s="66" t="s">
        <v>685</v>
      </c>
      <c r="Z647" s="66" t="s">
        <v>685</v>
      </c>
      <c r="AA647" s="66">
        <v>0</v>
      </c>
      <c r="AB647" s="66">
        <v>0</v>
      </c>
      <c r="AC647" s="66">
        <v>0</v>
      </c>
    </row>
    <row r="648" spans="1:29">
      <c r="A648" s="43" t="s">
        <v>99</v>
      </c>
      <c r="B648" s="43" t="s">
        <v>243</v>
      </c>
      <c r="H648" s="72">
        <v>0</v>
      </c>
      <c r="J648" s="72">
        <v>0</v>
      </c>
      <c r="K648" s="72">
        <v>0</v>
      </c>
      <c r="M648" s="72">
        <v>0</v>
      </c>
      <c r="N648" s="72">
        <v>0</v>
      </c>
      <c r="O648" s="72">
        <v>0</v>
      </c>
      <c r="P648" s="72">
        <v>0</v>
      </c>
      <c r="Q648" s="72">
        <v>0</v>
      </c>
      <c r="R648" s="66">
        <v>0</v>
      </c>
      <c r="S648" s="66">
        <v>0</v>
      </c>
      <c r="T648" s="66" t="s">
        <v>685</v>
      </c>
      <c r="U648" s="66" t="s">
        <v>685</v>
      </c>
      <c r="V648" s="66" t="s">
        <v>685</v>
      </c>
      <c r="W648" s="66" t="s">
        <v>685</v>
      </c>
      <c r="X648" s="66" t="s">
        <v>685</v>
      </c>
      <c r="Y648" s="66" t="s">
        <v>685</v>
      </c>
      <c r="Z648" s="66" t="s">
        <v>685</v>
      </c>
      <c r="AA648" s="66">
        <v>0</v>
      </c>
      <c r="AB648" s="66">
        <v>0</v>
      </c>
      <c r="AC648" s="66">
        <v>0</v>
      </c>
    </row>
    <row r="649" spans="1:29">
      <c r="A649" s="43" t="s">
        <v>99</v>
      </c>
      <c r="B649" s="43" t="s">
        <v>95</v>
      </c>
      <c r="H649" s="73">
        <v>4.29</v>
      </c>
      <c r="J649" s="73">
        <v>1.65</v>
      </c>
      <c r="K649" s="73">
        <v>0</v>
      </c>
      <c r="M649" s="73">
        <v>1.1000000000000001</v>
      </c>
      <c r="N649" s="73">
        <v>0</v>
      </c>
      <c r="O649" s="73">
        <v>1.1000000000000001</v>
      </c>
      <c r="P649" s="73">
        <v>1.1000000000000001</v>
      </c>
      <c r="Q649" s="73">
        <f>20*0.055</f>
        <v>1.1000000000000001</v>
      </c>
      <c r="R649" s="50">
        <f>20*0.055</f>
        <v>1.1000000000000001</v>
      </c>
      <c r="S649" s="50">
        <f>20*0.055</f>
        <v>1.1000000000000001</v>
      </c>
      <c r="T649" s="66">
        <f>13.5*0.055</f>
        <v>0.74250000000000005</v>
      </c>
      <c r="U649" s="66">
        <f>12*0.055</f>
        <v>0.66</v>
      </c>
      <c r="V649" s="66">
        <f>15*0.055</f>
        <v>0.82499999999999996</v>
      </c>
      <c r="W649" s="66">
        <f>2*0.055</f>
        <v>0.11</v>
      </c>
      <c r="X649" s="66">
        <f>15.2*0.055</f>
        <v>0.83599999999999997</v>
      </c>
      <c r="Y649" s="66">
        <f>11.65*0.055</f>
        <v>0.64075000000000004</v>
      </c>
      <c r="Z649" s="66">
        <f>15.04*0.055</f>
        <v>0.82719999999999994</v>
      </c>
      <c r="AA649" s="66">
        <f>11.71*0.055</f>
        <v>0.64405000000000001</v>
      </c>
      <c r="AB649" s="66">
        <f>7.42*0.055</f>
        <v>0.40810000000000002</v>
      </c>
      <c r="AC649" s="66">
        <f>3.79*0.055</f>
        <v>0.20845</v>
      </c>
    </row>
    <row r="650" spans="1:29">
      <c r="A650" s="43" t="s">
        <v>99</v>
      </c>
      <c r="B650" s="43" t="s">
        <v>825</v>
      </c>
      <c r="Q650" s="73">
        <v>0</v>
      </c>
      <c r="R650" s="50">
        <v>0</v>
      </c>
      <c r="S650" s="50">
        <v>0</v>
      </c>
      <c r="T650" s="66">
        <v>0</v>
      </c>
      <c r="U650" s="66">
        <v>0</v>
      </c>
      <c r="V650" s="66">
        <v>0</v>
      </c>
      <c r="W650" s="66">
        <v>0</v>
      </c>
      <c r="X650" s="66">
        <v>0</v>
      </c>
      <c r="Y650" s="66">
        <v>0</v>
      </c>
      <c r="Z650" s="66">
        <v>0</v>
      </c>
      <c r="AA650" s="66">
        <v>0</v>
      </c>
      <c r="AB650" s="66">
        <v>0</v>
      </c>
      <c r="AC650" s="66">
        <v>0</v>
      </c>
    </row>
    <row r="651" spans="1:29">
      <c r="A651" s="43" t="s">
        <v>99</v>
      </c>
      <c r="B651" s="43" t="s">
        <v>574</v>
      </c>
      <c r="H651" s="72">
        <v>0</v>
      </c>
      <c r="J651" s="72">
        <v>0</v>
      </c>
      <c r="K651" s="72">
        <v>0</v>
      </c>
      <c r="M651" s="72">
        <v>0</v>
      </c>
      <c r="N651" s="72">
        <v>0</v>
      </c>
      <c r="O651" s="72">
        <v>0</v>
      </c>
      <c r="P651" s="72">
        <v>0</v>
      </c>
      <c r="Q651" s="72">
        <v>0</v>
      </c>
      <c r="R651" s="66">
        <v>0</v>
      </c>
      <c r="S651" s="66">
        <v>0</v>
      </c>
      <c r="T651" s="66">
        <v>0</v>
      </c>
      <c r="U651" s="66">
        <v>0</v>
      </c>
      <c r="V651" s="66">
        <v>0</v>
      </c>
      <c r="W651" s="66">
        <v>0</v>
      </c>
      <c r="X651" s="66">
        <v>0</v>
      </c>
      <c r="Y651" s="66">
        <v>0</v>
      </c>
      <c r="Z651" s="66">
        <v>0</v>
      </c>
      <c r="AA651" s="66">
        <v>0</v>
      </c>
      <c r="AB651" s="66">
        <v>0</v>
      </c>
      <c r="AC651" s="66">
        <v>0</v>
      </c>
    </row>
    <row r="652" spans="1:29">
      <c r="A652" s="43" t="s">
        <v>99</v>
      </c>
      <c r="B652" s="43" t="s">
        <v>535</v>
      </c>
      <c r="H652" s="72">
        <v>0</v>
      </c>
      <c r="J652" s="72">
        <v>0</v>
      </c>
      <c r="K652" s="72">
        <v>0</v>
      </c>
      <c r="M652" s="72">
        <v>0</v>
      </c>
      <c r="N652" s="72">
        <v>0</v>
      </c>
      <c r="O652" s="72">
        <v>0</v>
      </c>
      <c r="P652" s="72">
        <v>0</v>
      </c>
      <c r="Q652" s="72">
        <v>0</v>
      </c>
      <c r="R652" s="66">
        <v>0</v>
      </c>
      <c r="S652" s="66">
        <v>0</v>
      </c>
      <c r="T652" s="66">
        <v>0</v>
      </c>
      <c r="U652" s="66">
        <v>0</v>
      </c>
      <c r="V652" s="66">
        <v>0</v>
      </c>
      <c r="W652" s="66">
        <v>0</v>
      </c>
      <c r="X652" s="66">
        <v>0</v>
      </c>
      <c r="Y652" s="66">
        <v>0</v>
      </c>
      <c r="Z652" s="66">
        <v>0</v>
      </c>
      <c r="AA652" s="66">
        <v>0</v>
      </c>
      <c r="AB652" s="66">
        <v>0</v>
      </c>
      <c r="AC652" s="66">
        <v>0</v>
      </c>
    </row>
    <row r="653" spans="1:29">
      <c r="A653" s="43" t="s">
        <v>101</v>
      </c>
      <c r="B653" s="43" t="s">
        <v>752</v>
      </c>
      <c r="F653" s="72">
        <v>78</v>
      </c>
      <c r="G653" s="72">
        <v>52.6</v>
      </c>
      <c r="H653" s="72">
        <v>44.36</v>
      </c>
      <c r="K653" s="72">
        <v>29.85</v>
      </c>
      <c r="L653" s="72">
        <v>48.42</v>
      </c>
      <c r="M653" s="72">
        <v>35.97</v>
      </c>
      <c r="N653" s="73">
        <v>27.58</v>
      </c>
      <c r="O653" s="73">
        <v>3.68</v>
      </c>
      <c r="P653" s="73">
        <v>0</v>
      </c>
      <c r="Q653" s="73">
        <v>2.57</v>
      </c>
      <c r="R653" s="50">
        <v>0</v>
      </c>
      <c r="S653" s="50">
        <v>0</v>
      </c>
      <c r="T653" s="66" t="s">
        <v>685</v>
      </c>
      <c r="U653" s="66" t="s">
        <v>685</v>
      </c>
      <c r="V653" s="66" t="s">
        <v>685</v>
      </c>
      <c r="W653" s="66" t="s">
        <v>685</v>
      </c>
      <c r="X653" s="66" t="s">
        <v>685</v>
      </c>
      <c r="Y653" s="66" t="s">
        <v>685</v>
      </c>
      <c r="Z653" s="66" t="s">
        <v>685</v>
      </c>
      <c r="AA653" s="66">
        <v>0</v>
      </c>
      <c r="AB653" s="66">
        <v>0</v>
      </c>
      <c r="AC653" s="66">
        <v>0</v>
      </c>
    </row>
    <row r="654" spans="1:29">
      <c r="A654" s="43" t="s">
        <v>101</v>
      </c>
      <c r="B654" s="43" t="s">
        <v>663</v>
      </c>
      <c r="F654" s="72">
        <v>0</v>
      </c>
      <c r="G654" s="72">
        <v>0</v>
      </c>
      <c r="H654" s="72">
        <v>0</v>
      </c>
      <c r="K654" s="72">
        <v>0</v>
      </c>
      <c r="L654" s="72">
        <v>0</v>
      </c>
      <c r="M654" s="72">
        <v>0</v>
      </c>
      <c r="N654" s="73">
        <v>0</v>
      </c>
      <c r="O654" s="73">
        <v>0</v>
      </c>
      <c r="P654" s="73">
        <v>0</v>
      </c>
      <c r="Q654" s="73">
        <v>0</v>
      </c>
      <c r="R654" s="50">
        <v>0</v>
      </c>
      <c r="S654" s="50">
        <v>0</v>
      </c>
      <c r="T654" s="66" t="s">
        <v>685</v>
      </c>
      <c r="U654" s="66" t="s">
        <v>685</v>
      </c>
      <c r="V654" s="66" t="s">
        <v>685</v>
      </c>
      <c r="W654" s="66" t="s">
        <v>685</v>
      </c>
      <c r="X654" s="66" t="s">
        <v>685</v>
      </c>
      <c r="Y654" s="66" t="s">
        <v>685</v>
      </c>
      <c r="Z654" s="66" t="s">
        <v>685</v>
      </c>
      <c r="AA654" s="66">
        <v>0</v>
      </c>
      <c r="AB654" s="66">
        <v>0</v>
      </c>
      <c r="AC654" s="66">
        <v>0</v>
      </c>
    </row>
    <row r="655" spans="1:29">
      <c r="A655" s="43" t="s">
        <v>101</v>
      </c>
      <c r="B655" s="43" t="s">
        <v>243</v>
      </c>
      <c r="F655" s="72">
        <v>0</v>
      </c>
      <c r="G655" s="72">
        <v>0</v>
      </c>
      <c r="H655" s="72">
        <v>0</v>
      </c>
      <c r="K655" s="72">
        <v>0</v>
      </c>
      <c r="L655" s="72">
        <v>0</v>
      </c>
      <c r="M655" s="72">
        <v>0</v>
      </c>
      <c r="N655" s="73">
        <v>0</v>
      </c>
      <c r="O655" s="73">
        <v>0</v>
      </c>
      <c r="P655" s="73">
        <v>0</v>
      </c>
      <c r="Q655" s="73">
        <v>0</v>
      </c>
      <c r="R655" s="50">
        <v>0</v>
      </c>
      <c r="S655" s="50">
        <v>0</v>
      </c>
      <c r="T655" s="66" t="s">
        <v>685</v>
      </c>
      <c r="U655" s="66" t="s">
        <v>685</v>
      </c>
      <c r="V655" s="66" t="s">
        <v>685</v>
      </c>
      <c r="W655" s="66" t="s">
        <v>685</v>
      </c>
      <c r="X655" s="66" t="s">
        <v>685</v>
      </c>
      <c r="Y655" s="66" t="s">
        <v>685</v>
      </c>
      <c r="Z655" s="66" t="s">
        <v>685</v>
      </c>
      <c r="AA655" s="66">
        <v>0</v>
      </c>
      <c r="AB655" s="66">
        <v>0</v>
      </c>
      <c r="AC655" s="66">
        <v>0</v>
      </c>
    </row>
    <row r="656" spans="1:29">
      <c r="A656" s="43" t="s">
        <v>101</v>
      </c>
      <c r="B656" s="43" t="s">
        <v>95</v>
      </c>
      <c r="F656" s="73">
        <v>3.74</v>
      </c>
      <c r="G656" s="73">
        <v>3.4430000000000001</v>
      </c>
      <c r="H656" s="73">
        <v>2.4073500000000001</v>
      </c>
      <c r="K656" s="73">
        <v>2.3342000000000001</v>
      </c>
      <c r="L656" s="73">
        <v>2.2406999999999999</v>
      </c>
      <c r="M656" s="73">
        <v>3.3577499999999998</v>
      </c>
      <c r="N656" s="73">
        <v>0</v>
      </c>
      <c r="O656" s="73">
        <v>2.81765</v>
      </c>
      <c r="P656" s="73">
        <v>3.9102800000000006</v>
      </c>
      <c r="Q656" s="73">
        <f>(102.66*0.055)+(2.71*0.11)+(0.18*0.02)+(0.4*0.022)</f>
        <v>5.9567999999999994</v>
      </c>
      <c r="R656" s="50">
        <f>(119.66*0.055)+(8.02*0.11)+(0.8*0.02)+(2.29*0.022)</f>
        <v>7.5298799999999995</v>
      </c>
      <c r="S656" s="50">
        <f>(81.06*0.055)+(8.06*0.11)+(2.74*0.022)</f>
        <v>5.4051800000000005</v>
      </c>
      <c r="T656" s="66">
        <f>(183.95*0.055)+(15.32*0.11)+(3.27*0.022)</f>
        <v>11.87439</v>
      </c>
      <c r="U656" s="66">
        <f>(53.86*0.055)+(5.12*0.11)+(1.61*0.022)</f>
        <v>3.5609199999999999</v>
      </c>
      <c r="V656" s="66">
        <f>(80.67*0.055)+(8.7*0.11)+(0.36*0.022)</f>
        <v>5.40177</v>
      </c>
      <c r="W656" s="66">
        <f>(79.35*0.055)+(11.92*0.11)+(0.94*0.022)</f>
        <v>5.6961299999999992</v>
      </c>
      <c r="X656" s="66">
        <f>(85.55*0.055)+(1.56*0.11)+(0.54*0.022)</f>
        <v>4.8887299999999989</v>
      </c>
      <c r="Y656" s="66">
        <f>76.69*0.055</f>
        <v>4.2179500000000001</v>
      </c>
      <c r="Z656" s="66">
        <f>18.05*0.055</f>
        <v>0.99275000000000002</v>
      </c>
      <c r="AA656" s="66">
        <f>54*0.055</f>
        <v>2.97</v>
      </c>
      <c r="AB656" s="66">
        <f>49.8*0.055</f>
        <v>2.7389999999999999</v>
      </c>
      <c r="AC656" s="66">
        <f>44.91*0.055</f>
        <v>2.4700499999999996</v>
      </c>
    </row>
    <row r="657" spans="1:29">
      <c r="A657" s="43" t="s">
        <v>101</v>
      </c>
      <c r="B657" s="43" t="s">
        <v>825</v>
      </c>
      <c r="Q657" s="73">
        <f>22.55*0.11</f>
        <v>2.4805000000000001</v>
      </c>
      <c r="R657" s="50">
        <f>1.16*0.11</f>
        <v>0.12759999999999999</v>
      </c>
      <c r="S657" s="50">
        <f>1.9*0.11</f>
        <v>0.20899999999999999</v>
      </c>
      <c r="T657" s="50">
        <f>4.1*0.11</f>
        <v>0.45099999999999996</v>
      </c>
      <c r="U657" s="50">
        <f>0.14*0.11</f>
        <v>1.5400000000000002E-2</v>
      </c>
      <c r="V657" s="66">
        <f>5.61*0.11</f>
        <v>0.61710000000000009</v>
      </c>
      <c r="W657" s="66">
        <f>2.49*0.11</f>
        <v>0.27390000000000003</v>
      </c>
      <c r="X657" s="66">
        <f>0.61*0.11</f>
        <v>6.7099999999999993E-2</v>
      </c>
      <c r="Y657" s="66">
        <v>0</v>
      </c>
      <c r="Z657" s="66">
        <v>0</v>
      </c>
      <c r="AA657" s="66">
        <v>0</v>
      </c>
      <c r="AB657" s="66">
        <v>0</v>
      </c>
      <c r="AC657" s="66">
        <v>0</v>
      </c>
    </row>
    <row r="658" spans="1:29">
      <c r="A658" s="43" t="s">
        <v>101</v>
      </c>
      <c r="B658" s="43" t="s">
        <v>574</v>
      </c>
      <c r="F658" s="72">
        <v>4.8</v>
      </c>
      <c r="G658" s="72">
        <v>2.09</v>
      </c>
      <c r="H658" s="72">
        <v>6.45</v>
      </c>
      <c r="K658" s="72">
        <v>0</v>
      </c>
      <c r="L658" s="72">
        <v>0</v>
      </c>
      <c r="M658" s="72">
        <v>19.536000000000001</v>
      </c>
      <c r="N658" s="73">
        <v>0</v>
      </c>
      <c r="O658" s="73">
        <v>0</v>
      </c>
      <c r="P658" s="73">
        <v>0</v>
      </c>
      <c r="Q658" s="73">
        <v>0</v>
      </c>
      <c r="R658" s="50">
        <v>0</v>
      </c>
      <c r="S658" s="50">
        <v>0</v>
      </c>
      <c r="T658" s="66">
        <v>0</v>
      </c>
      <c r="U658" s="66">
        <v>0</v>
      </c>
      <c r="V658" s="66">
        <v>0</v>
      </c>
      <c r="W658" s="66">
        <v>0</v>
      </c>
      <c r="X658" s="66">
        <v>0</v>
      </c>
      <c r="Y658" s="66">
        <v>0</v>
      </c>
      <c r="Z658" s="66">
        <v>0</v>
      </c>
      <c r="AA658" s="66">
        <v>0</v>
      </c>
      <c r="AB658" s="66">
        <v>0</v>
      </c>
      <c r="AC658" s="66">
        <v>0</v>
      </c>
    </row>
    <row r="659" spans="1:29">
      <c r="A659" s="43" t="s">
        <v>101</v>
      </c>
      <c r="B659" s="43" t="s">
        <v>535</v>
      </c>
      <c r="F659" s="72">
        <v>0</v>
      </c>
      <c r="G659" s="72">
        <v>0</v>
      </c>
      <c r="H659" s="72">
        <v>0</v>
      </c>
      <c r="K659" s="72">
        <v>0</v>
      </c>
      <c r="L659" s="72">
        <v>0</v>
      </c>
      <c r="M659" s="72">
        <v>0</v>
      </c>
      <c r="N659" s="73">
        <v>0</v>
      </c>
      <c r="O659" s="73">
        <v>0</v>
      </c>
      <c r="P659" s="73">
        <v>0</v>
      </c>
      <c r="Q659" s="73">
        <v>0</v>
      </c>
      <c r="R659" s="50">
        <v>0</v>
      </c>
      <c r="S659" s="50">
        <v>0</v>
      </c>
      <c r="T659" s="66">
        <v>0</v>
      </c>
      <c r="U659" s="66">
        <v>0</v>
      </c>
      <c r="V659" s="66">
        <v>0</v>
      </c>
      <c r="W659" s="66">
        <v>0</v>
      </c>
      <c r="X659" s="66">
        <v>0</v>
      </c>
      <c r="Y659" s="66">
        <v>0</v>
      </c>
      <c r="Z659" s="66">
        <v>0</v>
      </c>
      <c r="AA659" s="66">
        <v>0</v>
      </c>
      <c r="AB659" s="66">
        <v>0</v>
      </c>
      <c r="AC659" s="66">
        <v>0</v>
      </c>
    </row>
    <row r="660" spans="1:29">
      <c r="A660" s="43" t="s">
        <v>100</v>
      </c>
      <c r="B660" s="43" t="s">
        <v>752</v>
      </c>
      <c r="C660" s="72">
        <v>17.47</v>
      </c>
      <c r="D660" s="72">
        <v>18.93</v>
      </c>
      <c r="E660" s="72">
        <v>59.38</v>
      </c>
      <c r="G660" s="72">
        <v>58.33</v>
      </c>
      <c r="H660" s="72">
        <v>39.909999999999997</v>
      </c>
      <c r="I660" s="72">
        <v>29.09</v>
      </c>
      <c r="L660" s="72">
        <v>22.986000000000001</v>
      </c>
      <c r="M660" s="72">
        <v>22.38</v>
      </c>
      <c r="N660" s="73">
        <v>15.88</v>
      </c>
      <c r="O660" s="73">
        <v>4.32</v>
      </c>
      <c r="P660" s="73">
        <v>2.93</v>
      </c>
      <c r="Q660" s="73">
        <v>1.73</v>
      </c>
      <c r="R660" s="50">
        <v>0</v>
      </c>
      <c r="S660" s="50">
        <v>0</v>
      </c>
      <c r="T660" s="66">
        <v>0</v>
      </c>
      <c r="U660" s="66" t="s">
        <v>685</v>
      </c>
      <c r="V660" s="66" t="s">
        <v>685</v>
      </c>
      <c r="W660" s="66" t="s">
        <v>685</v>
      </c>
      <c r="X660" s="66" t="s">
        <v>685</v>
      </c>
      <c r="Y660" s="66" t="s">
        <v>685</v>
      </c>
      <c r="Z660" s="66" t="s">
        <v>685</v>
      </c>
      <c r="AA660" s="66">
        <v>0</v>
      </c>
      <c r="AB660" s="66">
        <v>0</v>
      </c>
      <c r="AC660" s="66">
        <v>0</v>
      </c>
    </row>
    <row r="661" spans="1:29">
      <c r="A661" s="43" t="s">
        <v>100</v>
      </c>
      <c r="B661" s="43" t="s">
        <v>663</v>
      </c>
      <c r="C661" s="72">
        <v>0</v>
      </c>
      <c r="D661" s="72">
        <v>0</v>
      </c>
      <c r="E661" s="72">
        <v>0</v>
      </c>
      <c r="G661" s="72">
        <v>0</v>
      </c>
      <c r="H661" s="72">
        <v>0</v>
      </c>
      <c r="I661" s="72">
        <v>0</v>
      </c>
      <c r="L661" s="72">
        <v>0</v>
      </c>
      <c r="M661" s="72">
        <v>0</v>
      </c>
      <c r="N661" s="73">
        <v>0</v>
      </c>
      <c r="O661" s="73">
        <v>0</v>
      </c>
      <c r="P661" s="73">
        <v>0</v>
      </c>
      <c r="Q661" s="73">
        <v>0</v>
      </c>
      <c r="R661" s="50">
        <v>0</v>
      </c>
      <c r="S661" s="50">
        <v>0</v>
      </c>
      <c r="T661" s="66">
        <v>0</v>
      </c>
      <c r="U661" s="66" t="s">
        <v>685</v>
      </c>
      <c r="V661" s="66" t="s">
        <v>685</v>
      </c>
      <c r="W661" s="66" t="s">
        <v>685</v>
      </c>
      <c r="X661" s="66" t="s">
        <v>685</v>
      </c>
      <c r="Y661" s="66" t="s">
        <v>685</v>
      </c>
      <c r="Z661" s="66" t="s">
        <v>685</v>
      </c>
      <c r="AA661" s="66">
        <v>0</v>
      </c>
      <c r="AB661" s="66">
        <v>0</v>
      </c>
      <c r="AC661" s="66">
        <v>0</v>
      </c>
    </row>
    <row r="662" spans="1:29">
      <c r="A662" s="43" t="s">
        <v>100</v>
      </c>
      <c r="B662" s="43" t="s">
        <v>243</v>
      </c>
      <c r="C662" s="72">
        <v>0.03</v>
      </c>
      <c r="D662" s="72">
        <v>0.03</v>
      </c>
      <c r="E662" s="72">
        <v>0</v>
      </c>
      <c r="G662" s="72">
        <v>0</v>
      </c>
      <c r="H662" s="72">
        <v>0</v>
      </c>
      <c r="I662" s="72">
        <v>0</v>
      </c>
      <c r="L662" s="72">
        <v>0</v>
      </c>
      <c r="M662" s="72">
        <v>0</v>
      </c>
      <c r="N662" s="73">
        <v>0</v>
      </c>
      <c r="O662" s="73">
        <v>0</v>
      </c>
      <c r="P662" s="73">
        <v>0</v>
      </c>
      <c r="Q662" s="73">
        <v>0</v>
      </c>
      <c r="R662" s="50">
        <v>0</v>
      </c>
      <c r="S662" s="50">
        <v>0</v>
      </c>
      <c r="T662" s="66">
        <v>0</v>
      </c>
      <c r="U662" s="66" t="s">
        <v>685</v>
      </c>
      <c r="V662" s="66" t="s">
        <v>685</v>
      </c>
      <c r="W662" s="66" t="s">
        <v>685</v>
      </c>
      <c r="X662" s="66" t="s">
        <v>685</v>
      </c>
      <c r="Y662" s="66" t="s">
        <v>685</v>
      </c>
      <c r="Z662" s="66" t="s">
        <v>685</v>
      </c>
      <c r="AA662" s="66">
        <v>0</v>
      </c>
      <c r="AB662" s="66">
        <v>0</v>
      </c>
      <c r="AC662" s="66">
        <v>0</v>
      </c>
    </row>
    <row r="663" spans="1:29">
      <c r="A663" s="43" t="s">
        <v>100</v>
      </c>
      <c r="B663" s="43" t="s">
        <v>95</v>
      </c>
      <c r="C663" s="73">
        <v>2.75E-2</v>
      </c>
      <c r="D663" s="73">
        <v>2.4750000000000001E-2</v>
      </c>
      <c r="E663" s="73">
        <v>1.661</v>
      </c>
      <c r="G663" s="73">
        <v>1.518</v>
      </c>
      <c r="H663" s="73">
        <v>1.01475</v>
      </c>
      <c r="I663" s="73">
        <v>1.012</v>
      </c>
      <c r="L663" s="73">
        <v>0.79749999999999999</v>
      </c>
      <c r="M663" s="73">
        <v>0.86349999999999993</v>
      </c>
      <c r="N663" s="73">
        <v>0.84424999999999994</v>
      </c>
      <c r="O663" s="73">
        <v>0.96250000000000002</v>
      </c>
      <c r="P663" s="73">
        <v>0.15675</v>
      </c>
      <c r="Q663" s="73">
        <f>660*0.055</f>
        <v>36.299999999999997</v>
      </c>
      <c r="R663" s="50">
        <f>290.77*0.055</f>
        <v>15.992349999999998</v>
      </c>
      <c r="S663" s="50">
        <f>289.4*0.055</f>
        <v>15.916999999999998</v>
      </c>
      <c r="T663" s="66">
        <f>278.8*0.055</f>
        <v>15.334000000000001</v>
      </c>
      <c r="U663" s="66">
        <f>265.6*0.055</f>
        <v>14.608000000000001</v>
      </c>
      <c r="V663" s="66">
        <f>260.3*0.055</f>
        <v>14.316500000000001</v>
      </c>
      <c r="W663" s="66">
        <f>236.8*0.055</f>
        <v>13.024000000000001</v>
      </c>
      <c r="X663" s="66">
        <f>220.5*0.055</f>
        <v>12.1275</v>
      </c>
      <c r="Y663" s="66">
        <f>215.45*0.055</f>
        <v>11.84975</v>
      </c>
      <c r="Z663" s="66">
        <f>209.7*0.055</f>
        <v>11.5335</v>
      </c>
      <c r="AA663" s="66">
        <f>192.95*0.055</f>
        <v>10.61225</v>
      </c>
      <c r="AB663" s="66">
        <f>182.25*0.055</f>
        <v>10.02375</v>
      </c>
      <c r="AC663" s="66">
        <f>164.7*0.055</f>
        <v>9.0584999999999987</v>
      </c>
    </row>
    <row r="664" spans="1:29">
      <c r="A664" s="43" t="s">
        <v>100</v>
      </c>
      <c r="B664" s="43" t="s">
        <v>825</v>
      </c>
      <c r="Q664" s="73">
        <v>0</v>
      </c>
      <c r="R664" s="50">
        <v>0</v>
      </c>
      <c r="S664" s="50">
        <v>0</v>
      </c>
      <c r="T664" s="66">
        <v>0</v>
      </c>
      <c r="U664" s="66">
        <v>0</v>
      </c>
      <c r="V664" s="66">
        <v>0</v>
      </c>
      <c r="W664" s="66">
        <v>0</v>
      </c>
      <c r="X664" s="66">
        <v>0</v>
      </c>
      <c r="Y664" s="66">
        <v>0</v>
      </c>
      <c r="Z664" s="66">
        <v>0</v>
      </c>
      <c r="AA664" s="66">
        <v>0</v>
      </c>
      <c r="AB664" s="66">
        <v>0</v>
      </c>
      <c r="AC664" s="66">
        <v>0</v>
      </c>
    </row>
    <row r="665" spans="1:29">
      <c r="A665" s="43" t="s">
        <v>100</v>
      </c>
      <c r="B665" s="43" t="s">
        <v>574</v>
      </c>
      <c r="C665" s="72">
        <v>0</v>
      </c>
      <c r="D665" s="72">
        <v>0</v>
      </c>
      <c r="E665" s="72">
        <v>0</v>
      </c>
      <c r="G665" s="72">
        <v>0</v>
      </c>
      <c r="H665" s="72">
        <v>0</v>
      </c>
      <c r="I665" s="72">
        <v>0</v>
      </c>
      <c r="L665" s="72">
        <v>0</v>
      </c>
      <c r="M665" s="72">
        <v>0</v>
      </c>
      <c r="N665" s="73">
        <v>0</v>
      </c>
      <c r="O665" s="73">
        <v>0</v>
      </c>
      <c r="P665" s="73">
        <v>0</v>
      </c>
      <c r="Q665" s="73">
        <v>0</v>
      </c>
      <c r="R665" s="50">
        <v>0</v>
      </c>
      <c r="S665" s="50">
        <v>0</v>
      </c>
      <c r="T665" s="66">
        <v>0</v>
      </c>
      <c r="U665" s="66">
        <v>0</v>
      </c>
      <c r="V665" s="66">
        <v>0</v>
      </c>
      <c r="W665" s="66">
        <v>0</v>
      </c>
      <c r="X665" s="66">
        <v>0</v>
      </c>
      <c r="Y665" s="66">
        <v>0</v>
      </c>
      <c r="Z665" s="66">
        <v>0</v>
      </c>
      <c r="AA665" s="66">
        <v>0</v>
      </c>
      <c r="AB665" s="66">
        <v>0</v>
      </c>
      <c r="AC665" s="66">
        <v>0</v>
      </c>
    </row>
    <row r="666" spans="1:29">
      <c r="A666" s="43" t="s">
        <v>100</v>
      </c>
      <c r="B666" s="43" t="s">
        <v>535</v>
      </c>
      <c r="C666" s="72">
        <v>0</v>
      </c>
      <c r="D666" s="72">
        <v>0</v>
      </c>
      <c r="E666" s="72">
        <v>0</v>
      </c>
      <c r="G666" s="72">
        <v>0</v>
      </c>
      <c r="H666" s="72">
        <v>0</v>
      </c>
      <c r="I666" s="72">
        <v>0</v>
      </c>
      <c r="L666" s="72">
        <v>0</v>
      </c>
      <c r="M666" s="72">
        <v>0</v>
      </c>
      <c r="N666" s="73">
        <v>0</v>
      </c>
      <c r="O666" s="73">
        <v>0</v>
      </c>
      <c r="P666" s="73">
        <v>0</v>
      </c>
      <c r="Q666" s="73">
        <v>0</v>
      </c>
      <c r="R666" s="50">
        <v>0</v>
      </c>
      <c r="S666" s="50">
        <v>0</v>
      </c>
      <c r="T666" s="66">
        <v>0</v>
      </c>
      <c r="U666" s="66">
        <v>0</v>
      </c>
      <c r="V666" s="66">
        <v>0</v>
      </c>
      <c r="W666" s="66">
        <v>0</v>
      </c>
      <c r="X666" s="66">
        <v>0</v>
      </c>
      <c r="Y666" s="66">
        <v>0</v>
      </c>
      <c r="Z666" s="66">
        <v>0</v>
      </c>
      <c r="AA666" s="66">
        <v>0</v>
      </c>
      <c r="AB666" s="66">
        <v>0</v>
      </c>
      <c r="AC666" s="66">
        <v>0</v>
      </c>
    </row>
    <row r="667" spans="1:29">
      <c r="A667" s="43" t="s">
        <v>102</v>
      </c>
      <c r="B667" s="43" t="s">
        <v>752</v>
      </c>
      <c r="F667" s="72">
        <v>4761.5</v>
      </c>
      <c r="G667" s="72">
        <v>4286.2</v>
      </c>
      <c r="H667" s="72">
        <v>4094.8</v>
      </c>
      <c r="I667" s="72">
        <v>3665.5</v>
      </c>
      <c r="J667" s="72">
        <v>3286.7</v>
      </c>
      <c r="K667" s="72">
        <v>2662.4</v>
      </c>
      <c r="L667" s="72">
        <v>2116.09</v>
      </c>
      <c r="M667" s="72">
        <v>466.05</v>
      </c>
      <c r="N667" s="73">
        <v>454.04</v>
      </c>
      <c r="O667" s="73">
        <v>17.489999999999998</v>
      </c>
      <c r="P667" s="73">
        <v>16.5</v>
      </c>
      <c r="Q667" s="73">
        <v>15.1</v>
      </c>
      <c r="R667" s="50">
        <v>0</v>
      </c>
      <c r="S667" s="50">
        <v>0</v>
      </c>
      <c r="T667" s="66">
        <v>0</v>
      </c>
      <c r="U667" s="66">
        <v>0</v>
      </c>
      <c r="V667" s="66" t="s">
        <v>685</v>
      </c>
      <c r="W667" s="66" t="s">
        <v>685</v>
      </c>
      <c r="X667" s="66" t="s">
        <v>685</v>
      </c>
      <c r="Y667" s="66" t="s">
        <v>685</v>
      </c>
      <c r="Z667" s="66" t="s">
        <v>685</v>
      </c>
      <c r="AA667" s="66">
        <v>0</v>
      </c>
      <c r="AB667" s="66">
        <v>0</v>
      </c>
      <c r="AC667" s="66">
        <v>0</v>
      </c>
    </row>
    <row r="668" spans="1:29">
      <c r="A668" s="43" t="s">
        <v>102</v>
      </c>
      <c r="B668" s="43" t="s">
        <v>663</v>
      </c>
      <c r="F668" s="72">
        <v>160.38</v>
      </c>
      <c r="G668" s="72">
        <v>151.25</v>
      </c>
      <c r="H668" s="72">
        <v>146.63</v>
      </c>
      <c r="I668" s="72">
        <v>143</v>
      </c>
      <c r="J668" s="72">
        <v>140.80000000000001</v>
      </c>
      <c r="K668" s="72">
        <v>166.65</v>
      </c>
      <c r="L668" s="72">
        <v>166.65</v>
      </c>
      <c r="M668" s="72">
        <v>0</v>
      </c>
      <c r="N668" s="73">
        <v>0</v>
      </c>
      <c r="O668" s="73">
        <v>0</v>
      </c>
      <c r="P668" s="73">
        <v>0</v>
      </c>
      <c r="Q668" s="73">
        <v>0</v>
      </c>
      <c r="R668" s="50">
        <v>0</v>
      </c>
      <c r="S668" s="50">
        <v>0</v>
      </c>
      <c r="T668" s="66">
        <v>0</v>
      </c>
      <c r="U668" s="66">
        <v>0</v>
      </c>
      <c r="V668" s="66" t="s">
        <v>685</v>
      </c>
      <c r="W668" s="66" t="s">
        <v>685</v>
      </c>
      <c r="X668" s="66" t="s">
        <v>685</v>
      </c>
      <c r="Y668" s="66" t="s">
        <v>685</v>
      </c>
      <c r="Z668" s="66" t="s">
        <v>685</v>
      </c>
      <c r="AA668" s="66">
        <v>0</v>
      </c>
      <c r="AB668" s="66">
        <v>0</v>
      </c>
      <c r="AC668" s="66">
        <v>0</v>
      </c>
    </row>
    <row r="669" spans="1:29">
      <c r="A669" s="43" t="s">
        <v>102</v>
      </c>
      <c r="B669" s="43" t="s">
        <v>243</v>
      </c>
      <c r="F669" s="72">
        <v>472</v>
      </c>
      <c r="G669" s="72">
        <v>450.6</v>
      </c>
      <c r="H669" s="72">
        <v>486.65</v>
      </c>
      <c r="I669" s="72">
        <v>412</v>
      </c>
      <c r="J669" s="72">
        <v>412.1</v>
      </c>
      <c r="K669" s="72">
        <v>191.2</v>
      </c>
      <c r="L669" s="72">
        <v>151</v>
      </c>
      <c r="M669" s="72">
        <v>0</v>
      </c>
      <c r="N669" s="73">
        <v>0</v>
      </c>
      <c r="O669" s="73">
        <v>0</v>
      </c>
      <c r="P669" s="73">
        <v>0</v>
      </c>
      <c r="Q669" s="73">
        <v>0</v>
      </c>
      <c r="R669" s="50">
        <v>0</v>
      </c>
      <c r="S669" s="50">
        <v>0</v>
      </c>
      <c r="T669" s="66">
        <v>0</v>
      </c>
      <c r="U669" s="66">
        <v>0</v>
      </c>
      <c r="V669" s="66" t="s">
        <v>685</v>
      </c>
      <c r="W669" s="66" t="s">
        <v>685</v>
      </c>
      <c r="X669" s="66" t="s">
        <v>685</v>
      </c>
      <c r="Y669" s="66" t="s">
        <v>685</v>
      </c>
      <c r="Z669" s="66" t="s">
        <v>685</v>
      </c>
      <c r="AA669" s="66">
        <v>0</v>
      </c>
      <c r="AB669" s="66">
        <v>0</v>
      </c>
      <c r="AC669" s="66">
        <v>0</v>
      </c>
    </row>
    <row r="670" spans="1:29">
      <c r="A670" s="43" t="s">
        <v>102</v>
      </c>
      <c r="B670" s="43" t="s">
        <v>95</v>
      </c>
      <c r="F670" s="73">
        <v>47.003</v>
      </c>
      <c r="G670" s="73">
        <v>47.624499999999998</v>
      </c>
      <c r="H670" s="73">
        <v>48.009500000000003</v>
      </c>
      <c r="I670" s="73">
        <v>56.155000000000001</v>
      </c>
      <c r="J670" s="73">
        <v>60.664999999999999</v>
      </c>
      <c r="K670" s="73">
        <v>66.159500000000008</v>
      </c>
      <c r="L670" s="73">
        <v>66.819500000000005</v>
      </c>
      <c r="M670" s="73">
        <v>31.489149999999999</v>
      </c>
      <c r="N670" s="73">
        <v>35.778599999999997</v>
      </c>
      <c r="O670" s="73">
        <v>95.957400000000007</v>
      </c>
      <c r="P670" s="73">
        <v>296.13265000000001</v>
      </c>
      <c r="Q670" s="73">
        <f>(4298.32*0.055)+(1214.2*0.11)</f>
        <v>369.96960000000001</v>
      </c>
      <c r="R670" s="50">
        <f>(4739.22*0.055)+(1506.46*0.11)</f>
        <v>426.36770000000001</v>
      </c>
      <c r="S670" s="50">
        <f>(5244.83*0.055)+(1575.45*0.11)</f>
        <v>461.76514999999995</v>
      </c>
      <c r="T670" s="66">
        <f>(5958.2*0.055)+(1680.51*0.11)</f>
        <v>512.55709999999999</v>
      </c>
      <c r="U670" s="66">
        <f>(3887.83*0.055)+(1096.6*0.11)</f>
        <v>334.45664999999997</v>
      </c>
      <c r="V670" s="66">
        <f>(3535.11*0.055)+(997.07*0.11)</f>
        <v>304.10874999999999</v>
      </c>
      <c r="W670" s="66">
        <f>(3657.75*0.055)+(238.55*0.11)+(202.82*0.065)+(10.6*0.02)+(313.11*0.022)</f>
        <v>247.70047</v>
      </c>
      <c r="X670" s="66">
        <f>(3554.3*0.055)+(311.37*0.11)+(8.9*0.065)+(200.9*0.022)</f>
        <v>234.7355</v>
      </c>
      <c r="Y670" s="66">
        <f>(3262.24*0.055)+(717.69*0.11)+(338.46*0.022)</f>
        <v>265.81522000000001</v>
      </c>
      <c r="Z670" s="66">
        <f>(3194.6*0.055)+(901*0.11)+(45.7*0.02)+(251.362*0.022)</f>
        <v>281.25696399999998</v>
      </c>
      <c r="AA670" s="66">
        <f>(3054.4*0.055)+(585.8*0.11)+(305.2*0.022)</f>
        <v>239.14440000000002</v>
      </c>
      <c r="AB670" s="66">
        <f>(2406.14*0.055)+(312.3*0.11)</f>
        <v>166.69069999999999</v>
      </c>
      <c r="AC670" s="66">
        <f>(2395.28*0.055)+(167.6*0.11)</f>
        <v>150.17640000000003</v>
      </c>
    </row>
    <row r="671" spans="1:29">
      <c r="A671" s="43" t="s">
        <v>102</v>
      </c>
      <c r="B671" s="43" t="s">
        <v>825</v>
      </c>
      <c r="Q671" s="73">
        <v>0</v>
      </c>
      <c r="R671" s="50">
        <v>0</v>
      </c>
      <c r="S671" s="50">
        <v>0</v>
      </c>
      <c r="T671" s="66">
        <v>0</v>
      </c>
      <c r="U671" s="66">
        <v>0</v>
      </c>
      <c r="V671" s="66">
        <f>319.06*0.11</f>
        <v>35.096600000000002</v>
      </c>
      <c r="W671" s="66">
        <f>362.4*0.11</f>
        <v>39.863999999999997</v>
      </c>
      <c r="X671" s="66">
        <f>523*0.11</f>
        <v>57.53</v>
      </c>
      <c r="Y671" s="66">
        <f>229.66*0.11</f>
        <v>25.262599999999999</v>
      </c>
      <c r="Z671" s="66">
        <f>288.3*0.11</f>
        <v>31.713000000000001</v>
      </c>
      <c r="AA671" s="66">
        <f>275.7*0.11</f>
        <v>30.326999999999998</v>
      </c>
      <c r="AB671" s="66">
        <f>172.6*0.11</f>
        <v>18.986000000000001</v>
      </c>
      <c r="AC671" s="66">
        <f>19.85*0.11</f>
        <v>2.1835</v>
      </c>
    </row>
    <row r="672" spans="1:29">
      <c r="A672" s="43" t="s">
        <v>102</v>
      </c>
      <c r="B672" s="43" t="s">
        <v>574</v>
      </c>
      <c r="F672" s="72">
        <v>2.04</v>
      </c>
      <c r="G672" s="72">
        <v>1.98</v>
      </c>
      <c r="H672" s="72">
        <v>2.1</v>
      </c>
      <c r="I672" s="72">
        <v>2.1</v>
      </c>
      <c r="J672" s="72">
        <v>1.98</v>
      </c>
      <c r="K672" s="72">
        <v>1.98</v>
      </c>
      <c r="L672" s="72">
        <v>1.68</v>
      </c>
      <c r="M672" s="72">
        <v>0</v>
      </c>
      <c r="N672" s="73">
        <v>0</v>
      </c>
      <c r="O672" s="73">
        <v>0</v>
      </c>
      <c r="P672" s="73">
        <v>0</v>
      </c>
      <c r="Q672" s="73">
        <v>0</v>
      </c>
      <c r="R672" s="50">
        <v>0</v>
      </c>
      <c r="S672" s="50">
        <v>0</v>
      </c>
      <c r="T672" s="66">
        <v>0</v>
      </c>
      <c r="U672" s="66">
        <v>0</v>
      </c>
      <c r="V672" s="66">
        <v>0</v>
      </c>
      <c r="W672" s="66">
        <v>0</v>
      </c>
      <c r="X672" s="66">
        <v>0</v>
      </c>
      <c r="Y672" s="66">
        <v>0</v>
      </c>
      <c r="Z672" s="66">
        <v>0</v>
      </c>
      <c r="AA672" s="66">
        <v>0</v>
      </c>
      <c r="AB672" s="66">
        <v>0</v>
      </c>
      <c r="AC672" s="66">
        <v>0</v>
      </c>
    </row>
    <row r="673" spans="1:29">
      <c r="A673" s="43" t="s">
        <v>102</v>
      </c>
      <c r="B673" s="43" t="s">
        <v>535</v>
      </c>
      <c r="F673" s="72">
        <v>33.19</v>
      </c>
      <c r="G673" s="72">
        <v>32.69</v>
      </c>
      <c r="H673" s="72">
        <v>32.69</v>
      </c>
      <c r="I673" s="72">
        <v>31.5</v>
      </c>
      <c r="J673" s="72">
        <v>31</v>
      </c>
      <c r="K673" s="72">
        <v>31.3</v>
      </c>
      <c r="L673" s="72">
        <v>31.3</v>
      </c>
      <c r="M673" s="72">
        <v>0</v>
      </c>
      <c r="N673" s="73">
        <v>0</v>
      </c>
      <c r="O673" s="73">
        <v>0</v>
      </c>
      <c r="P673" s="73">
        <v>0</v>
      </c>
      <c r="Q673" s="73">
        <v>0</v>
      </c>
      <c r="R673" s="50">
        <v>0</v>
      </c>
      <c r="S673" s="50">
        <v>0</v>
      </c>
      <c r="T673" s="66">
        <v>0</v>
      </c>
      <c r="U673" s="66">
        <v>0</v>
      </c>
      <c r="V673" s="66">
        <v>0</v>
      </c>
      <c r="W673" s="66">
        <v>0</v>
      </c>
      <c r="X673" s="66">
        <v>0</v>
      </c>
      <c r="Y673" s="66">
        <v>0</v>
      </c>
      <c r="Z673" s="66">
        <v>0</v>
      </c>
      <c r="AA673" s="66">
        <v>0</v>
      </c>
      <c r="AB673" s="66">
        <v>0</v>
      </c>
      <c r="AC673" s="66">
        <v>0</v>
      </c>
    </row>
    <row r="674" spans="1:29">
      <c r="A674" s="69" t="s">
        <v>509</v>
      </c>
      <c r="B674" s="69" t="s">
        <v>752</v>
      </c>
      <c r="N674" s="73">
        <v>0</v>
      </c>
      <c r="O674" s="73">
        <v>0</v>
      </c>
      <c r="P674" s="73">
        <v>0</v>
      </c>
      <c r="Q674" s="73">
        <v>0</v>
      </c>
      <c r="R674" s="50">
        <v>0</v>
      </c>
      <c r="S674" s="50">
        <v>0</v>
      </c>
      <c r="T674" s="66">
        <v>0</v>
      </c>
      <c r="U674" s="66" t="s">
        <v>685</v>
      </c>
      <c r="V674" s="66" t="s">
        <v>685</v>
      </c>
      <c r="W674" s="66" t="s">
        <v>685</v>
      </c>
      <c r="X674" s="66" t="s">
        <v>685</v>
      </c>
      <c r="Y674" s="66" t="s">
        <v>685</v>
      </c>
      <c r="Z674" s="66" t="s">
        <v>685</v>
      </c>
      <c r="AA674" s="66">
        <v>0</v>
      </c>
      <c r="AB674" s="66">
        <v>0</v>
      </c>
      <c r="AC674" s="66">
        <v>0</v>
      </c>
    </row>
    <row r="675" spans="1:29">
      <c r="A675" s="69" t="s">
        <v>509</v>
      </c>
      <c r="B675" s="69" t="s">
        <v>663</v>
      </c>
      <c r="N675" s="73">
        <v>0.11</v>
      </c>
      <c r="O675" s="73">
        <v>0.11</v>
      </c>
      <c r="P675" s="73">
        <v>0</v>
      </c>
      <c r="Q675" s="73">
        <v>0</v>
      </c>
      <c r="R675" s="50">
        <v>0</v>
      </c>
      <c r="S675" s="50">
        <v>0</v>
      </c>
      <c r="T675" s="66">
        <v>0</v>
      </c>
      <c r="U675" s="66" t="s">
        <v>685</v>
      </c>
      <c r="V675" s="66" t="s">
        <v>685</v>
      </c>
      <c r="W675" s="66" t="s">
        <v>685</v>
      </c>
      <c r="X675" s="66" t="s">
        <v>685</v>
      </c>
      <c r="Y675" s="66" t="s">
        <v>685</v>
      </c>
      <c r="Z675" s="66" t="s">
        <v>685</v>
      </c>
      <c r="AA675" s="66">
        <v>0</v>
      </c>
      <c r="AB675" s="66">
        <v>0</v>
      </c>
      <c r="AC675" s="66">
        <v>0</v>
      </c>
    </row>
    <row r="676" spans="1:29">
      <c r="A676" s="69" t="s">
        <v>509</v>
      </c>
      <c r="B676" s="43" t="s">
        <v>243</v>
      </c>
      <c r="N676" s="73">
        <v>0</v>
      </c>
      <c r="O676" s="73">
        <v>0</v>
      </c>
      <c r="P676" s="73">
        <v>0</v>
      </c>
      <c r="Q676" s="73">
        <v>0</v>
      </c>
      <c r="R676" s="50">
        <v>0</v>
      </c>
      <c r="S676" s="50">
        <v>0</v>
      </c>
      <c r="T676" s="66">
        <v>0</v>
      </c>
      <c r="U676" s="66" t="s">
        <v>685</v>
      </c>
      <c r="V676" s="66" t="s">
        <v>685</v>
      </c>
      <c r="W676" s="66" t="s">
        <v>685</v>
      </c>
      <c r="X676" s="66" t="s">
        <v>685</v>
      </c>
      <c r="Y676" s="66" t="s">
        <v>685</v>
      </c>
      <c r="Z676" s="66" t="s">
        <v>685</v>
      </c>
      <c r="AA676" s="66">
        <v>0</v>
      </c>
      <c r="AB676" s="66">
        <v>0</v>
      </c>
      <c r="AC676" s="66">
        <v>0</v>
      </c>
    </row>
    <row r="677" spans="1:29">
      <c r="A677" s="43" t="s">
        <v>509</v>
      </c>
      <c r="B677" s="43" t="s">
        <v>95</v>
      </c>
      <c r="N677" s="73">
        <v>0</v>
      </c>
      <c r="O677" s="50">
        <v>1.925E-2</v>
      </c>
      <c r="P677" s="73">
        <v>0</v>
      </c>
      <c r="Q677" s="73">
        <v>0</v>
      </c>
      <c r="R677" s="50">
        <f>0.3*0.055</f>
        <v>1.6500000000000001E-2</v>
      </c>
      <c r="S677" s="50">
        <v>0</v>
      </c>
      <c r="T677" s="66">
        <v>0</v>
      </c>
      <c r="U677" s="66">
        <v>0</v>
      </c>
      <c r="V677" s="66">
        <v>0</v>
      </c>
      <c r="W677" s="66">
        <v>0</v>
      </c>
      <c r="X677" s="66">
        <v>0</v>
      </c>
      <c r="Y677" s="66">
        <v>0</v>
      </c>
      <c r="Z677" s="66">
        <v>0</v>
      </c>
      <c r="AA677" s="66">
        <v>0</v>
      </c>
      <c r="AB677" s="66">
        <v>0</v>
      </c>
      <c r="AC677" s="66">
        <v>0</v>
      </c>
    </row>
    <row r="678" spans="1:29">
      <c r="A678" s="43" t="s">
        <v>509</v>
      </c>
      <c r="B678" s="43" t="s">
        <v>825</v>
      </c>
      <c r="Q678" s="73">
        <v>0</v>
      </c>
      <c r="R678" s="50">
        <v>0</v>
      </c>
      <c r="S678" s="50">
        <v>0</v>
      </c>
      <c r="T678" s="66">
        <v>0</v>
      </c>
      <c r="U678" s="66">
        <v>0</v>
      </c>
      <c r="V678" s="66">
        <v>0</v>
      </c>
      <c r="W678" s="66">
        <v>0</v>
      </c>
      <c r="X678" s="66">
        <v>0</v>
      </c>
      <c r="Y678" s="66">
        <v>0</v>
      </c>
      <c r="Z678" s="66">
        <v>0</v>
      </c>
      <c r="AA678" s="66">
        <v>0</v>
      </c>
      <c r="AB678" s="66">
        <v>0</v>
      </c>
      <c r="AC678" s="66">
        <v>0</v>
      </c>
    </row>
    <row r="679" spans="1:29">
      <c r="A679" s="69" t="s">
        <v>509</v>
      </c>
      <c r="B679" s="43" t="s">
        <v>574</v>
      </c>
      <c r="N679" s="73">
        <v>0</v>
      </c>
      <c r="O679" s="73">
        <v>0</v>
      </c>
      <c r="P679" s="73">
        <v>0</v>
      </c>
      <c r="Q679" s="73">
        <v>0</v>
      </c>
      <c r="R679" s="50">
        <v>0</v>
      </c>
      <c r="S679" s="50">
        <v>0</v>
      </c>
      <c r="T679" s="66">
        <v>0</v>
      </c>
      <c r="U679" s="66">
        <v>0</v>
      </c>
      <c r="V679" s="66">
        <v>0</v>
      </c>
      <c r="W679" s="66">
        <v>0</v>
      </c>
      <c r="X679" s="66">
        <v>0</v>
      </c>
      <c r="Y679" s="66">
        <v>0</v>
      </c>
      <c r="Z679" s="66">
        <v>0</v>
      </c>
      <c r="AA679" s="66">
        <v>0</v>
      </c>
      <c r="AB679" s="66">
        <v>0</v>
      </c>
      <c r="AC679" s="66">
        <v>0</v>
      </c>
    </row>
    <row r="680" spans="1:29">
      <c r="A680" s="69" t="s">
        <v>509</v>
      </c>
      <c r="B680" s="69" t="s">
        <v>535</v>
      </c>
      <c r="N680" s="73">
        <v>0.01</v>
      </c>
      <c r="O680" s="73">
        <v>0</v>
      </c>
      <c r="P680" s="73">
        <v>0</v>
      </c>
      <c r="Q680" s="73">
        <v>0</v>
      </c>
      <c r="R680" s="50">
        <v>0</v>
      </c>
      <c r="S680" s="50">
        <v>0</v>
      </c>
      <c r="T680" s="66">
        <v>0</v>
      </c>
      <c r="U680" s="66">
        <v>0</v>
      </c>
      <c r="V680" s="66">
        <v>0</v>
      </c>
      <c r="W680" s="66">
        <v>0</v>
      </c>
      <c r="X680" s="66">
        <v>0</v>
      </c>
      <c r="Y680" s="66">
        <v>0</v>
      </c>
      <c r="Z680" s="66">
        <v>0</v>
      </c>
      <c r="AA680" s="66">
        <v>0</v>
      </c>
      <c r="AB680" s="66">
        <v>0</v>
      </c>
      <c r="AC680" s="66">
        <v>0</v>
      </c>
    </row>
    <row r="681" spans="1:29">
      <c r="A681" s="67" t="s">
        <v>847</v>
      </c>
      <c r="B681" s="43" t="s">
        <v>752</v>
      </c>
      <c r="C681" s="72">
        <v>558</v>
      </c>
      <c r="D681" s="72">
        <v>514</v>
      </c>
      <c r="E681" s="72">
        <v>487.1</v>
      </c>
      <c r="F681" s="72">
        <v>62.83</v>
      </c>
      <c r="G681" s="72">
        <v>191.89</v>
      </c>
      <c r="H681" s="72">
        <v>49.46</v>
      </c>
      <c r="I681" s="72">
        <v>46.68</v>
      </c>
      <c r="J681" s="72">
        <v>34.11</v>
      </c>
      <c r="K681" s="72">
        <v>49.33</v>
      </c>
      <c r="L681" s="72">
        <v>8.7739999999999991</v>
      </c>
      <c r="M681" s="72">
        <v>11.832000000000001</v>
      </c>
      <c r="N681" s="73">
        <v>6.9884000000000004</v>
      </c>
      <c r="O681" s="73">
        <v>0</v>
      </c>
      <c r="P681" s="73">
        <v>0</v>
      </c>
      <c r="Q681" s="73">
        <v>0</v>
      </c>
      <c r="R681" s="50">
        <v>0</v>
      </c>
      <c r="S681" s="50">
        <v>0</v>
      </c>
      <c r="T681" s="66" t="s">
        <v>685</v>
      </c>
      <c r="U681" s="66" t="s">
        <v>685</v>
      </c>
      <c r="V681" s="66" t="s">
        <v>685</v>
      </c>
      <c r="W681" s="66" t="s">
        <v>685</v>
      </c>
      <c r="X681" s="66" t="s">
        <v>685</v>
      </c>
      <c r="Y681" s="66" t="s">
        <v>685</v>
      </c>
      <c r="Z681" s="66" t="s">
        <v>685</v>
      </c>
      <c r="AA681" s="66">
        <v>0</v>
      </c>
      <c r="AB681" s="66">
        <v>0</v>
      </c>
      <c r="AC681" s="66">
        <v>0</v>
      </c>
    </row>
    <row r="682" spans="1:29">
      <c r="A682" s="67" t="s">
        <v>847</v>
      </c>
      <c r="B682" s="43" t="s">
        <v>663</v>
      </c>
      <c r="C682" s="72">
        <v>0</v>
      </c>
      <c r="D682" s="72">
        <v>0</v>
      </c>
      <c r="E682" s="72">
        <v>2.1999999999999999E-2</v>
      </c>
      <c r="F682" s="72">
        <v>9.9000000000000005E-2</v>
      </c>
      <c r="G682" s="72">
        <v>5.5E-2</v>
      </c>
      <c r="H682" s="72">
        <v>4.3999999999999997E-2</v>
      </c>
      <c r="I682" s="72">
        <v>0</v>
      </c>
      <c r="J682" s="72">
        <v>1.0999999999999999E-2</v>
      </c>
      <c r="K682" s="72">
        <v>0</v>
      </c>
      <c r="L682" s="72">
        <v>0</v>
      </c>
      <c r="M682" s="72">
        <v>1.188E-2</v>
      </c>
      <c r="N682" s="73">
        <v>0</v>
      </c>
      <c r="O682" s="73">
        <v>0</v>
      </c>
      <c r="P682" s="73">
        <v>0</v>
      </c>
      <c r="Q682" s="73">
        <v>0</v>
      </c>
      <c r="R682" s="50">
        <v>0</v>
      </c>
      <c r="S682" s="50">
        <v>0</v>
      </c>
      <c r="T682" s="66" t="s">
        <v>685</v>
      </c>
      <c r="U682" s="66" t="s">
        <v>685</v>
      </c>
      <c r="V682" s="66" t="s">
        <v>685</v>
      </c>
      <c r="W682" s="66" t="s">
        <v>685</v>
      </c>
      <c r="X682" s="66" t="s">
        <v>685</v>
      </c>
      <c r="Y682" s="66" t="s">
        <v>685</v>
      </c>
      <c r="Z682" s="66" t="s">
        <v>685</v>
      </c>
      <c r="AA682" s="66">
        <v>0</v>
      </c>
      <c r="AB682" s="66">
        <v>0</v>
      </c>
      <c r="AC682" s="66">
        <v>0</v>
      </c>
    </row>
    <row r="683" spans="1:29">
      <c r="A683" s="67" t="s">
        <v>847</v>
      </c>
      <c r="B683" s="43" t="s">
        <v>243</v>
      </c>
      <c r="C683" s="72">
        <v>30</v>
      </c>
      <c r="D683" s="72">
        <v>30</v>
      </c>
      <c r="E683" s="72">
        <v>36.270000000000003</v>
      </c>
      <c r="F683" s="72">
        <v>0</v>
      </c>
      <c r="G683" s="72">
        <v>0</v>
      </c>
      <c r="H683" s="72">
        <v>0</v>
      </c>
      <c r="I683" s="72">
        <v>0</v>
      </c>
      <c r="J683" s="72">
        <v>0</v>
      </c>
      <c r="K683" s="72">
        <v>0</v>
      </c>
      <c r="L683" s="72">
        <v>0</v>
      </c>
      <c r="M683" s="72">
        <v>0</v>
      </c>
      <c r="N683" s="73">
        <v>0</v>
      </c>
      <c r="O683" s="73">
        <v>0</v>
      </c>
      <c r="P683" s="73">
        <v>0</v>
      </c>
      <c r="Q683" s="73">
        <v>0</v>
      </c>
      <c r="R683" s="50">
        <v>0</v>
      </c>
      <c r="S683" s="50">
        <v>0</v>
      </c>
      <c r="T683" s="66" t="s">
        <v>685</v>
      </c>
      <c r="U683" s="66" t="s">
        <v>685</v>
      </c>
      <c r="V683" s="66" t="s">
        <v>685</v>
      </c>
      <c r="W683" s="66" t="s">
        <v>685</v>
      </c>
      <c r="X683" s="66" t="s">
        <v>685</v>
      </c>
      <c r="Y683" s="66" t="s">
        <v>685</v>
      </c>
      <c r="Z683" s="66" t="s">
        <v>685</v>
      </c>
      <c r="AA683" s="66">
        <v>0</v>
      </c>
      <c r="AB683" s="66">
        <v>0</v>
      </c>
      <c r="AC683" s="66">
        <v>0</v>
      </c>
    </row>
    <row r="684" spans="1:29">
      <c r="A684" s="67" t="s">
        <v>847</v>
      </c>
      <c r="B684" s="43" t="s">
        <v>95</v>
      </c>
      <c r="C684" s="73">
        <v>1.54</v>
      </c>
      <c r="D684" s="73">
        <v>2.42</v>
      </c>
      <c r="E684" s="73">
        <v>1.8260000000000001</v>
      </c>
      <c r="F684" s="73">
        <v>3.5546500000000001</v>
      </c>
      <c r="G684" s="73">
        <v>1.1813999999999998</v>
      </c>
      <c r="H684" s="73">
        <v>4.9857500000000003</v>
      </c>
      <c r="I684" s="73">
        <v>10.358700000000001</v>
      </c>
      <c r="J684" s="73">
        <v>3.9193000000000002</v>
      </c>
      <c r="K684" s="73">
        <v>5.9608999999999996</v>
      </c>
      <c r="L684" s="73">
        <v>4.7635500000000004</v>
      </c>
      <c r="M684" s="73">
        <v>1.8625750000000001</v>
      </c>
      <c r="N684" s="73">
        <v>2.3641200000000002</v>
      </c>
      <c r="O684" s="73">
        <v>1.2496</v>
      </c>
      <c r="P684" s="73">
        <v>2.0272999999999999</v>
      </c>
      <c r="Q684" s="73">
        <f>4.0167-(15.7*0.11)</f>
        <v>2.2897000000000003</v>
      </c>
      <c r="R684" s="50">
        <f>(23.94*0.055)</f>
        <v>1.3167</v>
      </c>
      <c r="S684" s="50">
        <f>(16.32*0.055)</f>
        <v>0.89760000000000006</v>
      </c>
      <c r="T684" s="66">
        <f>(13.464*0.055)</f>
        <v>0.74052000000000007</v>
      </c>
      <c r="U684" s="66">
        <f>13.056*0.055</f>
        <v>0.71807999999999994</v>
      </c>
      <c r="V684" s="66">
        <f>10.4448*0.055</f>
        <v>0.57446400000000009</v>
      </c>
      <c r="W684" s="66">
        <f>3.36*0.055</f>
        <v>0.18479999999999999</v>
      </c>
      <c r="X684" s="66">
        <f>4.92*0.055</f>
        <v>0.27060000000000001</v>
      </c>
      <c r="Y684" s="66">
        <f>0.6985*0.055</f>
        <v>3.84175E-2</v>
      </c>
      <c r="Z684" s="66">
        <f>4.76*0.055</f>
        <v>0.26179999999999998</v>
      </c>
      <c r="AA684" s="66">
        <f>11.56*0.055</f>
        <v>0.63580000000000003</v>
      </c>
      <c r="AB684" s="66">
        <f>6.79*0.055</f>
        <v>0.37345</v>
      </c>
      <c r="AC684" s="66">
        <v>0</v>
      </c>
    </row>
    <row r="685" spans="1:29">
      <c r="A685" s="67" t="s">
        <v>847</v>
      </c>
      <c r="B685" s="43" t="s">
        <v>825</v>
      </c>
      <c r="Q685" s="73">
        <f>15.7*0.11</f>
        <v>1.7269999999999999</v>
      </c>
      <c r="R685" s="50">
        <f>15.7*0.11</f>
        <v>1.7269999999999999</v>
      </c>
      <c r="S685" s="50">
        <f>14.6*0.11</f>
        <v>1.6059999999999999</v>
      </c>
      <c r="T685" s="50">
        <f>14.6*0.11</f>
        <v>1.6059999999999999</v>
      </c>
      <c r="U685" s="66">
        <v>0</v>
      </c>
      <c r="V685" s="66">
        <v>0</v>
      </c>
      <c r="W685" s="66">
        <v>0</v>
      </c>
      <c r="X685" s="66">
        <v>0</v>
      </c>
      <c r="Y685" s="66">
        <v>0</v>
      </c>
      <c r="Z685" s="66">
        <v>0</v>
      </c>
      <c r="AA685" s="66">
        <v>0</v>
      </c>
      <c r="AB685" s="66">
        <v>0</v>
      </c>
      <c r="AC685" s="66">
        <v>0</v>
      </c>
    </row>
    <row r="686" spans="1:29">
      <c r="A686" s="67" t="s">
        <v>847</v>
      </c>
      <c r="B686" s="43" t="s">
        <v>574</v>
      </c>
      <c r="C686" s="72">
        <v>12</v>
      </c>
      <c r="D686" s="72">
        <v>12</v>
      </c>
      <c r="E686" s="72">
        <v>12</v>
      </c>
      <c r="F686" s="72">
        <v>12.9</v>
      </c>
      <c r="G686" s="72">
        <v>13.92</v>
      </c>
      <c r="H686" s="72">
        <v>23.37</v>
      </c>
      <c r="I686" s="72">
        <v>19.920000000000002</v>
      </c>
      <c r="J686" s="72">
        <v>5.32</v>
      </c>
      <c r="K686" s="72">
        <v>0</v>
      </c>
      <c r="L686" s="72">
        <v>0</v>
      </c>
      <c r="M686" s="72">
        <v>0</v>
      </c>
      <c r="N686" s="73">
        <v>0</v>
      </c>
      <c r="O686" s="73">
        <v>0</v>
      </c>
      <c r="P686" s="73">
        <v>0</v>
      </c>
      <c r="Q686" s="73">
        <v>0</v>
      </c>
      <c r="R686" s="50">
        <v>0</v>
      </c>
      <c r="S686" s="50">
        <v>0</v>
      </c>
      <c r="T686" s="66">
        <v>0</v>
      </c>
      <c r="U686" s="66">
        <v>0</v>
      </c>
      <c r="V686" s="66">
        <v>0</v>
      </c>
      <c r="W686" s="66">
        <v>0</v>
      </c>
      <c r="X686" s="66">
        <v>0</v>
      </c>
      <c r="Y686" s="66">
        <v>0</v>
      </c>
      <c r="Z686" s="66">
        <v>0</v>
      </c>
      <c r="AA686" s="66">
        <v>0</v>
      </c>
      <c r="AB686" s="66">
        <v>0</v>
      </c>
      <c r="AC686" s="66">
        <v>0</v>
      </c>
    </row>
    <row r="687" spans="1:29">
      <c r="A687" s="67" t="s">
        <v>847</v>
      </c>
      <c r="B687" s="43" t="s">
        <v>535</v>
      </c>
      <c r="C687" s="72">
        <v>0</v>
      </c>
      <c r="D687" s="72">
        <v>0</v>
      </c>
      <c r="E687" s="72">
        <v>3.32</v>
      </c>
      <c r="F687" s="72">
        <v>0</v>
      </c>
      <c r="G687" s="72">
        <v>0</v>
      </c>
      <c r="H687" s="72">
        <v>0</v>
      </c>
      <c r="I687" s="72">
        <v>0</v>
      </c>
      <c r="J687" s="72">
        <v>0</v>
      </c>
      <c r="K687" s="72">
        <v>0</v>
      </c>
      <c r="L687" s="72">
        <v>0</v>
      </c>
      <c r="M687" s="72">
        <v>0</v>
      </c>
      <c r="N687" s="73">
        <v>0</v>
      </c>
      <c r="O687" s="73">
        <v>0</v>
      </c>
      <c r="P687" s="73">
        <v>0</v>
      </c>
      <c r="Q687" s="73">
        <v>0</v>
      </c>
      <c r="R687" s="50">
        <v>0</v>
      </c>
      <c r="S687" s="50">
        <v>0</v>
      </c>
      <c r="T687" s="66">
        <v>0</v>
      </c>
      <c r="U687" s="66">
        <v>0</v>
      </c>
      <c r="V687" s="66">
        <v>0</v>
      </c>
      <c r="W687" s="66">
        <v>0</v>
      </c>
      <c r="X687" s="66">
        <v>0</v>
      </c>
      <c r="Y687" s="66">
        <v>0</v>
      </c>
      <c r="Z687" s="66">
        <v>0</v>
      </c>
      <c r="AA687" s="66">
        <v>0</v>
      </c>
      <c r="AB687" s="66">
        <v>0</v>
      </c>
      <c r="AC687" s="66">
        <v>0</v>
      </c>
    </row>
    <row r="688" spans="1:29">
      <c r="A688" s="43" t="s">
        <v>545</v>
      </c>
      <c r="B688" s="43" t="s">
        <v>752</v>
      </c>
      <c r="C688" s="72">
        <v>229.92599999999999</v>
      </c>
      <c r="D688" s="72">
        <v>264.92500000000001</v>
      </c>
      <c r="E688" s="72">
        <v>250.5</v>
      </c>
      <c r="F688" s="72">
        <v>261.10000000000002</v>
      </c>
      <c r="G688" s="72">
        <v>259.60000000000002</v>
      </c>
      <c r="H688" s="72">
        <v>281.91500000000002</v>
      </c>
      <c r="I688" s="72">
        <v>207.29499999999999</v>
      </c>
      <c r="J688" s="72">
        <v>179.49</v>
      </c>
      <c r="K688" s="72">
        <v>134.49</v>
      </c>
      <c r="L688" s="72">
        <v>98.664000000000001</v>
      </c>
      <c r="M688" s="72">
        <v>54.3</v>
      </c>
      <c r="N688" s="73">
        <v>25.786999999999999</v>
      </c>
      <c r="O688" s="73">
        <v>10.114000000000001</v>
      </c>
      <c r="P688" s="73">
        <v>8.49</v>
      </c>
      <c r="Q688" s="73">
        <v>1.36</v>
      </c>
      <c r="R688" s="50">
        <v>0</v>
      </c>
      <c r="S688" s="50">
        <v>0</v>
      </c>
      <c r="T688" s="66" t="s">
        <v>685</v>
      </c>
      <c r="U688" s="66" t="s">
        <v>685</v>
      </c>
      <c r="V688" s="66" t="s">
        <v>685</v>
      </c>
      <c r="W688" s="66" t="s">
        <v>685</v>
      </c>
      <c r="X688" s="66" t="s">
        <v>685</v>
      </c>
      <c r="Y688" s="66" t="s">
        <v>685</v>
      </c>
      <c r="Z688" s="66" t="s">
        <v>685</v>
      </c>
      <c r="AA688" s="66">
        <v>0</v>
      </c>
      <c r="AB688" s="66">
        <v>0</v>
      </c>
      <c r="AC688" s="66">
        <v>0</v>
      </c>
    </row>
    <row r="689" spans="1:30">
      <c r="A689" s="43" t="s">
        <v>545</v>
      </c>
      <c r="B689" s="43" t="s">
        <v>663</v>
      </c>
      <c r="C689" s="72">
        <v>0.105</v>
      </c>
      <c r="D689" s="72">
        <v>0.1056</v>
      </c>
      <c r="E689" s="72">
        <v>0.1056</v>
      </c>
      <c r="F689" s="72">
        <v>0.10824</v>
      </c>
      <c r="G689" s="72">
        <v>0.1056</v>
      </c>
      <c r="H689" s="72">
        <v>0.1056</v>
      </c>
      <c r="I689" s="72">
        <v>0.55000000000000004</v>
      </c>
      <c r="J689" s="72">
        <v>0</v>
      </c>
      <c r="K689" s="72">
        <v>9.9000000000000005E-2</v>
      </c>
      <c r="L689" s="72">
        <v>0</v>
      </c>
      <c r="M689" s="72">
        <v>0</v>
      </c>
      <c r="N689" s="73">
        <v>0</v>
      </c>
      <c r="O689" s="73">
        <v>0</v>
      </c>
      <c r="P689" s="73">
        <v>0</v>
      </c>
      <c r="Q689" s="73">
        <v>0</v>
      </c>
      <c r="R689" s="50">
        <v>0</v>
      </c>
      <c r="S689" s="50">
        <v>0</v>
      </c>
      <c r="T689" s="66" t="s">
        <v>685</v>
      </c>
      <c r="U689" s="66" t="s">
        <v>685</v>
      </c>
      <c r="V689" s="66" t="s">
        <v>685</v>
      </c>
      <c r="W689" s="66" t="s">
        <v>685</v>
      </c>
      <c r="X689" s="66" t="s">
        <v>685</v>
      </c>
      <c r="Y689" s="66" t="s">
        <v>685</v>
      </c>
      <c r="Z689" s="66" t="s">
        <v>685</v>
      </c>
      <c r="AA689" s="66">
        <v>0</v>
      </c>
      <c r="AB689" s="66">
        <v>0</v>
      </c>
      <c r="AC689" s="66">
        <v>0</v>
      </c>
    </row>
    <row r="690" spans="1:30">
      <c r="A690" s="43" t="s">
        <v>545</v>
      </c>
      <c r="B690" s="43" t="s">
        <v>243</v>
      </c>
      <c r="C690" s="72">
        <v>14.9</v>
      </c>
      <c r="D690" s="72">
        <v>13.9</v>
      </c>
      <c r="E690" s="72">
        <v>12.19</v>
      </c>
      <c r="F690" s="72">
        <v>9.52</v>
      </c>
      <c r="G690" s="72">
        <v>5.45</v>
      </c>
      <c r="H690" s="72">
        <v>7.2210000000000001</v>
      </c>
      <c r="I690" s="72">
        <v>5.3849999999999998</v>
      </c>
      <c r="J690" s="72">
        <v>6.21</v>
      </c>
      <c r="K690" s="72">
        <v>0.66</v>
      </c>
      <c r="L690" s="72">
        <v>0</v>
      </c>
      <c r="M690" s="72">
        <v>0</v>
      </c>
      <c r="N690" s="73">
        <v>0</v>
      </c>
      <c r="O690" s="73">
        <v>0</v>
      </c>
      <c r="P690" s="73">
        <v>0</v>
      </c>
      <c r="Q690" s="73">
        <v>0</v>
      </c>
      <c r="R690" s="50">
        <v>0</v>
      </c>
      <c r="S690" s="50">
        <v>0</v>
      </c>
      <c r="T690" s="66" t="s">
        <v>685</v>
      </c>
      <c r="U690" s="66" t="s">
        <v>685</v>
      </c>
      <c r="V690" s="66" t="s">
        <v>685</v>
      </c>
      <c r="W690" s="66" t="s">
        <v>685</v>
      </c>
      <c r="X690" s="66" t="s">
        <v>685</v>
      </c>
      <c r="Y690" s="66" t="s">
        <v>685</v>
      </c>
      <c r="Z690" s="66" t="s">
        <v>685</v>
      </c>
      <c r="AA690" s="66">
        <v>0</v>
      </c>
      <c r="AB690" s="66">
        <v>0</v>
      </c>
      <c r="AC690" s="66">
        <v>0</v>
      </c>
    </row>
    <row r="691" spans="1:30">
      <c r="A691" s="43" t="s">
        <v>545</v>
      </c>
      <c r="B691" s="43" t="s">
        <v>95</v>
      </c>
      <c r="C691" s="73">
        <v>16.698</v>
      </c>
      <c r="D691" s="73">
        <v>16.797000000000001</v>
      </c>
      <c r="E691" s="73">
        <v>15.543000000000001</v>
      </c>
      <c r="F691" s="73">
        <v>18.023499999999999</v>
      </c>
      <c r="G691" s="73">
        <v>18.7484</v>
      </c>
      <c r="H691" s="73">
        <v>22.653784999999999</v>
      </c>
      <c r="I691" s="73">
        <v>15.404784999999999</v>
      </c>
      <c r="J691" s="73">
        <v>15.845500000000001</v>
      </c>
      <c r="K691" s="73">
        <v>16.880600000000001</v>
      </c>
      <c r="L691" s="73">
        <v>20.051899999999996</v>
      </c>
      <c r="M691" s="73">
        <v>19.722750000000005</v>
      </c>
      <c r="N691" s="73">
        <v>32.187150000000003</v>
      </c>
      <c r="O691" s="73">
        <v>19.493100000000002</v>
      </c>
      <c r="P691" s="73">
        <v>24.685650000000003</v>
      </c>
      <c r="Q691" s="73">
        <f>(540.03*0.055)+(3*0.11)+(10.8*0.065)</f>
        <v>30.733649999999997</v>
      </c>
      <c r="R691" s="50">
        <f>(535.1*0.055)+(17.3*0.11)+(13.3*0.065)</f>
        <v>32.198</v>
      </c>
      <c r="S691" s="50">
        <f>(597.86*0.055)+(17.557*0.11)+(0.36*0.02)</f>
        <v>34.820769999999996</v>
      </c>
      <c r="T691" s="66">
        <f>(768.1036*0.055)+(68.728*0.11)+(79.2*0.065)</f>
        <v>54.953778000000007</v>
      </c>
      <c r="U691" s="66">
        <f>(393.49*0.055)+(23.29*0.11)+(69.67*0.065)+(6.75*0.02)</f>
        <v>28.867400000000004</v>
      </c>
      <c r="V691" s="66">
        <f>(318.878*0.055)+(18.782*0.11)+(11.16*0.065)+(2*0.02)</f>
        <v>20.369709999999998</v>
      </c>
      <c r="W691" s="66">
        <f>(364.9*0.055)+(20.3*0.11)</f>
        <v>22.302499999999998</v>
      </c>
      <c r="X691" s="66">
        <f>(347.1828*0.055)+(9.248*0.11)</f>
        <v>20.112334000000001</v>
      </c>
      <c r="Y691" s="66">
        <f>316.956*0.055</f>
        <v>17.432580000000002</v>
      </c>
      <c r="Z691" s="66">
        <f>348.595*0.055</f>
        <v>19.172725000000003</v>
      </c>
      <c r="AA691" s="66">
        <f>(325.23*0.055)+(0.73*0.02)</f>
        <v>17.902250000000002</v>
      </c>
      <c r="AB691" s="66">
        <f>290.16*0.055</f>
        <v>15.958800000000002</v>
      </c>
      <c r="AC691" s="66">
        <f>269.93*0.055</f>
        <v>14.84615</v>
      </c>
    </row>
    <row r="692" spans="1:30">
      <c r="A692" s="43" t="s">
        <v>545</v>
      </c>
      <c r="B692" s="43" t="s">
        <v>825</v>
      </c>
      <c r="Q692" s="73">
        <v>0</v>
      </c>
      <c r="R692" s="50">
        <f>21.5*0.11</f>
        <v>2.3650000000000002</v>
      </c>
      <c r="S692" s="50">
        <f>22.79*0.11</f>
        <v>2.5068999999999999</v>
      </c>
      <c r="T692" s="50">
        <f>67.86989*0.11</f>
        <v>7.4656878999999998</v>
      </c>
      <c r="U692" s="50">
        <f>44.31*0.11</f>
        <v>4.8741000000000003</v>
      </c>
      <c r="V692" s="50">
        <f>39.917*0.11</f>
        <v>4.3908700000000005</v>
      </c>
      <c r="W692" s="50">
        <f>41.9*0.11</f>
        <v>4.609</v>
      </c>
      <c r="X692" s="50">
        <f>43.244*0.11</f>
        <v>4.7568400000000004</v>
      </c>
      <c r="Y692" s="50">
        <v>0</v>
      </c>
      <c r="Z692" s="50">
        <v>0</v>
      </c>
      <c r="AA692" s="50">
        <v>0</v>
      </c>
      <c r="AB692" s="50">
        <v>0</v>
      </c>
      <c r="AC692" s="50">
        <v>0</v>
      </c>
      <c r="AD692" s="50"/>
    </row>
    <row r="693" spans="1:30">
      <c r="A693" s="43" t="s">
        <v>545</v>
      </c>
      <c r="B693" s="43" t="s">
        <v>574</v>
      </c>
      <c r="C693" s="72">
        <v>0.67679999999999996</v>
      </c>
      <c r="D693" s="72">
        <v>0.67679999999999996</v>
      </c>
      <c r="E693" s="72">
        <v>0.67</v>
      </c>
      <c r="F693" s="72">
        <v>2.3140000000000001</v>
      </c>
      <c r="G693" s="72">
        <v>4.3</v>
      </c>
      <c r="H693" s="72">
        <v>3</v>
      </c>
      <c r="I693" s="72">
        <v>1.032</v>
      </c>
      <c r="J693" s="72">
        <v>0</v>
      </c>
      <c r="K693" s="72">
        <v>0</v>
      </c>
      <c r="L693" s="72">
        <v>0</v>
      </c>
      <c r="M693" s="72">
        <v>0</v>
      </c>
      <c r="N693" s="73">
        <v>0</v>
      </c>
      <c r="O693" s="73">
        <v>0</v>
      </c>
      <c r="P693" s="73">
        <v>0</v>
      </c>
      <c r="Q693" s="73">
        <v>0</v>
      </c>
      <c r="R693" s="50">
        <v>0</v>
      </c>
      <c r="S693" s="50">
        <v>0</v>
      </c>
      <c r="T693" s="66">
        <v>0</v>
      </c>
      <c r="U693" s="66">
        <v>0</v>
      </c>
      <c r="V693" s="66">
        <v>0</v>
      </c>
      <c r="W693" s="66">
        <v>0</v>
      </c>
      <c r="X693" s="66">
        <v>0</v>
      </c>
      <c r="Y693" s="66">
        <v>0</v>
      </c>
      <c r="Z693" s="66">
        <v>0</v>
      </c>
      <c r="AA693" s="66">
        <v>0</v>
      </c>
      <c r="AB693" s="66">
        <v>0</v>
      </c>
      <c r="AC693" s="66">
        <v>0</v>
      </c>
    </row>
    <row r="694" spans="1:30">
      <c r="A694" s="43" t="s">
        <v>545</v>
      </c>
      <c r="B694" s="43" t="s">
        <v>535</v>
      </c>
      <c r="C694" s="72">
        <v>0</v>
      </c>
      <c r="D694" s="72">
        <v>0</v>
      </c>
      <c r="E694" s="72">
        <v>0</v>
      </c>
      <c r="F694" s="72">
        <v>0</v>
      </c>
      <c r="G694" s="72">
        <v>0</v>
      </c>
      <c r="H694" s="72">
        <v>0</v>
      </c>
      <c r="I694" s="72">
        <v>0</v>
      </c>
      <c r="J694" s="72">
        <v>0</v>
      </c>
      <c r="K694" s="72">
        <v>3.0000000000000001E-3</v>
      </c>
      <c r="L694" s="72">
        <v>0</v>
      </c>
      <c r="M694" s="72">
        <v>0</v>
      </c>
      <c r="N694" s="73">
        <v>0</v>
      </c>
      <c r="O694" s="73">
        <v>0</v>
      </c>
      <c r="P694" s="73">
        <v>0</v>
      </c>
      <c r="Q694" s="73">
        <v>0</v>
      </c>
      <c r="R694" s="50">
        <v>0</v>
      </c>
      <c r="S694" s="50">
        <v>0</v>
      </c>
      <c r="T694" s="66">
        <v>0</v>
      </c>
      <c r="U694" s="66">
        <v>0</v>
      </c>
      <c r="V694" s="66">
        <v>0</v>
      </c>
      <c r="W694" s="66">
        <v>0</v>
      </c>
      <c r="X694" s="66">
        <v>0</v>
      </c>
      <c r="Y694" s="66">
        <v>0</v>
      </c>
      <c r="Z694" s="66">
        <v>0</v>
      </c>
      <c r="AA694" s="66">
        <v>0</v>
      </c>
      <c r="AB694" s="66">
        <v>0</v>
      </c>
      <c r="AC694" s="66">
        <v>0</v>
      </c>
    </row>
    <row r="695" spans="1:30">
      <c r="A695" s="43" t="s">
        <v>546</v>
      </c>
      <c r="B695" s="43" t="s">
        <v>752</v>
      </c>
      <c r="C695" s="72">
        <v>2102.6999999999998</v>
      </c>
      <c r="D695" s="72">
        <v>1670.8</v>
      </c>
      <c r="E695" s="72">
        <v>1263.8</v>
      </c>
      <c r="F695" s="72">
        <v>1196.9000000000001</v>
      </c>
      <c r="G695" s="72">
        <v>1421.8</v>
      </c>
      <c r="H695" s="72">
        <v>1945.3</v>
      </c>
      <c r="I695" s="72">
        <v>1666.288</v>
      </c>
      <c r="J695" s="72">
        <v>1647</v>
      </c>
      <c r="K695" s="72">
        <v>1124</v>
      </c>
      <c r="L695" s="72">
        <v>805</v>
      </c>
      <c r="N695" s="73">
        <v>626</v>
      </c>
      <c r="O695" s="73">
        <v>170.27</v>
      </c>
      <c r="P695" s="73">
        <v>167.42</v>
      </c>
      <c r="Q695" s="73">
        <v>5.53</v>
      </c>
      <c r="R695" s="50">
        <v>0</v>
      </c>
      <c r="S695" s="50">
        <v>0</v>
      </c>
      <c r="T695" s="66">
        <v>0</v>
      </c>
      <c r="U695" s="66">
        <v>0</v>
      </c>
      <c r="V695" s="66" t="s">
        <v>685</v>
      </c>
      <c r="W695" s="66" t="s">
        <v>685</v>
      </c>
      <c r="X695" s="66" t="s">
        <v>685</v>
      </c>
      <c r="Y695" s="66" t="s">
        <v>685</v>
      </c>
      <c r="Z695" s="66" t="s">
        <v>685</v>
      </c>
      <c r="AA695" s="66">
        <v>0</v>
      </c>
      <c r="AB695" s="66">
        <v>0</v>
      </c>
      <c r="AC695" s="66">
        <v>0</v>
      </c>
    </row>
    <row r="696" spans="1:30">
      <c r="A696" s="43" t="s">
        <v>546</v>
      </c>
      <c r="B696" s="43" t="s">
        <v>663</v>
      </c>
      <c r="C696" s="72">
        <v>614.9</v>
      </c>
      <c r="D696" s="72">
        <v>558.79999999999995</v>
      </c>
      <c r="E696" s="72">
        <v>734.8</v>
      </c>
      <c r="F696" s="72">
        <v>110</v>
      </c>
      <c r="G696" s="72">
        <v>564.29999999999995</v>
      </c>
      <c r="H696" s="72">
        <v>564.29999999999995</v>
      </c>
      <c r="I696" s="72">
        <v>655.6</v>
      </c>
      <c r="J696" s="72">
        <v>636.9</v>
      </c>
      <c r="K696" s="72">
        <v>588.5</v>
      </c>
      <c r="L696" s="72">
        <v>752.4</v>
      </c>
      <c r="N696" s="73">
        <v>41.8</v>
      </c>
      <c r="O696" s="73">
        <v>0</v>
      </c>
      <c r="P696" s="73">
        <v>0</v>
      </c>
      <c r="Q696" s="73">
        <v>0</v>
      </c>
      <c r="R696" s="50">
        <v>0</v>
      </c>
      <c r="S696" s="50">
        <v>0</v>
      </c>
      <c r="T696" s="66">
        <v>0</v>
      </c>
      <c r="U696" s="66">
        <v>0</v>
      </c>
      <c r="V696" s="66" t="s">
        <v>685</v>
      </c>
      <c r="W696" s="66" t="s">
        <v>685</v>
      </c>
      <c r="X696" s="66" t="s">
        <v>685</v>
      </c>
      <c r="Y696" s="66" t="s">
        <v>685</v>
      </c>
      <c r="Z696" s="66" t="s">
        <v>685</v>
      </c>
      <c r="AA696" s="66">
        <v>0</v>
      </c>
      <c r="AB696" s="66">
        <v>0</v>
      </c>
      <c r="AC696" s="66">
        <v>0</v>
      </c>
    </row>
    <row r="697" spans="1:30">
      <c r="A697" s="43" t="s">
        <v>546</v>
      </c>
      <c r="B697" s="43" t="s">
        <v>243</v>
      </c>
      <c r="C697" s="72">
        <v>21</v>
      </c>
      <c r="D697" s="72">
        <v>6</v>
      </c>
      <c r="E697" s="72">
        <v>15</v>
      </c>
      <c r="F697" s="72">
        <v>15</v>
      </c>
      <c r="G697" s="72">
        <v>15</v>
      </c>
      <c r="H697" s="72">
        <v>28.8</v>
      </c>
      <c r="I697" s="72">
        <v>28.8</v>
      </c>
      <c r="J697" s="72">
        <v>16.95</v>
      </c>
      <c r="K697" s="72">
        <v>15</v>
      </c>
      <c r="L697" s="72">
        <v>7.2</v>
      </c>
      <c r="N697" s="73">
        <v>0</v>
      </c>
      <c r="O697" s="73">
        <v>0</v>
      </c>
      <c r="P697" s="73">
        <v>0</v>
      </c>
      <c r="Q697" s="73">
        <v>0</v>
      </c>
      <c r="R697" s="50">
        <v>0</v>
      </c>
      <c r="S697" s="50">
        <v>0</v>
      </c>
      <c r="T697" s="66">
        <v>0</v>
      </c>
      <c r="U697" s="66">
        <v>0</v>
      </c>
      <c r="V697" s="66" t="s">
        <v>685</v>
      </c>
      <c r="W697" s="66" t="s">
        <v>685</v>
      </c>
      <c r="X697" s="66" t="s">
        <v>685</v>
      </c>
      <c r="Y697" s="66" t="s">
        <v>685</v>
      </c>
      <c r="Z697" s="66" t="s">
        <v>685</v>
      </c>
      <c r="AA697" s="66">
        <v>0</v>
      </c>
      <c r="AB697" s="66">
        <v>0</v>
      </c>
      <c r="AC697" s="66">
        <v>0</v>
      </c>
    </row>
    <row r="698" spans="1:30">
      <c r="A698" s="43" t="s">
        <v>546</v>
      </c>
      <c r="B698" s="43" t="s">
        <v>95</v>
      </c>
      <c r="C698" s="73">
        <v>18.535</v>
      </c>
      <c r="D698" s="73">
        <v>13.53</v>
      </c>
      <c r="E698" s="73">
        <v>15.18</v>
      </c>
      <c r="F698" s="73">
        <v>26.62</v>
      </c>
      <c r="G698" s="73">
        <v>34.54</v>
      </c>
      <c r="H698" s="73">
        <v>34.54</v>
      </c>
      <c r="I698" s="73">
        <v>34.54</v>
      </c>
      <c r="J698" s="73">
        <v>44.22</v>
      </c>
      <c r="K698" s="73">
        <v>58.24335</v>
      </c>
      <c r="L698" s="73">
        <v>14.025</v>
      </c>
      <c r="N698" s="73">
        <v>65.45</v>
      </c>
      <c r="O698" s="73">
        <v>183.68900000000002</v>
      </c>
      <c r="P698" s="73">
        <v>189.48325</v>
      </c>
      <c r="Q698" s="73">
        <v>239.8</v>
      </c>
      <c r="R698" s="50">
        <f>(2039.6*0.055)+(1298.2*0.11)</f>
        <v>254.98</v>
      </c>
      <c r="S698" s="50">
        <f>(2165.5*0.055)+(1426.8*0.11)</f>
        <v>276.0505</v>
      </c>
      <c r="T698" s="66">
        <f>(3085.9*0.055)+(1391.9*0.11)+(52.3*0.065)</f>
        <v>326.233</v>
      </c>
      <c r="U698" s="66">
        <f>(2731.09*0.055)+(845*0.11)+(59.06*0.065)+(1.08*0.02)</f>
        <v>247.02045000000004</v>
      </c>
      <c r="V698" s="66">
        <f>(3245.01*0.055)+(546.5*0.11)+(18.44*0.065)</f>
        <v>239.78915000000003</v>
      </c>
      <c r="W698" s="66">
        <f>(2562.39*0.055)+(555.75*0.11)+(16.42*0.065)</f>
        <v>203.13124999999997</v>
      </c>
      <c r="X698" s="66">
        <f>(2802*0.055)+(552.89*0.11)+(16.5*0.065)</f>
        <v>216.00040000000001</v>
      </c>
      <c r="Y698" s="66">
        <f>(2696.84*0.055)+(504.16*0.11)+(46.02*0.065)+(2.09*0.02)</f>
        <v>206.8169</v>
      </c>
      <c r="Z698" s="66">
        <f>(2806.38*0.055)+(298.67*0.11)+(46*0.065)</f>
        <v>190.19460000000001</v>
      </c>
      <c r="AA698" s="66">
        <f>(2752.41*0.055)+(495.5*0.11)+(44*0.065)</f>
        <v>208.74754999999999</v>
      </c>
      <c r="AB698" s="66">
        <f>(2021.71*0.055)+(73*0.11)+(46*0.065)</f>
        <v>122.21405</v>
      </c>
      <c r="AC698" s="66">
        <f>(2045.99*0.055)+(73*0.11)</f>
        <v>120.55945</v>
      </c>
    </row>
    <row r="699" spans="1:30">
      <c r="A699" s="43" t="s">
        <v>546</v>
      </c>
      <c r="B699" s="43" t="s">
        <v>825</v>
      </c>
      <c r="Q699" s="73">
        <v>0</v>
      </c>
      <c r="R699" s="50">
        <v>0</v>
      </c>
      <c r="S699" s="50">
        <v>0</v>
      </c>
      <c r="T699" s="66">
        <v>0</v>
      </c>
      <c r="U699" s="66">
        <v>0</v>
      </c>
      <c r="V699" s="66">
        <v>0</v>
      </c>
      <c r="W699" s="66">
        <v>0</v>
      </c>
      <c r="X699" s="66">
        <v>0</v>
      </c>
      <c r="Y699" s="66">
        <v>0</v>
      </c>
      <c r="Z699" s="66">
        <v>0</v>
      </c>
      <c r="AA699" s="66">
        <v>0</v>
      </c>
      <c r="AB699" s="66">
        <f>690*0.11</f>
        <v>75.900000000000006</v>
      </c>
      <c r="AC699" s="66">
        <v>0</v>
      </c>
    </row>
    <row r="700" spans="1:30">
      <c r="A700" s="43" t="s">
        <v>546</v>
      </c>
      <c r="B700" s="43" t="s">
        <v>574</v>
      </c>
      <c r="C700" s="72">
        <v>0</v>
      </c>
      <c r="D700" s="72">
        <v>0</v>
      </c>
      <c r="E700" s="72">
        <v>0</v>
      </c>
      <c r="F700" s="72">
        <v>0</v>
      </c>
      <c r="G700" s="72">
        <v>0</v>
      </c>
      <c r="H700" s="72">
        <v>24</v>
      </c>
      <c r="I700" s="72">
        <v>0</v>
      </c>
      <c r="J700" s="72">
        <v>0</v>
      </c>
      <c r="K700" s="72">
        <v>0</v>
      </c>
      <c r="L700" s="72">
        <v>0</v>
      </c>
      <c r="N700" s="73">
        <v>0</v>
      </c>
      <c r="O700" s="73">
        <v>0</v>
      </c>
      <c r="P700" s="73">
        <v>0</v>
      </c>
      <c r="Q700" s="73">
        <v>0</v>
      </c>
      <c r="R700" s="50">
        <v>0</v>
      </c>
      <c r="S700" s="50">
        <v>0</v>
      </c>
      <c r="T700" s="66">
        <v>0</v>
      </c>
      <c r="U700" s="66">
        <v>0</v>
      </c>
      <c r="V700" s="66">
        <v>0</v>
      </c>
      <c r="W700" s="66">
        <v>0</v>
      </c>
      <c r="X700" s="66">
        <v>0</v>
      </c>
      <c r="Y700" s="66">
        <v>0</v>
      </c>
      <c r="Z700" s="66">
        <v>0</v>
      </c>
      <c r="AA700" s="66">
        <v>0</v>
      </c>
      <c r="AB700" s="66">
        <v>0</v>
      </c>
      <c r="AC700" s="66">
        <v>0</v>
      </c>
    </row>
    <row r="701" spans="1:30">
      <c r="A701" s="43" t="s">
        <v>546</v>
      </c>
      <c r="B701" s="43" t="s">
        <v>535</v>
      </c>
      <c r="C701" s="72">
        <v>12.8</v>
      </c>
      <c r="D701" s="72">
        <v>5.2</v>
      </c>
      <c r="E701" s="72">
        <v>2.9</v>
      </c>
      <c r="F701" s="72">
        <v>2</v>
      </c>
      <c r="G701" s="72">
        <v>2.5</v>
      </c>
      <c r="H701" s="72">
        <v>4</v>
      </c>
      <c r="I701" s="72">
        <v>3.5</v>
      </c>
      <c r="J701" s="72">
        <v>0</v>
      </c>
      <c r="K701" s="72">
        <v>0</v>
      </c>
      <c r="L701" s="72">
        <v>0</v>
      </c>
      <c r="N701" s="73">
        <v>0</v>
      </c>
      <c r="O701" s="73">
        <v>0</v>
      </c>
      <c r="P701" s="73">
        <v>0</v>
      </c>
      <c r="Q701" s="73">
        <v>0</v>
      </c>
      <c r="R701" s="50">
        <v>0</v>
      </c>
      <c r="S701" s="50">
        <v>0</v>
      </c>
      <c r="T701" s="66">
        <v>0</v>
      </c>
      <c r="U701" s="66">
        <v>0</v>
      </c>
      <c r="V701" s="66">
        <v>0</v>
      </c>
      <c r="W701" s="66">
        <v>0</v>
      </c>
      <c r="X701" s="66">
        <v>0</v>
      </c>
      <c r="Y701" s="66">
        <v>0</v>
      </c>
      <c r="Z701" s="66">
        <v>0</v>
      </c>
      <c r="AA701" s="66">
        <v>0</v>
      </c>
      <c r="AB701" s="66">
        <v>0</v>
      </c>
      <c r="AC701" s="66">
        <v>0</v>
      </c>
    </row>
    <row r="702" spans="1:30">
      <c r="A702" s="43" t="s">
        <v>767</v>
      </c>
      <c r="B702" s="43" t="s">
        <v>752</v>
      </c>
      <c r="C702" s="72">
        <v>1.722</v>
      </c>
      <c r="D702" s="72">
        <v>1.06</v>
      </c>
      <c r="E702" s="72">
        <v>2.0680000000000001</v>
      </c>
      <c r="F702" s="72">
        <v>2.06</v>
      </c>
      <c r="G702" s="72">
        <v>0.434</v>
      </c>
      <c r="H702" s="72">
        <v>0.61199999999999999</v>
      </c>
      <c r="I702" s="72">
        <v>0.61199999999999999</v>
      </c>
      <c r="J702" s="72">
        <v>0.09</v>
      </c>
      <c r="K702" s="72">
        <v>1.802</v>
      </c>
      <c r="N702" s="73">
        <v>0.66</v>
      </c>
      <c r="O702" s="73">
        <v>0.88</v>
      </c>
      <c r="P702" s="73">
        <v>0.1</v>
      </c>
      <c r="Q702" s="73">
        <v>0</v>
      </c>
      <c r="R702" s="50">
        <v>0</v>
      </c>
      <c r="S702" s="50">
        <v>0</v>
      </c>
      <c r="T702" s="66" t="s">
        <v>685</v>
      </c>
      <c r="U702" s="66" t="s">
        <v>685</v>
      </c>
      <c r="V702" s="66" t="s">
        <v>685</v>
      </c>
      <c r="W702" s="66" t="s">
        <v>685</v>
      </c>
      <c r="X702" s="66" t="s">
        <v>685</v>
      </c>
      <c r="Y702" s="66" t="s">
        <v>685</v>
      </c>
      <c r="Z702" s="66" t="s">
        <v>685</v>
      </c>
      <c r="AA702" s="66">
        <v>0</v>
      </c>
      <c r="AB702" s="66">
        <v>0</v>
      </c>
      <c r="AC702" s="66">
        <v>0</v>
      </c>
    </row>
    <row r="703" spans="1:30" ht="12.6" customHeight="1">
      <c r="A703" s="43" t="s">
        <v>767</v>
      </c>
      <c r="B703" s="43" t="s">
        <v>663</v>
      </c>
      <c r="C703" s="72">
        <v>0</v>
      </c>
      <c r="D703" s="72">
        <v>0</v>
      </c>
      <c r="E703" s="72">
        <v>0</v>
      </c>
      <c r="F703" s="72">
        <v>0</v>
      </c>
      <c r="G703" s="72">
        <v>0</v>
      </c>
      <c r="H703" s="72">
        <v>0</v>
      </c>
      <c r="I703" s="72">
        <v>0</v>
      </c>
      <c r="J703" s="72">
        <v>0</v>
      </c>
      <c r="K703" s="72">
        <v>0</v>
      </c>
      <c r="N703" s="73">
        <v>0</v>
      </c>
      <c r="O703" s="73">
        <v>0</v>
      </c>
      <c r="P703" s="73">
        <v>0</v>
      </c>
      <c r="Q703" s="73">
        <v>0</v>
      </c>
      <c r="R703" s="50">
        <v>0</v>
      </c>
      <c r="S703" s="50">
        <v>0</v>
      </c>
      <c r="T703" s="66" t="s">
        <v>685</v>
      </c>
      <c r="U703" s="66" t="s">
        <v>685</v>
      </c>
      <c r="V703" s="66" t="s">
        <v>685</v>
      </c>
      <c r="W703" s="66" t="s">
        <v>685</v>
      </c>
      <c r="X703" s="66" t="s">
        <v>685</v>
      </c>
      <c r="Y703" s="66" t="s">
        <v>685</v>
      </c>
      <c r="Z703" s="66" t="s">
        <v>685</v>
      </c>
      <c r="AA703" s="66">
        <v>0</v>
      </c>
      <c r="AB703" s="66">
        <v>0</v>
      </c>
      <c r="AC703" s="66">
        <v>0</v>
      </c>
    </row>
    <row r="704" spans="1:30">
      <c r="A704" s="43" t="s">
        <v>767</v>
      </c>
      <c r="B704" s="43" t="s">
        <v>243</v>
      </c>
      <c r="C704" s="72">
        <v>0</v>
      </c>
      <c r="D704" s="72">
        <v>0</v>
      </c>
      <c r="E704" s="72">
        <v>0</v>
      </c>
      <c r="F704" s="72">
        <v>0</v>
      </c>
      <c r="G704" s="72">
        <v>0</v>
      </c>
      <c r="H704" s="72">
        <v>0</v>
      </c>
      <c r="I704" s="72">
        <v>0</v>
      </c>
      <c r="J704" s="72">
        <v>0</v>
      </c>
      <c r="K704" s="72">
        <v>0</v>
      </c>
      <c r="N704" s="73">
        <v>0</v>
      </c>
      <c r="O704" s="73">
        <v>0</v>
      </c>
      <c r="P704" s="73">
        <v>0</v>
      </c>
      <c r="Q704" s="73">
        <v>0</v>
      </c>
      <c r="R704" s="50">
        <v>0</v>
      </c>
      <c r="S704" s="50">
        <v>0</v>
      </c>
      <c r="T704" s="66" t="s">
        <v>685</v>
      </c>
      <c r="U704" s="66" t="s">
        <v>685</v>
      </c>
      <c r="V704" s="66" t="s">
        <v>685</v>
      </c>
      <c r="W704" s="66" t="s">
        <v>685</v>
      </c>
      <c r="X704" s="66" t="s">
        <v>685</v>
      </c>
      <c r="Y704" s="66" t="s">
        <v>685</v>
      </c>
      <c r="Z704" s="66" t="s">
        <v>685</v>
      </c>
      <c r="AA704" s="66">
        <v>0</v>
      </c>
      <c r="AB704" s="66">
        <v>0</v>
      </c>
      <c r="AC704" s="66">
        <v>0</v>
      </c>
    </row>
    <row r="705" spans="1:30">
      <c r="A705" s="43" t="s">
        <v>767</v>
      </c>
      <c r="B705" s="43" t="s">
        <v>95</v>
      </c>
      <c r="C705" s="73">
        <v>0</v>
      </c>
      <c r="D705" s="73">
        <v>0</v>
      </c>
      <c r="E705" s="73">
        <v>0</v>
      </c>
      <c r="F705" s="73">
        <v>78.319999999999993</v>
      </c>
      <c r="G705" s="73">
        <v>113.74</v>
      </c>
      <c r="H705" s="73">
        <v>70.125</v>
      </c>
      <c r="I705" s="73">
        <v>70.125</v>
      </c>
      <c r="J705" s="73">
        <v>6.4899999999999999E-2</v>
      </c>
      <c r="K705" s="73">
        <v>0.1045</v>
      </c>
      <c r="N705" s="75">
        <v>2.2549999999999997E-2</v>
      </c>
      <c r="O705" s="73">
        <v>5.4449999999999998E-2</v>
      </c>
      <c r="P705" s="50">
        <v>2.035E-2</v>
      </c>
      <c r="Q705" s="73">
        <f>3.04*0.055</f>
        <v>0.16720000000000002</v>
      </c>
      <c r="R705" s="50">
        <f>3.38*0.055</f>
        <v>0.18589999999999998</v>
      </c>
      <c r="S705" s="50">
        <f>3.06*0.055</f>
        <v>0.16830000000000001</v>
      </c>
      <c r="T705" s="66">
        <f>3*0.055</f>
        <v>0.16500000000000001</v>
      </c>
      <c r="U705" s="66">
        <f>2.23*0.055</f>
        <v>0.12265</v>
      </c>
      <c r="V705" s="66">
        <f>2.18*0.055</f>
        <v>0.11990000000000001</v>
      </c>
      <c r="W705" s="66">
        <f>2.09*0.055</f>
        <v>0.11495</v>
      </c>
      <c r="X705" s="66">
        <f>2.11*0.055</f>
        <v>0.11605</v>
      </c>
      <c r="Y705" s="66">
        <f>1.8*0.055</f>
        <v>9.9000000000000005E-2</v>
      </c>
      <c r="Z705" s="66">
        <f>1.2*0.055</f>
        <v>6.6000000000000003E-2</v>
      </c>
      <c r="AA705" s="66">
        <f>0.13*0.055</f>
        <v>7.1500000000000001E-3</v>
      </c>
      <c r="AB705" s="66">
        <f>0.34*0.055</f>
        <v>1.8700000000000001E-2</v>
      </c>
      <c r="AC705" s="76">
        <f>0.07*0.055</f>
        <v>3.8500000000000006E-3</v>
      </c>
      <c r="AD705" s="76"/>
    </row>
    <row r="706" spans="1:30">
      <c r="A706" s="43" t="s">
        <v>767</v>
      </c>
      <c r="B706" s="43" t="s">
        <v>825</v>
      </c>
      <c r="Q706" s="73">
        <v>0</v>
      </c>
      <c r="R706" s="50">
        <v>0</v>
      </c>
      <c r="S706" s="50">
        <v>0</v>
      </c>
      <c r="T706" s="66">
        <v>0</v>
      </c>
      <c r="U706" s="66">
        <v>0</v>
      </c>
      <c r="V706" s="66">
        <v>0</v>
      </c>
      <c r="W706" s="66">
        <v>0</v>
      </c>
      <c r="X706" s="66">
        <v>0</v>
      </c>
      <c r="Y706" s="66">
        <v>0</v>
      </c>
      <c r="Z706" s="66">
        <v>0</v>
      </c>
      <c r="AA706" s="66">
        <v>0</v>
      </c>
      <c r="AB706" s="66">
        <v>0</v>
      </c>
      <c r="AC706" s="66">
        <v>0</v>
      </c>
    </row>
    <row r="707" spans="1:30">
      <c r="A707" s="43" t="s">
        <v>767</v>
      </c>
      <c r="B707" s="43" t="s">
        <v>574</v>
      </c>
      <c r="C707" s="72">
        <v>0</v>
      </c>
      <c r="D707" s="72">
        <v>0</v>
      </c>
      <c r="E707" s="72">
        <v>0</v>
      </c>
      <c r="F707" s="72">
        <v>0</v>
      </c>
      <c r="G707" s="72">
        <v>0</v>
      </c>
      <c r="H707" s="72">
        <v>0</v>
      </c>
      <c r="I707" s="72">
        <v>0</v>
      </c>
      <c r="J707" s="72">
        <v>0</v>
      </c>
      <c r="K707" s="72">
        <v>0</v>
      </c>
      <c r="N707" s="73">
        <v>0</v>
      </c>
      <c r="O707" s="73">
        <v>0</v>
      </c>
      <c r="P707" s="73">
        <v>0</v>
      </c>
      <c r="Q707" s="73">
        <v>0</v>
      </c>
      <c r="R707" s="50">
        <v>0</v>
      </c>
      <c r="S707" s="50">
        <v>0</v>
      </c>
      <c r="T707" s="66">
        <v>0</v>
      </c>
      <c r="U707" s="66">
        <v>0</v>
      </c>
      <c r="V707" s="66">
        <v>0</v>
      </c>
      <c r="W707" s="66">
        <v>0</v>
      </c>
      <c r="X707" s="66">
        <v>0</v>
      </c>
      <c r="Y707" s="66">
        <v>0</v>
      </c>
      <c r="Z707" s="66">
        <v>0</v>
      </c>
      <c r="AA707" s="66">
        <v>0</v>
      </c>
      <c r="AB707" s="66">
        <v>0</v>
      </c>
      <c r="AC707" s="66">
        <v>0</v>
      </c>
    </row>
    <row r="708" spans="1:30">
      <c r="A708" s="43" t="s">
        <v>767</v>
      </c>
      <c r="B708" s="43" t="s">
        <v>535</v>
      </c>
      <c r="C708" s="72">
        <v>0</v>
      </c>
      <c r="D708" s="72">
        <v>0</v>
      </c>
      <c r="E708" s="72">
        <v>0</v>
      </c>
      <c r="F708" s="72">
        <v>0</v>
      </c>
      <c r="G708" s="72">
        <v>0</v>
      </c>
      <c r="H708" s="72">
        <v>0</v>
      </c>
      <c r="I708" s="72">
        <v>0</v>
      </c>
      <c r="J708" s="72">
        <v>0</v>
      </c>
      <c r="K708" s="72">
        <v>0</v>
      </c>
      <c r="N708" s="73">
        <v>0</v>
      </c>
      <c r="O708" s="73">
        <v>0</v>
      </c>
      <c r="P708" s="73">
        <v>0</v>
      </c>
      <c r="Q708" s="73">
        <v>0</v>
      </c>
      <c r="R708" s="50">
        <v>0</v>
      </c>
      <c r="S708" s="50">
        <v>0</v>
      </c>
      <c r="T708" s="66">
        <v>0</v>
      </c>
      <c r="U708" s="66">
        <v>0</v>
      </c>
      <c r="V708" s="66">
        <v>0</v>
      </c>
      <c r="W708" s="66">
        <v>0</v>
      </c>
      <c r="X708" s="66">
        <v>0</v>
      </c>
      <c r="Y708" s="66">
        <v>0</v>
      </c>
      <c r="Z708" s="66">
        <v>0</v>
      </c>
      <c r="AA708" s="66">
        <v>0</v>
      </c>
      <c r="AB708" s="66">
        <v>0</v>
      </c>
      <c r="AC708" s="66">
        <v>0</v>
      </c>
    </row>
    <row r="709" spans="1:30">
      <c r="A709" s="43" t="s">
        <v>548</v>
      </c>
      <c r="B709" s="43" t="s">
        <v>752</v>
      </c>
      <c r="C709" s="72">
        <v>439.7</v>
      </c>
      <c r="D709" s="72">
        <v>358.73</v>
      </c>
      <c r="E709" s="72">
        <v>357.91</v>
      </c>
      <c r="F709" s="72">
        <v>346.01</v>
      </c>
      <c r="G709" s="72">
        <v>301.06</v>
      </c>
      <c r="H709" s="72">
        <v>249.93</v>
      </c>
      <c r="I709" s="72">
        <v>180.35599999999999</v>
      </c>
      <c r="J709" s="72">
        <v>195.30799999999999</v>
      </c>
      <c r="K709" s="72">
        <v>168.46</v>
      </c>
      <c r="L709" s="72">
        <v>134.73400000000001</v>
      </c>
      <c r="M709" s="72">
        <v>92.828000000000003</v>
      </c>
      <c r="N709" s="73">
        <v>43.682000000000002</v>
      </c>
      <c r="O709" s="73">
        <v>28.42</v>
      </c>
      <c r="P709" s="73">
        <v>11.53</v>
      </c>
      <c r="Q709" s="73">
        <v>0</v>
      </c>
      <c r="R709" s="50">
        <v>0</v>
      </c>
      <c r="S709" s="50">
        <v>0</v>
      </c>
      <c r="T709" s="66" t="s">
        <v>685</v>
      </c>
      <c r="U709" s="66" t="s">
        <v>685</v>
      </c>
      <c r="V709" s="66" t="s">
        <v>685</v>
      </c>
      <c r="W709" s="66" t="s">
        <v>685</v>
      </c>
      <c r="X709" s="66" t="s">
        <v>685</v>
      </c>
      <c r="Y709" s="66" t="s">
        <v>685</v>
      </c>
      <c r="Z709" s="66" t="s">
        <v>685</v>
      </c>
      <c r="AA709" s="66">
        <v>0</v>
      </c>
      <c r="AB709" s="66">
        <v>0</v>
      </c>
      <c r="AC709" s="66">
        <v>0</v>
      </c>
    </row>
    <row r="710" spans="1:30">
      <c r="A710" s="43" t="s">
        <v>548</v>
      </c>
      <c r="B710" s="43" t="s">
        <v>663</v>
      </c>
      <c r="C710" s="72">
        <v>0</v>
      </c>
      <c r="D710" s="72">
        <v>0</v>
      </c>
      <c r="E710" s="72">
        <v>0</v>
      </c>
      <c r="F710" s="72">
        <v>0</v>
      </c>
      <c r="G710" s="72">
        <v>0</v>
      </c>
      <c r="H710" s="72">
        <v>0</v>
      </c>
      <c r="I710" s="72">
        <v>0</v>
      </c>
      <c r="J710" s="72">
        <v>0</v>
      </c>
      <c r="K710" s="72">
        <v>0</v>
      </c>
      <c r="L710" s="72">
        <v>0</v>
      </c>
      <c r="M710" s="72">
        <v>0</v>
      </c>
      <c r="N710" s="73">
        <v>0</v>
      </c>
      <c r="O710" s="73">
        <v>0</v>
      </c>
      <c r="P710" s="73">
        <v>0</v>
      </c>
      <c r="Q710" s="73">
        <v>0</v>
      </c>
      <c r="R710" s="50">
        <f>0.06*1.1</f>
        <v>6.6000000000000003E-2</v>
      </c>
      <c r="S710" s="50">
        <f>0.06*1.1</f>
        <v>6.6000000000000003E-2</v>
      </c>
      <c r="T710" s="66" t="s">
        <v>685</v>
      </c>
      <c r="U710" s="66" t="s">
        <v>685</v>
      </c>
      <c r="V710" s="66" t="s">
        <v>685</v>
      </c>
      <c r="W710" s="66" t="s">
        <v>685</v>
      </c>
      <c r="X710" s="66" t="s">
        <v>685</v>
      </c>
      <c r="Y710" s="66" t="s">
        <v>685</v>
      </c>
      <c r="Z710" s="66" t="s">
        <v>685</v>
      </c>
      <c r="AA710" s="66">
        <v>0</v>
      </c>
      <c r="AB710" s="66">
        <v>0</v>
      </c>
      <c r="AC710" s="66">
        <v>0</v>
      </c>
    </row>
    <row r="711" spans="1:30">
      <c r="A711" s="43" t="s">
        <v>548</v>
      </c>
      <c r="B711" s="43" t="s">
        <v>243</v>
      </c>
      <c r="C711" s="72">
        <v>0</v>
      </c>
      <c r="D711" s="72">
        <v>0</v>
      </c>
      <c r="E711" s="72">
        <v>0</v>
      </c>
      <c r="F711" s="72">
        <v>0</v>
      </c>
      <c r="G711" s="72">
        <v>0</v>
      </c>
      <c r="H711" s="72">
        <v>0</v>
      </c>
      <c r="I711" s="72">
        <v>0</v>
      </c>
      <c r="J711" s="72">
        <v>0</v>
      </c>
      <c r="K711" s="72">
        <v>0</v>
      </c>
      <c r="L711" s="72">
        <v>0</v>
      </c>
      <c r="M711" s="72">
        <v>0</v>
      </c>
      <c r="N711" s="73">
        <v>0</v>
      </c>
      <c r="O711" s="73">
        <v>0</v>
      </c>
      <c r="P711" s="73">
        <v>0</v>
      </c>
      <c r="Q711" s="73">
        <v>0</v>
      </c>
      <c r="R711" s="50">
        <v>0</v>
      </c>
      <c r="S711" s="50">
        <v>0</v>
      </c>
      <c r="T711" s="66" t="s">
        <v>685</v>
      </c>
      <c r="U711" s="66" t="s">
        <v>685</v>
      </c>
      <c r="V711" s="66" t="s">
        <v>685</v>
      </c>
      <c r="W711" s="66" t="s">
        <v>685</v>
      </c>
      <c r="X711" s="66" t="s">
        <v>685</v>
      </c>
      <c r="Y711" s="66" t="s">
        <v>685</v>
      </c>
      <c r="Z711" s="66" t="s">
        <v>685</v>
      </c>
      <c r="AA711" s="66">
        <v>0</v>
      </c>
      <c r="AB711" s="66">
        <v>0</v>
      </c>
      <c r="AC711" s="66">
        <v>0</v>
      </c>
    </row>
    <row r="712" spans="1:30">
      <c r="A712" s="43" t="s">
        <v>548</v>
      </c>
      <c r="B712" s="43" t="s">
        <v>95</v>
      </c>
      <c r="C712" s="73">
        <v>16.660050000000002</v>
      </c>
      <c r="D712" s="73">
        <v>14.281300000000002</v>
      </c>
      <c r="E712" s="73">
        <v>12.692900000000002</v>
      </c>
      <c r="F712" s="73">
        <v>15.347199999999999</v>
      </c>
      <c r="G712" s="73">
        <v>12.440999999999999</v>
      </c>
      <c r="H712" s="73">
        <v>11.063800000000001</v>
      </c>
      <c r="I712" s="73">
        <v>12.261150000000001</v>
      </c>
      <c r="J712" s="73">
        <v>9.3692499999999992</v>
      </c>
      <c r="K712" s="73">
        <v>16.212350000000001</v>
      </c>
      <c r="L712" s="73">
        <v>17.78425</v>
      </c>
      <c r="M712" s="73">
        <v>20.453949999999999</v>
      </c>
      <c r="N712" s="73">
        <v>21.111249999999998</v>
      </c>
      <c r="O712" s="73">
        <v>12.81035</v>
      </c>
      <c r="P712" s="73">
        <v>28.742940000000001</v>
      </c>
      <c r="Q712" s="73">
        <f>(428.28*0.055)+(11.72*0.11)+(1.31*0.065)+(0.68*0.02)+(0.32*0.022)</f>
        <v>24.950389999999999</v>
      </c>
      <c r="R712" s="50">
        <f>(380.36*0.055)+(30.01*0.11)+(4.12*0.065)+(4.06*0.02)+(0.45*0.022)</f>
        <v>24.579800000000002</v>
      </c>
      <c r="S712" s="50">
        <f>(381.14*0.055)+(25.5*0.11)+(0.59*0.065)+(2.93*0.02)+(0.98*0.022)</f>
        <v>23.886209999999998</v>
      </c>
      <c r="T712" s="66">
        <f>(474.48*0.055)+(60.65*0.11)+(0.06*0.065)+(0.1*0.022)</f>
        <v>32.774000000000008</v>
      </c>
      <c r="U712" s="66">
        <f>(350.76*0.055)+(18.41*0.11)+(0.05*0.065)+(2.42*0.02)+(0.1*0.022)</f>
        <v>21.370749999999997</v>
      </c>
      <c r="V712" s="66">
        <f>(348.6*0.055)+(0.52*0.065)+(0.74*0.02)+(0.09*0.022)</f>
        <v>19.223580000000002</v>
      </c>
      <c r="W712" s="66">
        <f>(318.13*0.055)+(0.043*0.065)+(1.46*0.02)+(0.071*0.022)</f>
        <v>17.530707</v>
      </c>
      <c r="X712" s="66">
        <f>(332.04*0.055)+(4.5*0.02)</f>
        <v>18.3522</v>
      </c>
      <c r="Y712" s="66">
        <f>(300.27*0.055)+(0.53*0.02)</f>
        <v>16.525449999999999</v>
      </c>
      <c r="Z712" s="66">
        <f>297.1*0.055</f>
        <v>16.340500000000002</v>
      </c>
      <c r="AA712" s="66">
        <f>261.16*0.055</f>
        <v>14.363800000000001</v>
      </c>
      <c r="AB712" s="66">
        <f>205.48*0.055</f>
        <v>11.301399999999999</v>
      </c>
      <c r="AC712" s="66">
        <f>196.162*0.055</f>
        <v>10.78891</v>
      </c>
    </row>
    <row r="713" spans="1:30">
      <c r="A713" s="43" t="s">
        <v>548</v>
      </c>
      <c r="B713" s="43" t="s">
        <v>825</v>
      </c>
      <c r="Q713" s="73">
        <f>50*0.11</f>
        <v>5.5</v>
      </c>
      <c r="R713" s="50">
        <f>21.6*0.11</f>
        <v>2.3760000000000003</v>
      </c>
      <c r="S713" s="50">
        <f>24.17*0.11</f>
        <v>2.6587000000000001</v>
      </c>
      <c r="T713" s="50">
        <f>35.85*0.11</f>
        <v>3.9435000000000002</v>
      </c>
      <c r="U713" s="50">
        <f>66.43*0.11</f>
        <v>7.3073000000000006</v>
      </c>
      <c r="V713" s="66">
        <f>71.15*0.11</f>
        <v>7.8265000000000002</v>
      </c>
      <c r="W713" s="66">
        <f>79.38*0.11</f>
        <v>8.7317999999999998</v>
      </c>
      <c r="X713" s="66">
        <f>41.35*0.11</f>
        <v>4.5484999999999998</v>
      </c>
      <c r="Y713" s="66">
        <f>60.62*0.11</f>
        <v>6.6681999999999997</v>
      </c>
      <c r="Z713" s="66">
        <f>52.81*0.11</f>
        <v>5.8090999999999999</v>
      </c>
      <c r="AA713" s="66">
        <f>70.73*0.11</f>
        <v>7.7803000000000004</v>
      </c>
      <c r="AB713" s="66">
        <v>0</v>
      </c>
      <c r="AC713" s="66">
        <v>0</v>
      </c>
    </row>
    <row r="714" spans="1:30">
      <c r="A714" s="43" t="s">
        <v>548</v>
      </c>
      <c r="B714" s="43" t="s">
        <v>574</v>
      </c>
      <c r="C714" s="72">
        <v>0.126</v>
      </c>
      <c r="D714" s="72">
        <v>0.14399999999999999</v>
      </c>
      <c r="E714" s="72">
        <v>8.4000000000000005E-2</v>
      </c>
      <c r="F714" s="72">
        <v>0.36</v>
      </c>
      <c r="G714" s="72">
        <v>0.36</v>
      </c>
      <c r="H714" s="72">
        <v>0.33</v>
      </c>
      <c r="I714" s="72">
        <v>0</v>
      </c>
      <c r="J714" s="72">
        <v>0</v>
      </c>
      <c r="K714" s="72">
        <v>0</v>
      </c>
      <c r="L714" s="72">
        <v>0</v>
      </c>
      <c r="M714" s="72">
        <v>0</v>
      </c>
      <c r="N714" s="73">
        <v>0</v>
      </c>
      <c r="O714" s="73">
        <v>0</v>
      </c>
      <c r="P714" s="73">
        <v>0</v>
      </c>
      <c r="Q714" s="73">
        <v>0</v>
      </c>
      <c r="R714" s="50">
        <v>0</v>
      </c>
      <c r="S714" s="50">
        <v>0</v>
      </c>
      <c r="T714" s="66">
        <v>0</v>
      </c>
      <c r="U714" s="66">
        <v>0</v>
      </c>
      <c r="V714" s="66">
        <v>0</v>
      </c>
      <c r="W714" s="66">
        <v>0</v>
      </c>
      <c r="X714" s="66">
        <v>0</v>
      </c>
      <c r="Y714" s="66">
        <v>0</v>
      </c>
      <c r="Z714" s="66">
        <v>0</v>
      </c>
      <c r="AA714" s="66">
        <v>0</v>
      </c>
      <c r="AB714" s="66">
        <v>0</v>
      </c>
      <c r="AC714" s="66">
        <v>0</v>
      </c>
    </row>
    <row r="715" spans="1:30">
      <c r="A715" s="43" t="s">
        <v>548</v>
      </c>
      <c r="B715" s="43" t="s">
        <v>535</v>
      </c>
      <c r="C715" s="72">
        <v>0</v>
      </c>
      <c r="D715" s="72">
        <v>0</v>
      </c>
      <c r="E715" s="72">
        <v>0</v>
      </c>
      <c r="F715" s="72">
        <v>0</v>
      </c>
      <c r="G715" s="72">
        <v>0</v>
      </c>
      <c r="H715" s="72">
        <v>0</v>
      </c>
      <c r="I715" s="72">
        <v>0</v>
      </c>
      <c r="J715" s="72">
        <v>0</v>
      </c>
      <c r="K715" s="72">
        <v>0</v>
      </c>
      <c r="L715" s="72">
        <v>0</v>
      </c>
      <c r="M715" s="72">
        <v>0</v>
      </c>
      <c r="N715" s="73">
        <v>0</v>
      </c>
      <c r="O715" s="73">
        <v>0</v>
      </c>
      <c r="P715" s="73">
        <v>0</v>
      </c>
      <c r="Q715" s="73">
        <v>0</v>
      </c>
      <c r="R715" s="50">
        <v>0</v>
      </c>
      <c r="S715" s="50">
        <v>0</v>
      </c>
      <c r="T715" s="66">
        <v>0</v>
      </c>
      <c r="U715" s="66">
        <v>0</v>
      </c>
      <c r="V715" s="66">
        <v>0</v>
      </c>
      <c r="W715" s="66">
        <v>0</v>
      </c>
      <c r="X715" s="66">
        <v>0</v>
      </c>
      <c r="Y715" s="66">
        <v>0</v>
      </c>
      <c r="Z715" s="66">
        <v>0</v>
      </c>
      <c r="AA715" s="66">
        <v>0</v>
      </c>
      <c r="AB715" s="66">
        <v>0</v>
      </c>
      <c r="AC715" s="66">
        <v>0</v>
      </c>
    </row>
    <row r="716" spans="1:30">
      <c r="A716" s="43" t="s">
        <v>552</v>
      </c>
      <c r="B716" s="43" t="s">
        <v>752</v>
      </c>
      <c r="F716" s="72">
        <v>45.22</v>
      </c>
      <c r="G716" s="72">
        <v>35.49</v>
      </c>
      <c r="H716" s="72">
        <v>44.34</v>
      </c>
      <c r="I716" s="72">
        <v>43.32</v>
      </c>
      <c r="J716" s="72">
        <v>35.32</v>
      </c>
      <c r="K716" s="72">
        <v>22.66</v>
      </c>
      <c r="L716" s="72">
        <v>17.018000000000001</v>
      </c>
      <c r="M716" s="72">
        <v>14.736000000000001</v>
      </c>
      <c r="N716" s="73">
        <v>2.9720000000000004</v>
      </c>
      <c r="O716" s="73">
        <v>4.49</v>
      </c>
      <c r="Q716" s="73">
        <v>0</v>
      </c>
      <c r="R716" s="50">
        <v>0</v>
      </c>
      <c r="S716" s="50">
        <v>0</v>
      </c>
      <c r="T716" s="66" t="s">
        <v>685</v>
      </c>
      <c r="U716" s="66" t="s">
        <v>685</v>
      </c>
      <c r="V716" s="66" t="s">
        <v>685</v>
      </c>
      <c r="W716" s="66" t="s">
        <v>685</v>
      </c>
      <c r="X716" s="66" t="s">
        <v>685</v>
      </c>
      <c r="Y716" s="66" t="s">
        <v>685</v>
      </c>
      <c r="Z716" s="66" t="s">
        <v>685</v>
      </c>
      <c r="AA716" s="66">
        <f>-(0.1+(0.02*0.6))</f>
        <v>-0.112</v>
      </c>
      <c r="AB716" s="66">
        <v>0</v>
      </c>
      <c r="AC716" s="66">
        <v>0</v>
      </c>
    </row>
    <row r="717" spans="1:30">
      <c r="A717" s="43" t="s">
        <v>552</v>
      </c>
      <c r="B717" s="43" t="s">
        <v>663</v>
      </c>
      <c r="F717" s="72">
        <v>0</v>
      </c>
      <c r="G717" s="72">
        <v>0</v>
      </c>
      <c r="H717" s="72">
        <v>0</v>
      </c>
      <c r="I717" s="72">
        <v>0</v>
      </c>
      <c r="J717" s="72">
        <v>0</v>
      </c>
      <c r="K717" s="72">
        <v>0</v>
      </c>
      <c r="L717" s="72">
        <v>0</v>
      </c>
      <c r="M717" s="72">
        <v>0</v>
      </c>
      <c r="N717" s="73">
        <v>0</v>
      </c>
      <c r="O717" s="73">
        <v>0</v>
      </c>
      <c r="Q717" s="73">
        <v>0</v>
      </c>
      <c r="R717" s="50">
        <v>0</v>
      </c>
      <c r="S717" s="50">
        <v>0</v>
      </c>
      <c r="T717" s="66" t="s">
        <v>685</v>
      </c>
      <c r="U717" s="66" t="s">
        <v>685</v>
      </c>
      <c r="V717" s="66" t="s">
        <v>685</v>
      </c>
      <c r="W717" s="66" t="s">
        <v>685</v>
      </c>
      <c r="X717" s="66" t="s">
        <v>685</v>
      </c>
      <c r="Y717" s="66" t="s">
        <v>685</v>
      </c>
      <c r="Z717" s="66" t="s">
        <v>685</v>
      </c>
      <c r="AA717" s="66">
        <v>0</v>
      </c>
      <c r="AB717" s="66">
        <v>0</v>
      </c>
      <c r="AC717" s="66">
        <v>0</v>
      </c>
    </row>
    <row r="718" spans="1:30">
      <c r="A718" s="43" t="s">
        <v>552</v>
      </c>
      <c r="B718" s="43" t="s">
        <v>243</v>
      </c>
      <c r="F718" s="72">
        <v>0</v>
      </c>
      <c r="G718" s="72">
        <v>0</v>
      </c>
      <c r="H718" s="72">
        <v>0</v>
      </c>
      <c r="I718" s="72">
        <v>0</v>
      </c>
      <c r="J718" s="72">
        <v>0</v>
      </c>
      <c r="K718" s="72">
        <v>0</v>
      </c>
      <c r="L718" s="72">
        <v>0</v>
      </c>
      <c r="M718" s="72">
        <v>0</v>
      </c>
      <c r="N718" s="73">
        <v>0</v>
      </c>
      <c r="O718" s="73">
        <v>0</v>
      </c>
      <c r="Q718" s="73">
        <v>0</v>
      </c>
      <c r="R718" s="50">
        <v>0</v>
      </c>
      <c r="S718" s="50">
        <v>0</v>
      </c>
      <c r="T718" s="66" t="s">
        <v>685</v>
      </c>
      <c r="U718" s="66" t="s">
        <v>685</v>
      </c>
      <c r="V718" s="66" t="s">
        <v>685</v>
      </c>
      <c r="W718" s="66" t="s">
        <v>685</v>
      </c>
      <c r="X718" s="66" t="s">
        <v>685</v>
      </c>
      <c r="Y718" s="66" t="s">
        <v>685</v>
      </c>
      <c r="Z718" s="66" t="s">
        <v>685</v>
      </c>
      <c r="AA718" s="66">
        <v>0</v>
      </c>
      <c r="AB718" s="66">
        <v>0</v>
      </c>
      <c r="AC718" s="66">
        <v>0</v>
      </c>
    </row>
    <row r="719" spans="1:30">
      <c r="A719" s="43" t="s">
        <v>552</v>
      </c>
      <c r="B719" s="43" t="s">
        <v>95</v>
      </c>
      <c r="F719" s="73">
        <v>4.8058999999999994</v>
      </c>
      <c r="G719" s="73">
        <v>2.1906499999999998</v>
      </c>
      <c r="H719" s="73">
        <v>3.8780500000000004</v>
      </c>
      <c r="I719" s="73">
        <v>3.8279999999999998</v>
      </c>
      <c r="J719" s="73">
        <v>3.8279999999999998</v>
      </c>
      <c r="K719" s="73">
        <v>3.5914999999999999</v>
      </c>
      <c r="L719" s="73">
        <v>3.78565</v>
      </c>
      <c r="M719" s="73">
        <v>3.7763</v>
      </c>
      <c r="N719" s="73">
        <v>3.9554999999999998</v>
      </c>
      <c r="O719" s="73">
        <v>5.0455600000000009</v>
      </c>
      <c r="Q719" s="73">
        <f>(57*0.055)+(0.6*0.065)</f>
        <v>3.1740000000000004</v>
      </c>
      <c r="R719" s="50">
        <f>(60.8*0.055)+(0.2*0.065)+(0.2*0.022)</f>
        <v>3.3613999999999997</v>
      </c>
      <c r="S719" s="50">
        <f>(30.7*0.055)+(0.1*0.022)+(0.01*0.065)</f>
        <v>1.6913499999999999</v>
      </c>
      <c r="T719" s="66">
        <f>(55.02*0.055)+(0.45*0.065)+(0.24*0.022)</f>
        <v>3.0606300000000002</v>
      </c>
      <c r="U719" s="66">
        <f>54.95*0.055</f>
        <v>3.0222500000000001</v>
      </c>
      <c r="V719" s="66">
        <f>(52*0.055)+(0.1*0.065)+(0.1*0.022)</f>
        <v>2.8687</v>
      </c>
      <c r="W719" s="66">
        <f>(42.12*0.055)+(0.03*0.065)+(0.06*0.022)</f>
        <v>2.3198699999999999</v>
      </c>
      <c r="X719" s="66">
        <f>39*0.055</f>
        <v>2.145</v>
      </c>
      <c r="Y719" s="66">
        <f>38*0.055</f>
        <v>2.09</v>
      </c>
      <c r="Z719" s="66">
        <f>34*0.055</f>
        <v>1.87</v>
      </c>
      <c r="AA719" s="66">
        <f>(23.24-0.89)*0.055</f>
        <v>1.22925</v>
      </c>
      <c r="AB719" s="66">
        <f>19.46*0.055</f>
        <v>1.0703</v>
      </c>
      <c r="AC719" s="66">
        <f>15.76*0.055</f>
        <v>0.86680000000000001</v>
      </c>
    </row>
    <row r="720" spans="1:30">
      <c r="A720" s="43" t="s">
        <v>552</v>
      </c>
      <c r="B720" s="43" t="s">
        <v>825</v>
      </c>
      <c r="Q720" s="73">
        <v>0</v>
      </c>
      <c r="R720" s="50">
        <v>0</v>
      </c>
      <c r="S720" s="50">
        <v>0</v>
      </c>
      <c r="T720" s="66">
        <v>0</v>
      </c>
      <c r="U720" s="66">
        <v>0</v>
      </c>
      <c r="V720" s="66">
        <v>0</v>
      </c>
      <c r="W720" s="66">
        <v>0</v>
      </c>
      <c r="X720" s="66">
        <v>0</v>
      </c>
      <c r="Y720" s="66">
        <v>0</v>
      </c>
      <c r="Z720" s="66">
        <v>0</v>
      </c>
      <c r="AA720" s="66">
        <v>0</v>
      </c>
      <c r="AB720" s="66">
        <v>0</v>
      </c>
      <c r="AC720" s="66">
        <v>0</v>
      </c>
    </row>
    <row r="721" spans="1:30">
      <c r="A721" s="43" t="s">
        <v>552</v>
      </c>
      <c r="B721" s="43" t="s">
        <v>574</v>
      </c>
      <c r="F721" s="72">
        <v>0</v>
      </c>
      <c r="G721" s="72">
        <v>0.6</v>
      </c>
      <c r="H721" s="72">
        <v>1.296</v>
      </c>
      <c r="I721" s="72">
        <v>1.296</v>
      </c>
      <c r="J721" s="72">
        <v>1.296</v>
      </c>
      <c r="K721" s="72">
        <v>5.76</v>
      </c>
      <c r="L721" s="72">
        <v>0</v>
      </c>
      <c r="M721" s="72">
        <v>0</v>
      </c>
      <c r="N721" s="73">
        <v>0</v>
      </c>
      <c r="O721" s="73">
        <v>0</v>
      </c>
      <c r="Q721" s="73">
        <f>15*0.6</f>
        <v>9</v>
      </c>
      <c r="R721" s="50">
        <v>0</v>
      </c>
      <c r="S721" s="50">
        <v>0</v>
      </c>
      <c r="T721" s="66">
        <v>0</v>
      </c>
      <c r="U721" s="66">
        <v>0</v>
      </c>
      <c r="V721" s="66">
        <v>0</v>
      </c>
      <c r="W721" s="66">
        <v>0</v>
      </c>
      <c r="X721" s="66">
        <v>0</v>
      </c>
      <c r="Y721" s="66">
        <v>0</v>
      </c>
      <c r="Z721" s="66">
        <v>0</v>
      </c>
      <c r="AA721" s="66">
        <v>0</v>
      </c>
      <c r="AB721" s="66">
        <v>0</v>
      </c>
      <c r="AC721" s="66">
        <v>0</v>
      </c>
    </row>
    <row r="722" spans="1:30">
      <c r="A722" s="43" t="s">
        <v>552</v>
      </c>
      <c r="B722" s="43" t="s">
        <v>535</v>
      </c>
      <c r="F722" s="72">
        <v>0</v>
      </c>
      <c r="G722" s="72">
        <v>0</v>
      </c>
      <c r="H722" s="72">
        <v>0</v>
      </c>
      <c r="I722" s="72">
        <v>0</v>
      </c>
      <c r="J722" s="72">
        <v>0</v>
      </c>
      <c r="K722" s="72">
        <v>0</v>
      </c>
      <c r="L722" s="72">
        <v>0</v>
      </c>
      <c r="M722" s="72">
        <v>0</v>
      </c>
      <c r="N722" s="73">
        <v>0</v>
      </c>
      <c r="O722" s="73">
        <v>0</v>
      </c>
      <c r="Q722" s="73">
        <v>0</v>
      </c>
      <c r="R722" s="50">
        <v>0</v>
      </c>
      <c r="S722" s="50">
        <v>0</v>
      </c>
      <c r="T722" s="66">
        <v>0</v>
      </c>
      <c r="U722" s="66">
        <v>0</v>
      </c>
      <c r="V722" s="66">
        <v>0</v>
      </c>
      <c r="W722" s="66">
        <v>0</v>
      </c>
      <c r="X722" s="66">
        <v>0</v>
      </c>
      <c r="Y722" s="66">
        <v>0</v>
      </c>
      <c r="Z722" s="66">
        <v>0</v>
      </c>
      <c r="AA722" s="66">
        <v>0</v>
      </c>
      <c r="AB722" s="66">
        <v>0</v>
      </c>
      <c r="AC722" s="66">
        <v>0</v>
      </c>
    </row>
    <row r="723" spans="1:30">
      <c r="A723" s="43" t="s">
        <v>549</v>
      </c>
      <c r="B723" s="43" t="s">
        <v>752</v>
      </c>
      <c r="C723" s="72">
        <v>211.3</v>
      </c>
      <c r="D723" s="72">
        <v>211.9</v>
      </c>
      <c r="E723" s="72">
        <v>240.1</v>
      </c>
      <c r="F723" s="72">
        <v>265.43</v>
      </c>
      <c r="G723" s="72">
        <v>345.28</v>
      </c>
      <c r="H723" s="72">
        <v>153.488</v>
      </c>
      <c r="I723" s="72">
        <v>115.96</v>
      </c>
      <c r="J723" s="72">
        <v>96.87</v>
      </c>
      <c r="K723" s="72">
        <v>91.8</v>
      </c>
      <c r="L723" s="72">
        <v>141.03</v>
      </c>
      <c r="M723" s="72">
        <v>250.74799999999999</v>
      </c>
      <c r="N723" s="73">
        <v>102.9</v>
      </c>
      <c r="O723" s="73">
        <v>12.28</v>
      </c>
      <c r="P723" s="73">
        <v>27.34</v>
      </c>
      <c r="Q723" s="73">
        <v>10.79</v>
      </c>
      <c r="R723" s="50">
        <v>0</v>
      </c>
      <c r="S723" s="50">
        <v>0</v>
      </c>
      <c r="T723" s="66" t="s">
        <v>685</v>
      </c>
      <c r="U723" s="66" t="s">
        <v>685</v>
      </c>
      <c r="V723" s="66" t="s">
        <v>685</v>
      </c>
      <c r="W723" s="66" t="s">
        <v>685</v>
      </c>
      <c r="X723" s="66" t="s">
        <v>685</v>
      </c>
      <c r="Y723" s="66" t="s">
        <v>685</v>
      </c>
      <c r="Z723" s="66" t="s">
        <v>685</v>
      </c>
      <c r="AA723" s="66">
        <v>0</v>
      </c>
      <c r="AB723" s="66">
        <v>0</v>
      </c>
      <c r="AC723" s="66">
        <v>0</v>
      </c>
      <c r="AD723" s="66">
        <v>0</v>
      </c>
    </row>
    <row r="724" spans="1:30">
      <c r="A724" s="43" t="s">
        <v>549</v>
      </c>
      <c r="B724" s="43" t="s">
        <v>663</v>
      </c>
      <c r="C724" s="72">
        <v>0.79200000000000004</v>
      </c>
      <c r="D724" s="72">
        <v>0.82499999999999996</v>
      </c>
      <c r="E724" s="72">
        <v>0</v>
      </c>
      <c r="F724" s="72">
        <v>0</v>
      </c>
      <c r="G724" s="72">
        <v>0.85799999999999998</v>
      </c>
      <c r="H724" s="72">
        <v>0.93500000000000005</v>
      </c>
      <c r="I724" s="72">
        <v>0.99</v>
      </c>
      <c r="J724" s="72">
        <v>2.0350000000000001</v>
      </c>
      <c r="K724" s="72">
        <v>2.42</v>
      </c>
      <c r="L724" s="72">
        <v>1.155</v>
      </c>
      <c r="M724" s="72">
        <v>6.8419999999999996</v>
      </c>
      <c r="N724" s="73">
        <v>1.0999999999999999E-2</v>
      </c>
      <c r="O724" s="73">
        <v>8.7999999999999995E-2</v>
      </c>
      <c r="P724" s="73">
        <v>0</v>
      </c>
      <c r="Q724" s="73">
        <v>0</v>
      </c>
      <c r="R724" s="50">
        <v>0</v>
      </c>
      <c r="S724" s="50">
        <v>0</v>
      </c>
      <c r="T724" s="66" t="s">
        <v>685</v>
      </c>
      <c r="U724" s="66" t="s">
        <v>685</v>
      </c>
      <c r="V724" s="66" t="s">
        <v>685</v>
      </c>
      <c r="W724" s="66" t="s">
        <v>685</v>
      </c>
      <c r="X724" s="66" t="s">
        <v>685</v>
      </c>
      <c r="Y724" s="66" t="s">
        <v>685</v>
      </c>
      <c r="Z724" s="66" t="s">
        <v>685</v>
      </c>
      <c r="AA724" s="66">
        <v>0</v>
      </c>
      <c r="AB724" s="66">
        <v>0</v>
      </c>
      <c r="AC724" s="66">
        <v>0</v>
      </c>
      <c r="AD724" s="66">
        <v>0</v>
      </c>
    </row>
    <row r="725" spans="1:30">
      <c r="A725" s="43" t="s">
        <v>549</v>
      </c>
      <c r="B725" s="43" t="s">
        <v>243</v>
      </c>
      <c r="C725" s="72">
        <v>0</v>
      </c>
      <c r="D725" s="72">
        <v>0</v>
      </c>
      <c r="E725" s="72">
        <v>0</v>
      </c>
      <c r="F725" s="72">
        <v>0</v>
      </c>
      <c r="G725" s="72">
        <v>0</v>
      </c>
      <c r="H725" s="72">
        <v>0</v>
      </c>
      <c r="I725" s="72">
        <v>0</v>
      </c>
      <c r="J725" s="72">
        <v>0</v>
      </c>
      <c r="K725" s="72">
        <v>0</v>
      </c>
      <c r="L725" s="72">
        <v>0</v>
      </c>
      <c r="M725" s="72">
        <v>0</v>
      </c>
      <c r="N725" s="73">
        <v>0</v>
      </c>
      <c r="O725" s="73">
        <v>0</v>
      </c>
      <c r="P725" s="73">
        <v>0</v>
      </c>
      <c r="Q725" s="73">
        <v>0</v>
      </c>
      <c r="R725" s="50">
        <v>0</v>
      </c>
      <c r="S725" s="50">
        <v>0</v>
      </c>
      <c r="T725" s="66" t="s">
        <v>685</v>
      </c>
      <c r="U725" s="66" t="s">
        <v>685</v>
      </c>
      <c r="V725" s="66" t="s">
        <v>685</v>
      </c>
      <c r="W725" s="66" t="s">
        <v>685</v>
      </c>
      <c r="X725" s="66" t="s">
        <v>685</v>
      </c>
      <c r="Y725" s="66" t="s">
        <v>685</v>
      </c>
      <c r="Z725" s="66" t="s">
        <v>685</v>
      </c>
      <c r="AA725" s="66">
        <v>0</v>
      </c>
      <c r="AB725" s="66">
        <v>0</v>
      </c>
      <c r="AC725" s="66">
        <v>0</v>
      </c>
      <c r="AD725" s="66">
        <v>0</v>
      </c>
    </row>
    <row r="726" spans="1:30">
      <c r="A726" s="43" t="s">
        <v>549</v>
      </c>
      <c r="B726" s="43" t="s">
        <v>95</v>
      </c>
      <c r="C726" s="73">
        <v>0</v>
      </c>
      <c r="D726" s="73">
        <v>0</v>
      </c>
      <c r="E726" s="73">
        <v>0</v>
      </c>
      <c r="F726" s="73">
        <v>0</v>
      </c>
      <c r="G726" s="73">
        <v>0</v>
      </c>
      <c r="H726" s="73">
        <v>21.538</v>
      </c>
      <c r="I726" s="73">
        <v>20.988000000000003</v>
      </c>
      <c r="J726" s="73">
        <v>5.7205500000000002</v>
      </c>
      <c r="K726" s="73">
        <v>6.6660000000000004</v>
      </c>
      <c r="L726" s="73">
        <v>2.706</v>
      </c>
      <c r="M726" s="73">
        <v>12.489100000000001</v>
      </c>
      <c r="N726" s="73">
        <v>8.0250500000000002</v>
      </c>
      <c r="O726" s="73">
        <v>12.741849999999999</v>
      </c>
      <c r="P726" s="73">
        <v>11.6805</v>
      </c>
      <c r="Q726" s="73">
        <v>15.085699999999999</v>
      </c>
      <c r="R726" s="50">
        <f>(352.74*0.055)+(1*0.11)+(17.6*0.065)+(8.54*0.02)+(3.79*0.022)</f>
        <v>20.908879999999996</v>
      </c>
      <c r="S726" s="50">
        <f>(267.77*0.055)+(7.5*0.11)+(17.47*0.065)+(4.54*0.02)+(1.67*0.022)</f>
        <v>16.815440000000002</v>
      </c>
      <c r="T726" s="66">
        <f>(506.61*0.055)+(16.38*0.065)+(5.18*0.02)+(13.52*0.022)</f>
        <v>29.32929</v>
      </c>
      <c r="U726" s="66">
        <f>(278.36*0.055)+(5.38*0.11)+(3.76*0.065)+(10.36*0.02)+(4.92*0.022)</f>
        <v>16.46144</v>
      </c>
      <c r="V726" s="66">
        <f>(320.16*0.055)+(1.5*0.11)+(2.77*0.02)</f>
        <v>17.8292</v>
      </c>
      <c r="W726" s="66">
        <f>(287.72*0.055)+(1*0.11)+(2.86*0.02)</f>
        <v>15.991800000000001</v>
      </c>
      <c r="X726" s="66">
        <f>(220.73*0.055)+(6.75*0.11)+(0.57*0.065)+(0.68*0.02)+(0.95*0.022)</f>
        <v>12.9542</v>
      </c>
      <c r="Y726" s="66">
        <f>(230.07*0.055)+(4.18*0.02)</f>
        <v>12.737450000000001</v>
      </c>
      <c r="Z726" s="66">
        <f>(234*0.055)+(6*0.02)</f>
        <v>12.989999999999998</v>
      </c>
      <c r="AA726" s="66">
        <f>(262.8404*0.055)+(6.45*0.02)</f>
        <v>14.585221999999998</v>
      </c>
      <c r="AB726" s="66">
        <f>(196.644*0.055)+(4.582*0.02)</f>
        <v>10.90706</v>
      </c>
      <c r="AC726" s="66">
        <f>(210.708*0.055)+(3.74*0.02)</f>
        <v>11.663739999999999</v>
      </c>
      <c r="AD726" s="66">
        <f>(177.66*0.055)+(0.91*0.02)</f>
        <v>9.7895000000000003</v>
      </c>
    </row>
    <row r="727" spans="1:30">
      <c r="A727" s="43" t="s">
        <v>549</v>
      </c>
      <c r="B727" s="43" t="s">
        <v>825</v>
      </c>
      <c r="Q727" s="73">
        <v>0</v>
      </c>
      <c r="R727" s="50">
        <f>13.77*0.11</f>
        <v>1.5146999999999999</v>
      </c>
      <c r="S727" s="50">
        <f>15.69*0.11</f>
        <v>1.7259</v>
      </c>
      <c r="T727" s="50">
        <f>29.57*0.11</f>
        <v>3.2526999999999999</v>
      </c>
      <c r="U727" s="50">
        <f>22.56*0.11</f>
        <v>2.4815999999999998</v>
      </c>
      <c r="V727" s="50">
        <f>37.1*0.11</f>
        <v>4.0810000000000004</v>
      </c>
      <c r="W727" s="50">
        <f>28.75*0.11</f>
        <v>3.1625000000000001</v>
      </c>
      <c r="X727" s="50">
        <f>32.83*0.11</f>
        <v>3.6113</v>
      </c>
      <c r="Y727" s="50">
        <f>12.22*0.11</f>
        <v>1.3442000000000001</v>
      </c>
      <c r="Z727" s="50">
        <f>18*0.11</f>
        <v>1.98</v>
      </c>
      <c r="AA727" s="50">
        <f>33.26*0.11</f>
        <v>3.6585999999999999</v>
      </c>
      <c r="AB727" s="50">
        <f>2.543*0.11</f>
        <v>0.27973000000000003</v>
      </c>
      <c r="AC727" s="50">
        <f>23.22*0.11</f>
        <v>2.5541999999999998</v>
      </c>
      <c r="AD727" s="50">
        <f>13.44*0.11</f>
        <v>1.4783999999999999</v>
      </c>
    </row>
    <row r="728" spans="1:30">
      <c r="A728" s="43" t="s">
        <v>549</v>
      </c>
      <c r="B728" s="43" t="s">
        <v>574</v>
      </c>
      <c r="C728" s="72">
        <v>0.81</v>
      </c>
      <c r="D728" s="72">
        <v>1.077</v>
      </c>
      <c r="E728" s="72">
        <v>1.077</v>
      </c>
      <c r="F728" s="72">
        <v>0.42299999999999999</v>
      </c>
      <c r="G728" s="72">
        <v>0.39</v>
      </c>
      <c r="H728" s="72">
        <v>0</v>
      </c>
      <c r="I728" s="72">
        <v>0.49199999999999999</v>
      </c>
      <c r="J728" s="72">
        <v>0.94</v>
      </c>
      <c r="K728" s="72">
        <v>0.186</v>
      </c>
      <c r="L728" s="72">
        <v>0.17399999999999999</v>
      </c>
      <c r="M728" s="72">
        <v>0</v>
      </c>
      <c r="N728" s="73">
        <v>0</v>
      </c>
      <c r="O728" s="73">
        <v>0</v>
      </c>
      <c r="P728" s="73">
        <v>0</v>
      </c>
      <c r="Q728" s="73">
        <v>0</v>
      </c>
      <c r="R728" s="50">
        <v>0</v>
      </c>
      <c r="S728" s="50">
        <v>0</v>
      </c>
      <c r="T728" s="66">
        <v>0</v>
      </c>
      <c r="U728" s="66">
        <v>0</v>
      </c>
      <c r="V728" s="66">
        <v>0</v>
      </c>
      <c r="W728" s="66">
        <v>0</v>
      </c>
      <c r="X728" s="66">
        <v>0</v>
      </c>
      <c r="Y728" s="66">
        <v>0</v>
      </c>
      <c r="Z728" s="66">
        <v>0</v>
      </c>
      <c r="AA728" s="66">
        <v>0</v>
      </c>
      <c r="AB728" s="66">
        <v>0</v>
      </c>
      <c r="AC728" s="66">
        <v>0</v>
      </c>
      <c r="AD728" s="66">
        <v>0</v>
      </c>
    </row>
    <row r="729" spans="1:30">
      <c r="A729" s="43" t="s">
        <v>549</v>
      </c>
      <c r="B729" s="43" t="s">
        <v>535</v>
      </c>
      <c r="C729" s="72">
        <v>0</v>
      </c>
      <c r="D729" s="72">
        <v>0</v>
      </c>
      <c r="E729" s="72">
        <v>0</v>
      </c>
      <c r="F729" s="72">
        <v>0</v>
      </c>
      <c r="G729" s="72">
        <v>2.4500000000000001E-2</v>
      </c>
      <c r="H729" s="72">
        <v>7.1999999999999995E-2</v>
      </c>
      <c r="I729" s="72">
        <v>0</v>
      </c>
      <c r="J729" s="72">
        <v>0</v>
      </c>
      <c r="K729" s="72">
        <v>0</v>
      </c>
      <c r="L729" s="72">
        <v>0</v>
      </c>
      <c r="M729" s="72">
        <v>0</v>
      </c>
      <c r="N729" s="73">
        <v>0</v>
      </c>
      <c r="O729" s="73">
        <v>0</v>
      </c>
      <c r="P729" s="73">
        <v>0</v>
      </c>
      <c r="Q729" s="73">
        <v>0</v>
      </c>
      <c r="R729" s="50">
        <v>0</v>
      </c>
      <c r="S729" s="50">
        <v>0</v>
      </c>
      <c r="T729" s="66">
        <v>0</v>
      </c>
      <c r="U729" s="66">
        <v>0</v>
      </c>
      <c r="V729" s="66">
        <v>0</v>
      </c>
      <c r="W729" s="66">
        <v>0</v>
      </c>
      <c r="X729" s="66">
        <v>0</v>
      </c>
      <c r="Y729" s="66">
        <v>0</v>
      </c>
      <c r="Z729" s="66">
        <v>0</v>
      </c>
      <c r="AA729" s="66">
        <v>0</v>
      </c>
      <c r="AB729" s="66">
        <v>0</v>
      </c>
      <c r="AC729" s="66">
        <v>0</v>
      </c>
      <c r="AD729" s="66">
        <v>0</v>
      </c>
    </row>
    <row r="730" spans="1:30">
      <c r="A730" s="43" t="s">
        <v>550</v>
      </c>
      <c r="B730" s="43" t="s">
        <v>752</v>
      </c>
      <c r="C730" s="72">
        <v>609.08600000000001</v>
      </c>
      <c r="D730" s="72">
        <v>405.04</v>
      </c>
      <c r="E730" s="72">
        <v>258.77</v>
      </c>
      <c r="F730" s="72">
        <v>326.7</v>
      </c>
      <c r="G730" s="72">
        <v>295.58999999999997</v>
      </c>
      <c r="H730" s="72">
        <v>346.98</v>
      </c>
      <c r="I730" s="72">
        <v>189.05</v>
      </c>
      <c r="J730" s="72">
        <v>196.52600000000001</v>
      </c>
      <c r="L730" s="72">
        <v>145.66</v>
      </c>
      <c r="N730" s="73">
        <v>87.18</v>
      </c>
      <c r="O730" s="73">
        <v>0</v>
      </c>
      <c r="P730" s="73">
        <v>0</v>
      </c>
      <c r="Q730" s="73">
        <v>0</v>
      </c>
      <c r="R730" s="50">
        <v>0</v>
      </c>
      <c r="S730" s="50">
        <v>0</v>
      </c>
      <c r="T730" s="66" t="s">
        <v>685</v>
      </c>
      <c r="U730" s="66" t="s">
        <v>685</v>
      </c>
      <c r="V730" s="66" t="s">
        <v>685</v>
      </c>
      <c r="W730" s="66" t="s">
        <v>685</v>
      </c>
      <c r="X730" s="66" t="s">
        <v>685</v>
      </c>
      <c r="Y730" s="66" t="s">
        <v>685</v>
      </c>
      <c r="Z730" s="66" t="s">
        <v>685</v>
      </c>
      <c r="AA730" s="66">
        <v>0</v>
      </c>
      <c r="AB730" s="66">
        <v>0</v>
      </c>
      <c r="AC730" s="66">
        <v>0</v>
      </c>
    </row>
    <row r="731" spans="1:30">
      <c r="A731" s="43" t="s">
        <v>550</v>
      </c>
      <c r="B731" s="43" t="s">
        <v>663</v>
      </c>
      <c r="C731" s="72">
        <v>47.77</v>
      </c>
      <c r="D731" s="72">
        <v>1.298</v>
      </c>
      <c r="E731" s="72">
        <v>1.1990000000000001</v>
      </c>
      <c r="F731" s="72">
        <v>1.34</v>
      </c>
      <c r="G731" s="72">
        <v>1.0009999999999999</v>
      </c>
      <c r="H731" s="72">
        <v>0.56000000000000005</v>
      </c>
      <c r="I731" s="72">
        <v>0.627</v>
      </c>
      <c r="J731" s="72">
        <v>0</v>
      </c>
      <c r="L731" s="72">
        <v>0</v>
      </c>
      <c r="N731" s="73">
        <v>0</v>
      </c>
      <c r="O731" s="73">
        <v>0</v>
      </c>
      <c r="P731" s="73">
        <v>0</v>
      </c>
      <c r="Q731" s="73">
        <v>0</v>
      </c>
      <c r="R731" s="50">
        <v>0</v>
      </c>
      <c r="S731" s="50">
        <v>0</v>
      </c>
      <c r="T731" s="66" t="s">
        <v>685</v>
      </c>
      <c r="U731" s="66" t="s">
        <v>685</v>
      </c>
      <c r="V731" s="66" t="s">
        <v>685</v>
      </c>
      <c r="W731" s="66" t="s">
        <v>685</v>
      </c>
      <c r="X731" s="66" t="s">
        <v>685</v>
      </c>
      <c r="Y731" s="66" t="s">
        <v>685</v>
      </c>
      <c r="Z731" s="66" t="s">
        <v>685</v>
      </c>
      <c r="AA731" s="66">
        <v>0</v>
      </c>
      <c r="AB731" s="66">
        <v>0</v>
      </c>
      <c r="AC731" s="66">
        <v>0</v>
      </c>
    </row>
    <row r="732" spans="1:30">
      <c r="A732" s="43" t="s">
        <v>550</v>
      </c>
      <c r="B732" s="43" t="s">
        <v>243</v>
      </c>
      <c r="C732" s="72">
        <v>0</v>
      </c>
      <c r="D732" s="72">
        <v>0</v>
      </c>
      <c r="E732" s="72">
        <v>0</v>
      </c>
      <c r="F732" s="72">
        <v>0</v>
      </c>
      <c r="G732" s="72">
        <v>0</v>
      </c>
      <c r="H732" s="72">
        <v>0</v>
      </c>
      <c r="I732" s="72">
        <v>0</v>
      </c>
      <c r="J732" s="72">
        <v>0</v>
      </c>
      <c r="L732" s="72">
        <v>0</v>
      </c>
      <c r="N732" s="73">
        <v>0</v>
      </c>
      <c r="O732" s="73">
        <v>0</v>
      </c>
      <c r="P732" s="73">
        <v>0</v>
      </c>
      <c r="Q732" s="73">
        <v>0</v>
      </c>
      <c r="R732" s="50">
        <v>0</v>
      </c>
      <c r="S732" s="50">
        <v>0</v>
      </c>
      <c r="T732" s="66" t="s">
        <v>685</v>
      </c>
      <c r="U732" s="66" t="s">
        <v>685</v>
      </c>
      <c r="V732" s="66" t="s">
        <v>685</v>
      </c>
      <c r="W732" s="66" t="s">
        <v>685</v>
      </c>
      <c r="X732" s="66" t="s">
        <v>685</v>
      </c>
      <c r="Y732" s="66" t="s">
        <v>685</v>
      </c>
      <c r="Z732" s="66" t="s">
        <v>685</v>
      </c>
      <c r="AA732" s="66">
        <v>0</v>
      </c>
      <c r="AB732" s="66">
        <v>0</v>
      </c>
      <c r="AC732" s="66">
        <v>0</v>
      </c>
    </row>
    <row r="733" spans="1:30">
      <c r="A733" s="43" t="s">
        <v>550</v>
      </c>
      <c r="B733" s="43" t="s">
        <v>95</v>
      </c>
      <c r="C733" s="73">
        <v>9.5853999999999999</v>
      </c>
      <c r="D733" s="73">
        <v>8.6355500000000003</v>
      </c>
      <c r="E733" s="73">
        <v>8.638300000000001</v>
      </c>
      <c r="F733" s="73">
        <v>0.81125000000000003</v>
      </c>
      <c r="G733" s="73">
        <v>0.47739999999999999</v>
      </c>
      <c r="H733" s="73">
        <v>8.7389499999999991</v>
      </c>
      <c r="I733" s="73">
        <v>0.45155000000000006</v>
      </c>
      <c r="J733" s="73">
        <v>6.9679500000000001</v>
      </c>
      <c r="L733" s="73">
        <v>14.8566</v>
      </c>
      <c r="N733" s="73">
        <v>12.294699999999999</v>
      </c>
      <c r="O733" s="73">
        <v>43.395000000000003</v>
      </c>
      <c r="P733" s="73">
        <v>28.016999999999999</v>
      </c>
      <c r="Q733" s="73">
        <f>(444.89*0.055)+(10.06*0.11)+(24.58*0.065)+(4.04*0.022)+(0.02*0.025)</f>
        <v>27.262629999999998</v>
      </c>
      <c r="R733" s="50">
        <f>(421.67*0.055)+(22.4*0.11)+(11.69*0.065)+(1.43*0.022)+(0.02*0.025)+(0.003*0.033)</f>
        <v>26.447758999999998</v>
      </c>
      <c r="S733" s="50">
        <f>(538.66*0.055)+(16.7*0.11)+(16.34*0.065)+(3.72*0.022)</f>
        <v>32.607239999999997</v>
      </c>
      <c r="T733" s="66">
        <f>(451.503*0.055)+(13.156*0.11)+(10.146*0.065)+(1.97*0.022)</f>
        <v>26.982655000000001</v>
      </c>
      <c r="U733" s="66">
        <f>(434.84*0.055)+(9.95*0.11)+(11.57*0.065)+(2.14*0.022)</f>
        <v>25.809830000000002</v>
      </c>
      <c r="V733" s="66">
        <f>(359.69*0.055)+(17.53*0.11)+(4.31*0.065)+(1.02*0.022)</f>
        <v>22.013839999999998</v>
      </c>
      <c r="W733" s="66">
        <f>(374.91*0.055)+(17.623*0.11)+(2.995*0.065)+(2.976*0.02)+(0.275*0.022)</f>
        <v>22.818825</v>
      </c>
      <c r="X733" s="66">
        <f>(369.911*0.055)+(13.126*0.11)+(6.035*0.065)+(1.29*0.02)+(0.272*0.022)</f>
        <v>22.213024000000004</v>
      </c>
      <c r="Y733" s="66">
        <f>(401.399*0.055)+(3.738*0.065)+(0.204*0.022)</f>
        <v>22.324402999999997</v>
      </c>
      <c r="Z733" s="66">
        <f>(358.518*0.055)+(1.782*0.065)+(0.34*0.022)</f>
        <v>19.841799999999999</v>
      </c>
      <c r="AA733" s="66">
        <f>(292.76*0.055)+(2.41*0.065)</f>
        <v>16.25845</v>
      </c>
      <c r="AB733" s="66">
        <f>(223.75*0.055)+(0.84*0.02)</f>
        <v>12.32305</v>
      </c>
      <c r="AC733" s="66">
        <f>(169.39*0.055)+(0.93*0.065)+(0.79*0.02)</f>
        <v>9.3926999999999996</v>
      </c>
    </row>
    <row r="734" spans="1:30">
      <c r="A734" s="43" t="s">
        <v>550</v>
      </c>
      <c r="B734" s="43" t="s">
        <v>825</v>
      </c>
      <c r="Q734" s="73">
        <f>173.77*0.11</f>
        <v>19.114700000000003</v>
      </c>
      <c r="R734" s="50">
        <f>199.488*0.11</f>
        <v>21.943680000000001</v>
      </c>
      <c r="S734" s="50">
        <f>209.1*0.11</f>
        <v>23.001000000000001</v>
      </c>
      <c r="T734" s="50">
        <f>98.041*0.11</f>
        <v>10.784509999999999</v>
      </c>
      <c r="U734" s="50">
        <f>842.78*0.11</f>
        <v>92.705799999999996</v>
      </c>
      <c r="V734" s="66">
        <v>0</v>
      </c>
      <c r="W734" s="66">
        <f>295.58*0.11</f>
        <v>32.513799999999996</v>
      </c>
      <c r="X734" s="66">
        <f>217.668*0.11</f>
        <v>23.943480000000001</v>
      </c>
      <c r="Y734" s="66">
        <f>381.254*0.11</f>
        <v>41.937940000000005</v>
      </c>
      <c r="Z734" s="66">
        <f>266.22*0.11</f>
        <v>29.284200000000002</v>
      </c>
      <c r="AA734" s="66">
        <f>132.96*0.11</f>
        <v>14.6256</v>
      </c>
      <c r="AB734" s="66">
        <v>0</v>
      </c>
      <c r="AC734" s="66">
        <f>26.54*0.11</f>
        <v>2.9194</v>
      </c>
    </row>
    <row r="735" spans="1:30">
      <c r="A735" s="43" t="s">
        <v>550</v>
      </c>
      <c r="B735" s="43" t="s">
        <v>574</v>
      </c>
      <c r="C735" s="72">
        <v>10.31</v>
      </c>
      <c r="D735" s="72">
        <v>7.0679999999999996</v>
      </c>
      <c r="E735" s="72">
        <v>9.17</v>
      </c>
      <c r="F735" s="72">
        <v>3.87</v>
      </c>
      <c r="G735" s="72">
        <v>3.0659999999999998</v>
      </c>
      <c r="H735" s="72">
        <v>29.34</v>
      </c>
      <c r="I735" s="72">
        <v>0.13200000000000001</v>
      </c>
      <c r="J735" s="72">
        <v>0.06</v>
      </c>
      <c r="L735" s="72">
        <v>0</v>
      </c>
      <c r="N735" s="73">
        <v>0</v>
      </c>
      <c r="O735" s="73">
        <v>0</v>
      </c>
      <c r="P735" s="73">
        <v>0</v>
      </c>
      <c r="Q735" s="73">
        <v>0</v>
      </c>
      <c r="R735" s="50">
        <v>0</v>
      </c>
      <c r="S735" s="50">
        <v>0</v>
      </c>
      <c r="T735" s="66">
        <v>0</v>
      </c>
      <c r="U735" s="66">
        <v>0</v>
      </c>
      <c r="V735" s="66">
        <v>0</v>
      </c>
      <c r="W735" s="66">
        <v>0</v>
      </c>
      <c r="X735" s="66">
        <v>0</v>
      </c>
      <c r="Y735" s="66">
        <v>0</v>
      </c>
      <c r="Z735" s="66">
        <v>0</v>
      </c>
      <c r="AA735" s="66">
        <v>0</v>
      </c>
      <c r="AB735" s="66">
        <v>0</v>
      </c>
      <c r="AC735" s="66">
        <v>0</v>
      </c>
    </row>
    <row r="736" spans="1:30">
      <c r="A736" s="43" t="s">
        <v>550</v>
      </c>
      <c r="B736" s="43" t="s">
        <v>535</v>
      </c>
      <c r="C736" s="72">
        <v>2.5790000000000002</v>
      </c>
      <c r="D736" s="72">
        <v>1.4650000000000001</v>
      </c>
      <c r="E736" s="72">
        <v>0.21299999999999999</v>
      </c>
      <c r="F736" s="72">
        <v>2E-3</v>
      </c>
      <c r="G736" s="72">
        <v>8.9999999999999998E-4</v>
      </c>
      <c r="H736" s="72">
        <v>0</v>
      </c>
      <c r="I736" s="72">
        <v>0</v>
      </c>
      <c r="J736" s="72">
        <v>0</v>
      </c>
      <c r="L736" s="72">
        <v>0</v>
      </c>
      <c r="N736" s="73">
        <v>0</v>
      </c>
      <c r="O736" s="73">
        <v>0</v>
      </c>
      <c r="P736" s="73">
        <v>0</v>
      </c>
      <c r="Q736" s="73">
        <v>0</v>
      </c>
      <c r="R736" s="50">
        <v>0</v>
      </c>
      <c r="S736" s="50">
        <v>0</v>
      </c>
      <c r="T736" s="66">
        <v>0</v>
      </c>
      <c r="U736" s="66">
        <v>0</v>
      </c>
      <c r="V736" s="66">
        <f>0.162*0.1</f>
        <v>1.6200000000000003E-2</v>
      </c>
      <c r="W736" s="66">
        <v>0</v>
      </c>
      <c r="X736" s="66">
        <v>0</v>
      </c>
      <c r="Y736" s="66">
        <v>0</v>
      </c>
      <c r="Z736" s="66">
        <v>0</v>
      </c>
      <c r="AA736" s="66">
        <v>0</v>
      </c>
      <c r="AB736" s="66">
        <v>0</v>
      </c>
      <c r="AC736" s="66">
        <v>0</v>
      </c>
    </row>
    <row r="737" spans="1:29">
      <c r="A737" s="43" t="s">
        <v>551</v>
      </c>
      <c r="B737" s="43" t="s">
        <v>752</v>
      </c>
      <c r="C737" s="72">
        <v>3403.75</v>
      </c>
      <c r="D737" s="72">
        <v>3019.36</v>
      </c>
      <c r="E737" s="72">
        <v>2634.74</v>
      </c>
      <c r="F737" s="72">
        <v>1679.83</v>
      </c>
      <c r="G737" s="72">
        <v>2087.58</v>
      </c>
      <c r="H737" s="72">
        <v>2905.17</v>
      </c>
      <c r="I737" s="72">
        <v>2049.31</v>
      </c>
      <c r="J737" s="72">
        <v>1632.31</v>
      </c>
      <c r="K737" s="72">
        <v>1422.39</v>
      </c>
      <c r="M737" s="72">
        <v>1049.8499999999999</v>
      </c>
      <c r="N737" s="73">
        <v>603.88</v>
      </c>
      <c r="O737" s="73">
        <v>143.12</v>
      </c>
      <c r="P737" s="73">
        <v>169.44</v>
      </c>
      <c r="Q737" s="73">
        <v>208.68</v>
      </c>
      <c r="R737" s="50">
        <v>0</v>
      </c>
      <c r="S737" s="50">
        <v>0</v>
      </c>
      <c r="T737" s="66" t="s">
        <v>685</v>
      </c>
      <c r="U737" s="66" t="s">
        <v>685</v>
      </c>
      <c r="V737" s="66" t="s">
        <v>685</v>
      </c>
      <c r="W737" s="66" t="s">
        <v>685</v>
      </c>
      <c r="X737" s="66" t="s">
        <v>685</v>
      </c>
      <c r="Y737" s="66" t="s">
        <v>685</v>
      </c>
      <c r="Z737" s="66" t="s">
        <v>685</v>
      </c>
      <c r="AA737" s="66">
        <v>0</v>
      </c>
      <c r="AB737" s="66">
        <v>0</v>
      </c>
      <c r="AC737" s="66">
        <v>0</v>
      </c>
    </row>
    <row r="738" spans="1:29">
      <c r="A738" s="43" t="s">
        <v>551</v>
      </c>
      <c r="B738" s="43" t="s">
        <v>663</v>
      </c>
      <c r="C738" s="72">
        <v>0</v>
      </c>
      <c r="D738" s="72">
        <v>0</v>
      </c>
      <c r="E738" s="72">
        <v>0</v>
      </c>
      <c r="F738" s="72">
        <v>0</v>
      </c>
      <c r="G738" s="72">
        <v>0</v>
      </c>
      <c r="H738" s="72">
        <v>0</v>
      </c>
      <c r="I738" s="72">
        <v>0</v>
      </c>
      <c r="J738" s="72">
        <v>0</v>
      </c>
      <c r="K738" s="72">
        <v>0</v>
      </c>
      <c r="M738" s="72">
        <v>0</v>
      </c>
      <c r="N738" s="73">
        <v>0</v>
      </c>
      <c r="O738" s="73">
        <v>0</v>
      </c>
      <c r="P738" s="73">
        <v>0</v>
      </c>
      <c r="Q738" s="73">
        <v>0</v>
      </c>
      <c r="R738" s="50">
        <v>0</v>
      </c>
      <c r="S738" s="50">
        <v>0</v>
      </c>
      <c r="T738" s="66" t="s">
        <v>685</v>
      </c>
      <c r="U738" s="66" t="s">
        <v>685</v>
      </c>
      <c r="V738" s="66" t="s">
        <v>685</v>
      </c>
      <c r="W738" s="66" t="s">
        <v>685</v>
      </c>
      <c r="X738" s="66" t="s">
        <v>685</v>
      </c>
      <c r="Y738" s="66" t="s">
        <v>685</v>
      </c>
      <c r="Z738" s="66" t="s">
        <v>685</v>
      </c>
      <c r="AA738" s="66">
        <v>0</v>
      </c>
      <c r="AB738" s="66">
        <v>0</v>
      </c>
      <c r="AC738" s="66">
        <v>0</v>
      </c>
    </row>
    <row r="739" spans="1:29">
      <c r="A739" s="43" t="s">
        <v>551</v>
      </c>
      <c r="B739" s="43" t="s">
        <v>243</v>
      </c>
      <c r="C739" s="72">
        <v>100.8</v>
      </c>
      <c r="D739" s="72">
        <v>118.2</v>
      </c>
      <c r="E739" s="72">
        <v>126.6</v>
      </c>
      <c r="F739" s="72">
        <v>0</v>
      </c>
      <c r="G739" s="72">
        <v>0</v>
      </c>
      <c r="H739" s="72">
        <v>0</v>
      </c>
      <c r="I739" s="72">
        <v>0</v>
      </c>
      <c r="J739" s="72">
        <v>0</v>
      </c>
      <c r="K739" s="72">
        <v>0</v>
      </c>
      <c r="M739" s="72">
        <v>0</v>
      </c>
      <c r="N739" s="73">
        <v>0</v>
      </c>
      <c r="O739" s="73">
        <v>0</v>
      </c>
      <c r="P739" s="73">
        <v>0</v>
      </c>
      <c r="Q739" s="73">
        <v>0</v>
      </c>
      <c r="R739" s="50">
        <v>0</v>
      </c>
      <c r="S739" s="50">
        <v>0</v>
      </c>
      <c r="T739" s="66" t="s">
        <v>685</v>
      </c>
      <c r="U739" s="66" t="s">
        <v>685</v>
      </c>
      <c r="V739" s="66" t="s">
        <v>685</v>
      </c>
      <c r="W739" s="66" t="s">
        <v>685</v>
      </c>
      <c r="X739" s="66" t="s">
        <v>685</v>
      </c>
      <c r="Y739" s="66" t="s">
        <v>685</v>
      </c>
      <c r="Z739" s="66" t="s">
        <v>685</v>
      </c>
      <c r="AA739" s="66">
        <f>(0.0026*3)+(0.025*10)</f>
        <v>0.25779999999999997</v>
      </c>
      <c r="AB739" s="66">
        <f>(0.093*3)+(0.468*10)</f>
        <v>4.9590000000000005</v>
      </c>
      <c r="AC739" s="66">
        <f>(0.0488*3)+(0.272*10)</f>
        <v>2.8664000000000001</v>
      </c>
    </row>
    <row r="740" spans="1:29">
      <c r="A740" s="43" t="s">
        <v>551</v>
      </c>
      <c r="B740" s="43" t="s">
        <v>95</v>
      </c>
      <c r="C740" s="73">
        <v>0</v>
      </c>
      <c r="D740" s="73">
        <v>0</v>
      </c>
      <c r="E740" s="73">
        <v>114.47776</v>
      </c>
      <c r="F740" s="73">
        <v>6.8898499999999991</v>
      </c>
      <c r="G740" s="73">
        <v>192.31448</v>
      </c>
      <c r="H740" s="73">
        <v>159.08000000000001</v>
      </c>
      <c r="I740" s="73">
        <v>129.62375</v>
      </c>
      <c r="J740" s="73">
        <v>142.78400000000002</v>
      </c>
      <c r="K740" s="73">
        <v>189.80884999999998</v>
      </c>
      <c r="M740" s="73">
        <v>207.71099999999998</v>
      </c>
      <c r="N740" s="73">
        <v>200.84235000000001</v>
      </c>
      <c r="O740" s="73">
        <v>180.19792000000001</v>
      </c>
      <c r="P740" s="73">
        <v>226.15824999999998</v>
      </c>
      <c r="Q740" s="73">
        <v>0</v>
      </c>
      <c r="R740" s="50">
        <v>221.97</v>
      </c>
      <c r="S740" s="50">
        <f>(1850.84*0.055)+(502.5*0.11)+(203.81*0.02)+(0.93*0.033)+(0.93*0.025)</f>
        <v>161.20133999999999</v>
      </c>
      <c r="T740" s="66">
        <f>(2409.13*0.055)+(533.79*0.11)+(221.64*0.02)+(1.47*0.025)+(1.47*0.033)</f>
        <v>195.73710999999997</v>
      </c>
      <c r="U740" s="66">
        <f>(1641.46*0.055)+(408.66*0.11)+(69.05*0.02)+(1.39*0.025)+(1.39*0.033)</f>
        <v>136.69452000000001</v>
      </c>
      <c r="V740" s="66">
        <f>(1860.03*0.055)+(959.64*0.11)+(206.07*0.02)+(0.42*0.025)+(0.42*0.033)</f>
        <v>212.00781000000001</v>
      </c>
      <c r="W740" s="66">
        <f>(1837.44*0.055)+(159.72*0.11)+(227.35*0.02)+(1.52*0.025)+(1.52*0.033)</f>
        <v>123.26356</v>
      </c>
      <c r="X740" s="66">
        <f>(1685.12*0.055)+(158.55*0.11)+(263.06*0.02)+(0.21*0.025)+(0.21*0.033)</f>
        <v>115.39547999999999</v>
      </c>
      <c r="Y740" s="66">
        <f>(1653.69*0.055)+(183.46*0.11)+(57.13*0.02)+(0.31*0.025)+(0.31*0.033)</f>
        <v>112.29413000000001</v>
      </c>
      <c r="Z740" s="66">
        <f>(1615.61*0.055)+(144.5*0.11)+(57.4*0.02)+(0.15*0.025)+(0.16*0.033)</f>
        <v>105.91057999999998</v>
      </c>
      <c r="AA740" s="66">
        <f>(1643.24*0.055)+(111.0143*0.11)+(57.1*0.02)+(0.3832*0.025)+(0.3832*0.033)</f>
        <v>103.7539986</v>
      </c>
      <c r="AB740" s="66">
        <f>(843.694*0.055)+(18.9*0.11)+(106.66*0.02)</f>
        <v>50.615369999999999</v>
      </c>
      <c r="AC740" s="66">
        <f>(1039.633*0.055)+(18.9*0.11)+(57.12*0.02)</f>
        <v>60.401215000000008</v>
      </c>
    </row>
    <row r="741" spans="1:29">
      <c r="A741" s="43" t="s">
        <v>551</v>
      </c>
      <c r="B741" s="43" t="s">
        <v>825</v>
      </c>
      <c r="Q741" s="73">
        <v>0</v>
      </c>
      <c r="R741" s="50">
        <v>3.41</v>
      </c>
      <c r="S741" s="50">
        <f>136.91*0.11</f>
        <v>15.0601</v>
      </c>
      <c r="T741" s="50">
        <f>50.19*0.11</f>
        <v>5.5209000000000001</v>
      </c>
      <c r="U741" s="50">
        <f>140.39*0.11</f>
        <v>15.442899999999998</v>
      </c>
      <c r="V741" s="66">
        <v>0</v>
      </c>
      <c r="W741" s="66">
        <v>0</v>
      </c>
      <c r="X741" s="66">
        <v>0</v>
      </c>
      <c r="Y741" s="66">
        <v>0</v>
      </c>
      <c r="Z741" s="66">
        <v>0</v>
      </c>
      <c r="AA741" s="66">
        <v>0</v>
      </c>
      <c r="AB741" s="66">
        <v>0</v>
      </c>
      <c r="AC741" s="66">
        <v>0</v>
      </c>
    </row>
    <row r="742" spans="1:29">
      <c r="A742" s="43" t="s">
        <v>551</v>
      </c>
      <c r="B742" s="43" t="s">
        <v>574</v>
      </c>
      <c r="C742" s="72">
        <v>40.956000000000003</v>
      </c>
      <c r="D742" s="72">
        <v>32.195999999999998</v>
      </c>
      <c r="E742" s="72">
        <v>31.04</v>
      </c>
      <c r="G742" s="72">
        <v>0</v>
      </c>
      <c r="H742" s="72">
        <v>0</v>
      </c>
      <c r="I742" s="72">
        <v>34.93</v>
      </c>
      <c r="J742" s="72">
        <v>42.804000000000002</v>
      </c>
      <c r="K742" s="72">
        <v>9.0299999999999994</v>
      </c>
      <c r="M742" s="72">
        <v>8.1780000000000008</v>
      </c>
      <c r="N742" s="73">
        <v>4.2839999999999998</v>
      </c>
      <c r="O742" s="73">
        <v>2.3820000000000001</v>
      </c>
      <c r="P742" s="73">
        <v>1.782</v>
      </c>
      <c r="Q742" s="73">
        <v>0</v>
      </c>
      <c r="R742" s="50">
        <v>0</v>
      </c>
      <c r="S742" s="50">
        <v>0</v>
      </c>
      <c r="T742" s="66">
        <v>0</v>
      </c>
      <c r="U742" s="66">
        <v>0</v>
      </c>
      <c r="V742" s="66">
        <v>0</v>
      </c>
      <c r="W742" s="66">
        <v>0</v>
      </c>
      <c r="X742" s="66">
        <v>0</v>
      </c>
      <c r="Y742" s="66">
        <v>0</v>
      </c>
      <c r="Z742" s="66">
        <v>0</v>
      </c>
      <c r="AA742" s="66">
        <v>0</v>
      </c>
      <c r="AB742" s="66">
        <v>0</v>
      </c>
      <c r="AC742" s="66">
        <v>0</v>
      </c>
    </row>
    <row r="743" spans="1:29">
      <c r="A743" s="43" t="s">
        <v>551</v>
      </c>
      <c r="B743" s="43" t="s">
        <v>535</v>
      </c>
      <c r="C743" s="72">
        <v>0</v>
      </c>
      <c r="D743" s="72">
        <v>0</v>
      </c>
      <c r="E743" s="72">
        <v>0</v>
      </c>
      <c r="F743" s="72">
        <v>0</v>
      </c>
      <c r="G743" s="72">
        <v>0</v>
      </c>
      <c r="H743" s="72">
        <v>0</v>
      </c>
      <c r="I743" s="72">
        <v>0</v>
      </c>
      <c r="J743" s="72">
        <v>0</v>
      </c>
      <c r="K743" s="72">
        <v>0</v>
      </c>
      <c r="M743" s="72">
        <v>0</v>
      </c>
      <c r="N743" s="73">
        <v>0</v>
      </c>
      <c r="O743" s="73">
        <v>0</v>
      </c>
      <c r="P743" s="73">
        <v>0</v>
      </c>
      <c r="Q743" s="73">
        <v>0</v>
      </c>
      <c r="R743" s="50">
        <v>0</v>
      </c>
      <c r="S743" s="50">
        <v>0</v>
      </c>
      <c r="T743" s="66">
        <v>0</v>
      </c>
      <c r="U743" s="66">
        <v>0</v>
      </c>
      <c r="V743" s="66">
        <v>0</v>
      </c>
      <c r="W743" s="66">
        <v>0</v>
      </c>
      <c r="X743" s="66">
        <v>0</v>
      </c>
      <c r="Y743" s="66">
        <v>0</v>
      </c>
      <c r="Z743" s="66">
        <v>0</v>
      </c>
      <c r="AA743" s="66">
        <v>0</v>
      </c>
      <c r="AB743" s="66">
        <v>0</v>
      </c>
      <c r="AC743" s="66">
        <v>0</v>
      </c>
    </row>
    <row r="744" spans="1:29">
      <c r="A744" s="43" t="s">
        <v>554</v>
      </c>
      <c r="B744" s="43" t="s">
        <v>752</v>
      </c>
      <c r="G744" s="72">
        <v>88.95</v>
      </c>
      <c r="H744" s="72">
        <v>85.8</v>
      </c>
      <c r="I744" s="72">
        <v>85.4</v>
      </c>
      <c r="J744" s="72">
        <v>95.5</v>
      </c>
      <c r="K744" s="72">
        <v>95.1</v>
      </c>
      <c r="L744" s="72">
        <v>63.74</v>
      </c>
      <c r="M744" s="72">
        <v>37</v>
      </c>
      <c r="N744" s="73">
        <v>31.43</v>
      </c>
      <c r="O744" s="73">
        <v>13.03</v>
      </c>
      <c r="P744" s="73">
        <v>5.05</v>
      </c>
      <c r="Q744" s="73">
        <v>0</v>
      </c>
      <c r="R744" s="50">
        <v>0</v>
      </c>
      <c r="S744" s="50">
        <v>0</v>
      </c>
      <c r="T744" s="66">
        <v>0</v>
      </c>
      <c r="U744" s="66">
        <v>0</v>
      </c>
      <c r="V744" s="66" t="s">
        <v>685</v>
      </c>
      <c r="W744" s="66" t="s">
        <v>685</v>
      </c>
      <c r="X744" s="66" t="s">
        <v>685</v>
      </c>
      <c r="Y744" s="66" t="s">
        <v>685</v>
      </c>
      <c r="Z744" s="66" t="s">
        <v>685</v>
      </c>
      <c r="AA744" s="66" t="s">
        <v>685</v>
      </c>
      <c r="AB744" s="66">
        <v>0</v>
      </c>
      <c r="AC744" s="66">
        <v>0</v>
      </c>
    </row>
    <row r="745" spans="1:29">
      <c r="A745" s="43" t="s">
        <v>554</v>
      </c>
      <c r="B745" s="43" t="s">
        <v>663</v>
      </c>
      <c r="G745" s="72">
        <v>0</v>
      </c>
      <c r="H745" s="72">
        <v>0</v>
      </c>
      <c r="I745" s="72">
        <v>0</v>
      </c>
      <c r="J745" s="72">
        <v>0</v>
      </c>
      <c r="K745" s="72">
        <v>0</v>
      </c>
      <c r="L745" s="72">
        <v>0</v>
      </c>
      <c r="M745" s="72">
        <v>0</v>
      </c>
      <c r="N745" s="73">
        <v>0</v>
      </c>
      <c r="O745" s="73">
        <v>0</v>
      </c>
      <c r="P745" s="73">
        <v>0</v>
      </c>
      <c r="Q745" s="73">
        <v>0</v>
      </c>
      <c r="R745" s="50">
        <v>0</v>
      </c>
      <c r="S745" s="50">
        <v>0</v>
      </c>
      <c r="T745" s="66">
        <v>0</v>
      </c>
      <c r="U745" s="66">
        <v>0</v>
      </c>
      <c r="V745" s="66" t="s">
        <v>685</v>
      </c>
      <c r="W745" s="66" t="s">
        <v>685</v>
      </c>
      <c r="X745" s="66" t="s">
        <v>685</v>
      </c>
      <c r="Y745" s="66" t="s">
        <v>685</v>
      </c>
      <c r="Z745" s="66" t="s">
        <v>685</v>
      </c>
      <c r="AA745" s="66" t="s">
        <v>685</v>
      </c>
      <c r="AB745" s="66">
        <v>0</v>
      </c>
      <c r="AC745" s="66">
        <v>0</v>
      </c>
    </row>
    <row r="746" spans="1:29">
      <c r="A746" s="43" t="s">
        <v>554</v>
      </c>
      <c r="B746" s="43" t="s">
        <v>243</v>
      </c>
      <c r="G746" s="72">
        <v>29</v>
      </c>
      <c r="H746" s="72">
        <v>17.5</v>
      </c>
      <c r="I746" s="72">
        <v>30.72</v>
      </c>
      <c r="J746" s="72">
        <v>13.6</v>
      </c>
      <c r="K746" s="72">
        <v>8.25</v>
      </c>
      <c r="L746" s="72">
        <v>0</v>
      </c>
      <c r="M746" s="72">
        <v>0</v>
      </c>
      <c r="N746" s="73">
        <v>0</v>
      </c>
      <c r="O746" s="73">
        <v>0</v>
      </c>
      <c r="P746" s="73">
        <v>0</v>
      </c>
      <c r="Q746" s="73">
        <v>0</v>
      </c>
      <c r="R746" s="50">
        <v>0</v>
      </c>
      <c r="S746" s="50">
        <v>0</v>
      </c>
      <c r="T746" s="66">
        <v>0</v>
      </c>
      <c r="U746" s="66">
        <v>0</v>
      </c>
      <c r="V746" s="66" t="s">
        <v>685</v>
      </c>
      <c r="W746" s="66" t="s">
        <v>685</v>
      </c>
      <c r="X746" s="66" t="s">
        <v>685</v>
      </c>
      <c r="Y746" s="66" t="s">
        <v>685</v>
      </c>
      <c r="Z746" s="66" t="s">
        <v>685</v>
      </c>
      <c r="AA746" s="66" t="s">
        <v>685</v>
      </c>
      <c r="AB746" s="66">
        <v>0</v>
      </c>
      <c r="AC746" s="66">
        <v>0</v>
      </c>
    </row>
    <row r="747" spans="1:29">
      <c r="A747" s="43" t="s">
        <v>554</v>
      </c>
      <c r="B747" s="43" t="s">
        <v>95</v>
      </c>
      <c r="G747" s="73">
        <v>4.9939999999999998</v>
      </c>
      <c r="H747" s="73">
        <v>4.95</v>
      </c>
      <c r="I747" s="73">
        <v>4.8235000000000001</v>
      </c>
      <c r="J747" s="73">
        <v>7.4634999999999998</v>
      </c>
      <c r="K747" s="73">
        <v>12.517999999999999</v>
      </c>
      <c r="L747" s="73">
        <v>12.68465</v>
      </c>
      <c r="M747" s="73">
        <v>14.972100000000001</v>
      </c>
      <c r="N747" s="73">
        <v>17.921750000000003</v>
      </c>
      <c r="O747" s="73">
        <v>23.527899999999999</v>
      </c>
      <c r="P747" s="73">
        <v>38.734000000000002</v>
      </c>
      <c r="Q747" s="73">
        <f>(1225*0.055)+(6.8*0.11)+(178.8*0.065)</f>
        <v>79.745000000000005</v>
      </c>
      <c r="R747" s="50">
        <f>(1446*0.055)+(3.68*0.11)+(192*0.065)</f>
        <v>92.4148</v>
      </c>
      <c r="S747" s="50">
        <f>(1483.1*0.055)+(12.45*0.11)+(206.4*0.065)+(12.5*0.02)</f>
        <v>96.605999999999995</v>
      </c>
      <c r="T747" s="66">
        <f>(1497.4*0.055)+(17.41*0.11)+(132*0.065)+(35.7*0.02)</f>
        <v>93.566099999999992</v>
      </c>
      <c r="U747" s="66">
        <f>(1368.48*0.055)+(15.71*0.11)+(47.63*0.065)+(30.5*0.02)</f>
        <v>80.700450000000004</v>
      </c>
      <c r="V747" s="66">
        <f>(1495.35*0.055)+(10.05*0.11)+(11.98*0.065)+(40.98*0.02)</f>
        <v>84.948049999999995</v>
      </c>
      <c r="W747" s="66">
        <f>(1096.01*0.055)+(21.96*0.11)+(48.77*0.065)+(1.36*0.02)</f>
        <v>65.893399999999986</v>
      </c>
      <c r="X747" s="66">
        <f>(1066.1*0.055)+(37.37*0.11)+(36*0.065)+(15.52*0.02)</f>
        <v>65.396599999999992</v>
      </c>
      <c r="Y747" s="66">
        <f>(1084.66*0.055)+(59.45*0.11)+(36*0.065)</f>
        <v>68.535800000000009</v>
      </c>
      <c r="Z747" s="66">
        <f>(1179.62*0.055)+(5.44*0.11)+(48*0.065)+(10.88*0.02)</f>
        <v>68.815100000000001</v>
      </c>
      <c r="AA747" s="66">
        <f>(1263.81*0.055)+(0.55*0.02)</f>
        <v>69.52055</v>
      </c>
      <c r="AB747" s="66">
        <f>1026*0.055</f>
        <v>56.43</v>
      </c>
      <c r="AC747" s="66">
        <f>1027.1484*0.055</f>
        <v>56.493162000000005</v>
      </c>
    </row>
    <row r="748" spans="1:29">
      <c r="A748" s="43" t="s">
        <v>554</v>
      </c>
      <c r="B748" s="43" t="s">
        <v>825</v>
      </c>
      <c r="Q748" s="73">
        <v>0</v>
      </c>
      <c r="R748" s="50">
        <v>0</v>
      </c>
      <c r="S748" s="50">
        <f>58.8*0.11</f>
        <v>6.468</v>
      </c>
      <c r="T748" s="66">
        <v>0</v>
      </c>
      <c r="U748" s="66">
        <v>0</v>
      </c>
      <c r="V748" s="66">
        <v>0</v>
      </c>
      <c r="W748" s="66">
        <v>0</v>
      </c>
      <c r="X748" s="66">
        <v>0</v>
      </c>
      <c r="Y748" s="66">
        <v>0</v>
      </c>
      <c r="Z748" s="66">
        <v>0</v>
      </c>
      <c r="AA748" s="66">
        <f>380*0.11</f>
        <v>41.8</v>
      </c>
      <c r="AB748" s="66">
        <f>385*0.11</f>
        <v>42.35</v>
      </c>
      <c r="AC748" s="66">
        <v>0</v>
      </c>
    </row>
    <row r="749" spans="1:29">
      <c r="A749" s="43" t="s">
        <v>554</v>
      </c>
      <c r="B749" s="43" t="s">
        <v>574</v>
      </c>
      <c r="G749" s="72">
        <v>0</v>
      </c>
      <c r="H749" s="72">
        <v>0</v>
      </c>
      <c r="I749" s="72">
        <v>0</v>
      </c>
      <c r="J749" s="72">
        <v>0</v>
      </c>
      <c r="K749" s="72">
        <v>0</v>
      </c>
      <c r="L749" s="72">
        <v>0</v>
      </c>
      <c r="M749" s="72">
        <v>0</v>
      </c>
      <c r="N749" s="73">
        <v>0</v>
      </c>
      <c r="O749" s="73">
        <v>0</v>
      </c>
      <c r="P749" s="73">
        <v>0</v>
      </c>
      <c r="Q749" s="73">
        <v>0</v>
      </c>
      <c r="R749" s="50">
        <v>0</v>
      </c>
      <c r="S749" s="50">
        <v>0</v>
      </c>
      <c r="T749" s="66">
        <v>0</v>
      </c>
      <c r="U749" s="66">
        <v>0</v>
      </c>
      <c r="V749" s="66">
        <v>0</v>
      </c>
      <c r="W749" s="66">
        <v>0</v>
      </c>
      <c r="X749" s="66">
        <v>0</v>
      </c>
      <c r="Y749" s="66">
        <v>0</v>
      </c>
      <c r="Z749" s="66">
        <v>0</v>
      </c>
      <c r="AA749" s="66">
        <v>0</v>
      </c>
      <c r="AB749" s="66">
        <v>0</v>
      </c>
      <c r="AC749" s="66">
        <v>0</v>
      </c>
    </row>
    <row r="750" spans="1:29">
      <c r="A750" s="43" t="s">
        <v>554</v>
      </c>
      <c r="B750" s="43" t="s">
        <v>535</v>
      </c>
      <c r="G750" s="72">
        <v>0</v>
      </c>
      <c r="H750" s="72">
        <v>0</v>
      </c>
      <c r="I750" s="72">
        <v>0</v>
      </c>
      <c r="J750" s="72">
        <v>0</v>
      </c>
      <c r="K750" s="72">
        <v>0</v>
      </c>
      <c r="L750" s="72">
        <v>0</v>
      </c>
      <c r="M750" s="72">
        <v>0</v>
      </c>
      <c r="N750" s="73">
        <v>0</v>
      </c>
      <c r="O750" s="73">
        <v>0</v>
      </c>
      <c r="P750" s="73">
        <v>0</v>
      </c>
      <c r="Q750" s="73">
        <v>0</v>
      </c>
      <c r="R750" s="50">
        <v>0</v>
      </c>
      <c r="S750" s="50">
        <v>0</v>
      </c>
      <c r="T750" s="66">
        <v>0</v>
      </c>
      <c r="U750" s="66">
        <v>0</v>
      </c>
      <c r="V750" s="66">
        <v>0</v>
      </c>
      <c r="W750" s="66">
        <v>0</v>
      </c>
      <c r="X750" s="66">
        <v>0</v>
      </c>
      <c r="Y750" s="66">
        <v>0</v>
      </c>
      <c r="Z750" s="66">
        <v>0</v>
      </c>
      <c r="AA750" s="66">
        <v>0</v>
      </c>
      <c r="AB750" s="66">
        <v>0</v>
      </c>
      <c r="AC750" s="66">
        <v>0</v>
      </c>
    </row>
    <row r="751" spans="1:29">
      <c r="A751" s="43" t="s">
        <v>416</v>
      </c>
      <c r="B751" s="43" t="s">
        <v>752</v>
      </c>
    </row>
    <row r="752" spans="1:29">
      <c r="A752" s="43" t="s">
        <v>416</v>
      </c>
      <c r="B752" s="43" t="s">
        <v>663</v>
      </c>
    </row>
    <row r="753" spans="1:29">
      <c r="A753" s="43" t="s">
        <v>416</v>
      </c>
      <c r="B753" s="43" t="s">
        <v>243</v>
      </c>
    </row>
    <row r="754" spans="1:29">
      <c r="A754" s="43" t="s">
        <v>416</v>
      </c>
      <c r="B754" s="43" t="s">
        <v>95</v>
      </c>
    </row>
    <row r="755" spans="1:29">
      <c r="A755" s="43" t="s">
        <v>416</v>
      </c>
      <c r="B755" s="43" t="s">
        <v>825</v>
      </c>
    </row>
    <row r="756" spans="1:29">
      <c r="A756" s="43" t="s">
        <v>416</v>
      </c>
      <c r="B756" s="43" t="s">
        <v>574</v>
      </c>
    </row>
    <row r="757" spans="1:29">
      <c r="A757" s="43" t="s">
        <v>416</v>
      </c>
      <c r="B757" s="43" t="s">
        <v>535</v>
      </c>
    </row>
    <row r="758" spans="1:29">
      <c r="A758" s="43" t="s">
        <v>417</v>
      </c>
      <c r="B758" s="43" t="s">
        <v>752</v>
      </c>
      <c r="G758" s="72">
        <v>17.23</v>
      </c>
      <c r="H758" s="72">
        <v>13.84</v>
      </c>
      <c r="I758" s="72">
        <v>16.43</v>
      </c>
      <c r="J758" s="72">
        <v>43.35</v>
      </c>
      <c r="K758" s="72">
        <v>17.43</v>
      </c>
      <c r="L758" s="72">
        <v>19.98</v>
      </c>
      <c r="M758" s="72">
        <v>14.4</v>
      </c>
      <c r="N758" s="73">
        <v>11.97</v>
      </c>
      <c r="O758" s="73">
        <v>9.2420000000000009</v>
      </c>
      <c r="P758" s="73">
        <v>0</v>
      </c>
      <c r="Q758" s="73">
        <v>0</v>
      </c>
      <c r="R758" s="50">
        <v>0</v>
      </c>
      <c r="S758" s="50">
        <v>0</v>
      </c>
      <c r="T758" s="66" t="s">
        <v>685</v>
      </c>
      <c r="U758" s="66" t="s">
        <v>685</v>
      </c>
      <c r="V758" s="66" t="s">
        <v>685</v>
      </c>
      <c r="W758" s="66" t="s">
        <v>685</v>
      </c>
      <c r="X758" s="66" t="s">
        <v>685</v>
      </c>
      <c r="Y758" s="66" t="s">
        <v>685</v>
      </c>
      <c r="Z758" s="66" t="s">
        <v>685</v>
      </c>
      <c r="AA758" s="66">
        <v>0</v>
      </c>
      <c r="AB758" s="66">
        <v>0</v>
      </c>
      <c r="AC758" s="66">
        <v>0</v>
      </c>
    </row>
    <row r="759" spans="1:29">
      <c r="A759" s="43" t="s">
        <v>417</v>
      </c>
      <c r="B759" s="43" t="s">
        <v>663</v>
      </c>
      <c r="G759" s="72">
        <v>0</v>
      </c>
      <c r="H759" s="72">
        <v>0</v>
      </c>
      <c r="I759" s="72">
        <v>0</v>
      </c>
      <c r="J759" s="72">
        <v>0</v>
      </c>
      <c r="K759" s="72">
        <v>0</v>
      </c>
      <c r="L759" s="72">
        <v>0</v>
      </c>
      <c r="M759" s="72">
        <v>0</v>
      </c>
      <c r="N759" s="73">
        <v>0</v>
      </c>
      <c r="O759" s="73">
        <v>0</v>
      </c>
      <c r="P759" s="73">
        <v>0</v>
      </c>
      <c r="Q759" s="73">
        <v>0</v>
      </c>
      <c r="R759" s="50">
        <v>0</v>
      </c>
      <c r="S759" s="50">
        <v>0</v>
      </c>
      <c r="T759" s="66" t="s">
        <v>685</v>
      </c>
      <c r="U759" s="66" t="s">
        <v>685</v>
      </c>
      <c r="V759" s="66" t="s">
        <v>685</v>
      </c>
      <c r="W759" s="66" t="s">
        <v>685</v>
      </c>
      <c r="X759" s="66" t="s">
        <v>685</v>
      </c>
      <c r="Y759" s="66" t="s">
        <v>685</v>
      </c>
      <c r="Z759" s="66" t="s">
        <v>685</v>
      </c>
      <c r="AA759" s="66">
        <v>0</v>
      </c>
      <c r="AB759" s="66">
        <v>0</v>
      </c>
      <c r="AC759" s="66">
        <v>0</v>
      </c>
    </row>
    <row r="760" spans="1:29">
      <c r="A760" s="43" t="s">
        <v>417</v>
      </c>
      <c r="B760" s="43" t="s">
        <v>243</v>
      </c>
      <c r="G760" s="72">
        <v>0</v>
      </c>
      <c r="H760" s="72">
        <v>0</v>
      </c>
      <c r="I760" s="72">
        <v>0</v>
      </c>
      <c r="J760" s="72">
        <v>0</v>
      </c>
      <c r="K760" s="72">
        <v>0</v>
      </c>
      <c r="L760" s="72">
        <v>0</v>
      </c>
      <c r="M760" s="72">
        <v>0</v>
      </c>
      <c r="N760" s="73">
        <v>0</v>
      </c>
      <c r="O760" s="73">
        <v>0</v>
      </c>
      <c r="P760" s="73">
        <v>0</v>
      </c>
      <c r="Q760" s="73">
        <v>0</v>
      </c>
      <c r="R760" s="50">
        <v>0</v>
      </c>
      <c r="S760" s="50">
        <v>0</v>
      </c>
      <c r="T760" s="66" t="s">
        <v>685</v>
      </c>
      <c r="U760" s="66" t="s">
        <v>685</v>
      </c>
      <c r="V760" s="66" t="s">
        <v>685</v>
      </c>
      <c r="W760" s="66" t="s">
        <v>685</v>
      </c>
      <c r="X760" s="66" t="s">
        <v>685</v>
      </c>
      <c r="Y760" s="66" t="s">
        <v>685</v>
      </c>
      <c r="Z760" s="66" t="s">
        <v>685</v>
      </c>
      <c r="AA760" s="66">
        <v>0</v>
      </c>
      <c r="AB760" s="66">
        <v>0</v>
      </c>
      <c r="AC760" s="66">
        <v>0</v>
      </c>
    </row>
    <row r="761" spans="1:29">
      <c r="A761" s="43" t="s">
        <v>417</v>
      </c>
      <c r="B761" s="43" t="s">
        <v>95</v>
      </c>
      <c r="G761" s="73">
        <v>0</v>
      </c>
      <c r="H761" s="73">
        <v>0</v>
      </c>
      <c r="I761" s="73">
        <v>0</v>
      </c>
      <c r="J761" s="73">
        <v>0</v>
      </c>
      <c r="K761" s="73">
        <v>0</v>
      </c>
      <c r="L761" s="73">
        <v>1.518</v>
      </c>
      <c r="M761" s="73">
        <v>0</v>
      </c>
      <c r="N761" s="73">
        <v>0.66495000000000004</v>
      </c>
      <c r="O761" s="73">
        <v>2.1230000000000002</v>
      </c>
      <c r="P761" s="73">
        <v>2.8214999999999999</v>
      </c>
      <c r="Q761" s="73">
        <v>1.1605000000000001</v>
      </c>
      <c r="R761" s="50">
        <f>12.9*0.055</f>
        <v>0.70950000000000002</v>
      </c>
      <c r="S761" s="50">
        <f>23.8*0.055</f>
        <v>1.3089999999999999</v>
      </c>
      <c r="T761" s="66">
        <f>34.2*0.055</f>
        <v>1.8810000000000002</v>
      </c>
      <c r="U761" s="66">
        <f>18.05*0.055</f>
        <v>0.99275000000000002</v>
      </c>
      <c r="V761" s="66">
        <f>13.8*0.055</f>
        <v>0.75900000000000001</v>
      </c>
      <c r="W761" s="66">
        <f>14.9*0.055</f>
        <v>0.81950000000000001</v>
      </c>
      <c r="X761" s="66">
        <f>3.4558*0.055</f>
        <v>0.19006899999999999</v>
      </c>
      <c r="Y761" s="66">
        <f>(0.5*0.055)+(0.1*0.11)</f>
        <v>3.85E-2</v>
      </c>
      <c r="Z761" s="66">
        <f>5.576*0.055</f>
        <v>0.30668000000000001</v>
      </c>
      <c r="AA761" s="66">
        <f>9.6832*0.055</f>
        <v>0.53257599999999994</v>
      </c>
      <c r="AB761" s="66">
        <f>10.1048*0.055</f>
        <v>0.55576399999999992</v>
      </c>
      <c r="AC761" s="66">
        <f>9.8464*0.055</f>
        <v>0.54155199999999992</v>
      </c>
    </row>
    <row r="762" spans="1:29">
      <c r="A762" s="43" t="s">
        <v>417</v>
      </c>
      <c r="B762" s="43" t="s">
        <v>825</v>
      </c>
      <c r="Q762" s="73">
        <v>0</v>
      </c>
      <c r="R762" s="50">
        <v>0</v>
      </c>
      <c r="S762" s="50">
        <v>0</v>
      </c>
      <c r="T762" s="66">
        <v>0</v>
      </c>
      <c r="U762" s="66">
        <v>0</v>
      </c>
      <c r="V762" s="66">
        <v>0</v>
      </c>
      <c r="W762" s="66">
        <v>0</v>
      </c>
      <c r="X762" s="66">
        <v>0</v>
      </c>
      <c r="Y762" s="66">
        <v>0</v>
      </c>
      <c r="Z762" s="66">
        <v>0</v>
      </c>
      <c r="AA762" s="66">
        <v>0</v>
      </c>
      <c r="AB762" s="66">
        <v>0</v>
      </c>
      <c r="AC762" s="66">
        <v>0</v>
      </c>
    </row>
    <row r="763" spans="1:29">
      <c r="A763" s="43" t="s">
        <v>417</v>
      </c>
      <c r="B763" s="43" t="s">
        <v>574</v>
      </c>
      <c r="G763" s="72">
        <v>0</v>
      </c>
      <c r="H763" s="72">
        <v>0</v>
      </c>
      <c r="I763" s="72">
        <v>0</v>
      </c>
      <c r="J763" s="72">
        <v>0</v>
      </c>
      <c r="K763" s="72">
        <v>0</v>
      </c>
      <c r="L763" s="72">
        <v>0</v>
      </c>
      <c r="M763" s="72">
        <v>0</v>
      </c>
      <c r="N763" s="73">
        <v>0</v>
      </c>
      <c r="O763" s="73">
        <v>0</v>
      </c>
      <c r="P763" s="73">
        <v>0</v>
      </c>
      <c r="Q763" s="73">
        <v>0</v>
      </c>
      <c r="R763" s="50">
        <v>0</v>
      </c>
      <c r="S763" s="50">
        <v>0</v>
      </c>
      <c r="T763" s="66">
        <v>0</v>
      </c>
      <c r="U763" s="66">
        <v>0</v>
      </c>
      <c r="V763" s="66">
        <v>0</v>
      </c>
      <c r="W763" s="66">
        <v>0</v>
      </c>
      <c r="X763" s="66">
        <v>0</v>
      </c>
      <c r="Y763" s="66">
        <v>0</v>
      </c>
      <c r="Z763" s="66">
        <v>0</v>
      </c>
      <c r="AA763" s="66">
        <v>0</v>
      </c>
      <c r="AB763" s="66">
        <v>0</v>
      </c>
      <c r="AC763" s="66">
        <v>0</v>
      </c>
    </row>
    <row r="764" spans="1:29">
      <c r="A764" s="43" t="s">
        <v>417</v>
      </c>
      <c r="B764" s="43" t="s">
        <v>535</v>
      </c>
      <c r="G764" s="72">
        <v>0</v>
      </c>
      <c r="H764" s="72">
        <v>0</v>
      </c>
      <c r="I764" s="72">
        <v>0</v>
      </c>
      <c r="J764" s="72">
        <v>0</v>
      </c>
      <c r="K764" s="72">
        <v>0</v>
      </c>
      <c r="L764" s="72">
        <v>0</v>
      </c>
      <c r="M764" s="72">
        <v>0</v>
      </c>
      <c r="N764" s="73">
        <v>0</v>
      </c>
      <c r="O764" s="73">
        <v>0</v>
      </c>
      <c r="P764" s="73">
        <v>0</v>
      </c>
      <c r="Q764" s="73">
        <v>0</v>
      </c>
      <c r="R764" s="50">
        <v>0</v>
      </c>
      <c r="S764" s="50">
        <v>0</v>
      </c>
      <c r="T764" s="66">
        <v>0</v>
      </c>
      <c r="U764" s="66">
        <v>0</v>
      </c>
      <c r="V764" s="66">
        <v>0</v>
      </c>
      <c r="W764" s="66">
        <v>0</v>
      </c>
      <c r="X764" s="66">
        <v>0</v>
      </c>
      <c r="Y764" s="66">
        <v>0</v>
      </c>
      <c r="Z764" s="66">
        <v>0</v>
      </c>
      <c r="AA764" s="66">
        <v>0</v>
      </c>
      <c r="AB764" s="66">
        <v>0</v>
      </c>
      <c r="AC764" s="66">
        <v>0</v>
      </c>
    </row>
    <row r="765" spans="1:29">
      <c r="A765" s="67" t="s">
        <v>396</v>
      </c>
      <c r="B765" s="67" t="s">
        <v>752</v>
      </c>
      <c r="C765" s="72">
        <v>558.20000000000005</v>
      </c>
      <c r="D765" s="72">
        <v>762.8</v>
      </c>
      <c r="E765" s="72">
        <v>720.68</v>
      </c>
      <c r="F765" s="72">
        <v>585.85</v>
      </c>
      <c r="G765" s="72">
        <v>338.1</v>
      </c>
      <c r="H765" s="72">
        <v>360.62</v>
      </c>
      <c r="I765" s="72">
        <v>192.74</v>
      </c>
      <c r="J765" s="72">
        <v>359.38</v>
      </c>
      <c r="K765" s="72">
        <v>362.07</v>
      </c>
      <c r="N765" s="72"/>
    </row>
    <row r="766" spans="1:29">
      <c r="A766" s="67" t="s">
        <v>396</v>
      </c>
      <c r="B766" s="67" t="s">
        <v>663</v>
      </c>
      <c r="C766" s="72">
        <v>-1584</v>
      </c>
      <c r="D766" s="72">
        <v>540.1</v>
      </c>
      <c r="E766" s="72">
        <v>-198.55</v>
      </c>
      <c r="F766" s="72">
        <v>1949.2</v>
      </c>
      <c r="G766" s="72">
        <v>-693.55</v>
      </c>
      <c r="H766" s="72">
        <v>-149.77600000000001</v>
      </c>
      <c r="I766" s="72">
        <v>14.96</v>
      </c>
      <c r="J766" s="72">
        <v>-25.3</v>
      </c>
      <c r="K766" s="72">
        <v>200.01</v>
      </c>
      <c r="N766" s="72"/>
    </row>
    <row r="767" spans="1:29">
      <c r="A767" s="67" t="s">
        <v>396</v>
      </c>
      <c r="B767" s="67" t="s">
        <v>243</v>
      </c>
      <c r="C767" s="72">
        <v>0</v>
      </c>
      <c r="D767" s="72">
        <v>0</v>
      </c>
      <c r="E767" s="72">
        <v>0.68</v>
      </c>
      <c r="F767" s="72">
        <v>1.1100000000000001</v>
      </c>
      <c r="G767" s="72">
        <v>0</v>
      </c>
      <c r="H767" s="72">
        <v>1.81</v>
      </c>
      <c r="I767" s="72">
        <v>0</v>
      </c>
      <c r="J767" s="72">
        <v>0</v>
      </c>
      <c r="K767" s="72">
        <v>0</v>
      </c>
      <c r="N767" s="72"/>
    </row>
    <row r="768" spans="1:29">
      <c r="A768" s="67" t="s">
        <v>396</v>
      </c>
      <c r="B768" s="67" t="s">
        <v>95</v>
      </c>
      <c r="C768" s="72">
        <v>13.1395</v>
      </c>
      <c r="D768" s="72">
        <v>5.665</v>
      </c>
      <c r="E768" s="72">
        <v>27.442799999999998</v>
      </c>
      <c r="F768" s="72">
        <v>34.917999999999999</v>
      </c>
      <c r="G768" s="72">
        <v>31.515999999999998</v>
      </c>
      <c r="H768" s="72">
        <v>26.744</v>
      </c>
      <c r="I768" s="72">
        <v>11.003</v>
      </c>
      <c r="J768" s="72">
        <v>18.104500000000002</v>
      </c>
      <c r="K768" s="72">
        <v>20.437000000000001</v>
      </c>
      <c r="N768" s="72"/>
    </row>
    <row r="769" spans="1:29">
      <c r="A769" s="67" t="s">
        <v>396</v>
      </c>
      <c r="B769" s="43" t="s">
        <v>825</v>
      </c>
    </row>
    <row r="770" spans="1:29">
      <c r="A770" s="67" t="s">
        <v>396</v>
      </c>
      <c r="B770" s="67" t="s">
        <v>574</v>
      </c>
      <c r="C770" s="72">
        <v>172.02</v>
      </c>
      <c r="D770" s="72">
        <v>118.8</v>
      </c>
      <c r="E770" s="72">
        <v>71.099999999999994</v>
      </c>
      <c r="F770" s="72">
        <v>102.63</v>
      </c>
      <c r="G770" s="72">
        <v>33.6</v>
      </c>
      <c r="H770" s="72">
        <v>61.2</v>
      </c>
      <c r="I770" s="72">
        <v>18.07</v>
      </c>
      <c r="J770" s="72">
        <v>70.92</v>
      </c>
      <c r="K770" s="72">
        <v>64.63</v>
      </c>
      <c r="N770" s="72"/>
    </row>
    <row r="771" spans="1:29">
      <c r="A771" s="67" t="s">
        <v>396</v>
      </c>
      <c r="B771" s="67" t="s">
        <v>535</v>
      </c>
      <c r="C771" s="72">
        <v>6.05</v>
      </c>
      <c r="D771" s="72">
        <v>12.9</v>
      </c>
      <c r="E771" s="72">
        <v>2.9359999999999999</v>
      </c>
      <c r="F771" s="72">
        <v>2.3E-2</v>
      </c>
      <c r="G771" s="72">
        <v>1.9E-2</v>
      </c>
      <c r="H771" s="72">
        <v>2.3E-2</v>
      </c>
      <c r="I771" s="72">
        <v>1.2E-2</v>
      </c>
      <c r="J771" s="72">
        <v>0</v>
      </c>
      <c r="K771" s="72">
        <v>0</v>
      </c>
      <c r="N771" s="72"/>
    </row>
    <row r="772" spans="1:29">
      <c r="A772" s="68" t="s">
        <v>773</v>
      </c>
      <c r="B772" s="68" t="s">
        <v>752</v>
      </c>
      <c r="M772" s="72">
        <v>12.3</v>
      </c>
      <c r="N772" s="73">
        <v>12.01</v>
      </c>
      <c r="O772" s="73">
        <v>4.0999999999999996</v>
      </c>
      <c r="P772" s="73">
        <v>1.181</v>
      </c>
      <c r="Q772" s="73">
        <v>0</v>
      </c>
      <c r="R772" s="50">
        <v>0</v>
      </c>
      <c r="S772" s="50">
        <v>0</v>
      </c>
      <c r="T772" s="66" t="s">
        <v>685</v>
      </c>
      <c r="U772" s="66" t="s">
        <v>685</v>
      </c>
      <c r="V772" s="66" t="s">
        <v>685</v>
      </c>
      <c r="W772" s="66" t="s">
        <v>685</v>
      </c>
      <c r="X772" s="66" t="s">
        <v>685</v>
      </c>
      <c r="Y772" s="66" t="s">
        <v>685</v>
      </c>
      <c r="Z772" s="66" t="s">
        <v>685</v>
      </c>
      <c r="AA772" s="66">
        <v>0</v>
      </c>
      <c r="AB772" s="66">
        <v>0</v>
      </c>
      <c r="AC772" s="66">
        <v>0</v>
      </c>
    </row>
    <row r="773" spans="1:29">
      <c r="A773" s="68" t="s">
        <v>773</v>
      </c>
      <c r="B773" s="68" t="s">
        <v>663</v>
      </c>
      <c r="M773" s="72">
        <v>0</v>
      </c>
      <c r="N773" s="73">
        <v>0</v>
      </c>
      <c r="O773" s="73">
        <v>0</v>
      </c>
      <c r="P773" s="73">
        <v>0</v>
      </c>
      <c r="Q773" s="73">
        <v>0</v>
      </c>
      <c r="R773" s="50">
        <v>0</v>
      </c>
      <c r="S773" s="50">
        <v>0</v>
      </c>
      <c r="T773" s="66" t="s">
        <v>685</v>
      </c>
      <c r="U773" s="66" t="s">
        <v>685</v>
      </c>
      <c r="V773" s="66" t="s">
        <v>685</v>
      </c>
      <c r="W773" s="66" t="s">
        <v>685</v>
      </c>
      <c r="X773" s="66" t="s">
        <v>685</v>
      </c>
      <c r="Y773" s="66" t="s">
        <v>685</v>
      </c>
      <c r="Z773" s="66" t="s">
        <v>685</v>
      </c>
      <c r="AA773" s="66">
        <v>0</v>
      </c>
      <c r="AB773" s="66">
        <v>0</v>
      </c>
      <c r="AC773" s="66">
        <v>0</v>
      </c>
    </row>
    <row r="774" spans="1:29">
      <c r="A774" s="68" t="s">
        <v>773</v>
      </c>
      <c r="B774" s="43" t="s">
        <v>243</v>
      </c>
      <c r="M774" s="72">
        <v>0</v>
      </c>
      <c r="N774" s="73">
        <v>0</v>
      </c>
      <c r="O774" s="73">
        <v>0</v>
      </c>
      <c r="P774" s="73">
        <v>0</v>
      </c>
      <c r="Q774" s="73">
        <v>0</v>
      </c>
      <c r="R774" s="50">
        <v>0</v>
      </c>
      <c r="S774" s="50">
        <v>0</v>
      </c>
      <c r="T774" s="66" t="s">
        <v>685</v>
      </c>
      <c r="U774" s="66" t="s">
        <v>685</v>
      </c>
      <c r="V774" s="66" t="s">
        <v>685</v>
      </c>
      <c r="W774" s="66" t="s">
        <v>685</v>
      </c>
      <c r="X774" s="66" t="s">
        <v>685</v>
      </c>
      <c r="Y774" s="66" t="s">
        <v>685</v>
      </c>
      <c r="Z774" s="66" t="s">
        <v>685</v>
      </c>
      <c r="AA774" s="66">
        <v>0</v>
      </c>
      <c r="AB774" s="66">
        <v>0</v>
      </c>
      <c r="AC774" s="66">
        <v>0</v>
      </c>
    </row>
    <row r="775" spans="1:29">
      <c r="A775" s="68" t="s">
        <v>773</v>
      </c>
      <c r="B775" s="43" t="s">
        <v>95</v>
      </c>
      <c r="M775" s="73">
        <v>0.99329999999999996</v>
      </c>
      <c r="N775" s="73">
        <v>1.0449999999999999</v>
      </c>
      <c r="O775" s="73">
        <v>1.3859999999999999</v>
      </c>
      <c r="P775" s="73">
        <v>1.7269999999999999</v>
      </c>
      <c r="Q775" s="73">
        <f>(62.34*0.055)+(1.47*0.11)+(1.98*0.065)+(3*0.02)</f>
        <v>3.7791000000000001</v>
      </c>
      <c r="R775" s="50">
        <f>74.29*0.055</f>
        <v>4.0859500000000004</v>
      </c>
      <c r="S775" s="50">
        <f>(79.8*0.055)+(3.8*0.11)+(7.25*0.065)+(10.01*0.02)</f>
        <v>5.4784500000000005</v>
      </c>
      <c r="T775" s="66">
        <f>(57.8*0.055)+(2.2*0.065)+(5.8*0.02)</f>
        <v>3.4380000000000002</v>
      </c>
      <c r="U775" s="66">
        <f>56*0.055</f>
        <v>3.08</v>
      </c>
      <c r="V775" s="66">
        <f>(47.6*0.055)+(5.1*0.11)+(1.58*0.065)</f>
        <v>3.2816999999999998</v>
      </c>
      <c r="W775" s="66">
        <f>(57*0.055)+(2*0.11)+(2.2*0.065)+(5.8*0.02)</f>
        <v>3.6140000000000003</v>
      </c>
      <c r="X775" s="66">
        <f>(32.9*0.055)+(2.5*0.065)</f>
        <v>1.972</v>
      </c>
      <c r="Y775" s="66">
        <f>(30.85*0.055)+(5.7*0.11)+(2.1*0.065)</f>
        <v>2.4602499999999998</v>
      </c>
      <c r="Z775" s="66">
        <f>(37.86*0.055)+(0.07*0.11)+(0.1*0.065)</f>
        <v>2.0964999999999998</v>
      </c>
      <c r="AA775" s="66">
        <f>34.4*0.055</f>
        <v>1.8919999999999999</v>
      </c>
      <c r="AB775" s="66">
        <f>31.05*0.055</f>
        <v>1.7077500000000001</v>
      </c>
      <c r="AC775" s="66">
        <f>27.75*0.055</f>
        <v>1.5262500000000001</v>
      </c>
    </row>
    <row r="776" spans="1:29">
      <c r="A776" s="68" t="s">
        <v>773</v>
      </c>
      <c r="B776" s="43" t="s">
        <v>825</v>
      </c>
      <c r="Q776" s="73">
        <v>0</v>
      </c>
      <c r="R776" s="50">
        <v>0</v>
      </c>
      <c r="S776" s="50">
        <v>0</v>
      </c>
      <c r="T776" s="66">
        <v>0</v>
      </c>
      <c r="U776" s="66">
        <v>0</v>
      </c>
      <c r="V776" s="66">
        <v>0</v>
      </c>
      <c r="W776" s="66">
        <v>0</v>
      </c>
      <c r="X776" s="66">
        <f>7.2*0.11</f>
        <v>0.79200000000000004</v>
      </c>
      <c r="Y776" s="66">
        <v>0</v>
      </c>
      <c r="Z776" s="66">
        <v>0</v>
      </c>
      <c r="AA776" s="66">
        <v>0</v>
      </c>
      <c r="AB776" s="66">
        <v>0</v>
      </c>
      <c r="AC776" s="66">
        <v>0</v>
      </c>
    </row>
    <row r="777" spans="1:29">
      <c r="A777" s="68" t="s">
        <v>773</v>
      </c>
      <c r="B777" s="43" t="s">
        <v>574</v>
      </c>
      <c r="M777" s="72">
        <v>0</v>
      </c>
      <c r="N777" s="73">
        <v>0</v>
      </c>
      <c r="O777" s="73">
        <v>0</v>
      </c>
      <c r="P777" s="73">
        <v>0</v>
      </c>
      <c r="Q777" s="73">
        <v>0</v>
      </c>
      <c r="R777" s="50">
        <v>0</v>
      </c>
      <c r="S777" s="50">
        <v>0</v>
      </c>
      <c r="T777" s="66">
        <v>0</v>
      </c>
      <c r="U777" s="66">
        <v>0</v>
      </c>
      <c r="V777" s="66">
        <v>0</v>
      </c>
      <c r="W777" s="66">
        <v>0</v>
      </c>
      <c r="X777" s="66">
        <v>0</v>
      </c>
      <c r="Y777" s="66">
        <v>0</v>
      </c>
      <c r="Z777" s="66">
        <v>0</v>
      </c>
      <c r="AA777" s="66">
        <v>0</v>
      </c>
      <c r="AB777" s="66">
        <v>0</v>
      </c>
      <c r="AC777" s="66">
        <v>0</v>
      </c>
    </row>
    <row r="778" spans="1:29">
      <c r="A778" s="68" t="s">
        <v>773</v>
      </c>
      <c r="B778" s="68" t="s">
        <v>535</v>
      </c>
      <c r="M778" s="72">
        <v>0</v>
      </c>
      <c r="N778" s="73">
        <v>0</v>
      </c>
      <c r="O778" s="73">
        <v>0</v>
      </c>
      <c r="P778" s="73">
        <v>0</v>
      </c>
      <c r="Q778" s="73">
        <v>0</v>
      </c>
      <c r="R778" s="50">
        <v>0</v>
      </c>
      <c r="S778" s="50">
        <v>0</v>
      </c>
      <c r="T778" s="66">
        <v>0</v>
      </c>
      <c r="U778" s="66">
        <v>0</v>
      </c>
      <c r="V778" s="66">
        <v>0</v>
      </c>
      <c r="W778" s="66">
        <v>0</v>
      </c>
      <c r="X778" s="66">
        <v>0</v>
      </c>
      <c r="Y778" s="66">
        <v>0</v>
      </c>
      <c r="Z778" s="66">
        <v>0</v>
      </c>
      <c r="AA778" s="66">
        <v>0</v>
      </c>
      <c r="AB778" s="66">
        <v>0</v>
      </c>
      <c r="AC778" s="66">
        <v>0</v>
      </c>
    </row>
    <row r="779" spans="1:29">
      <c r="A779" s="43" t="s">
        <v>559</v>
      </c>
      <c r="B779" s="43" t="s">
        <v>752</v>
      </c>
      <c r="C779" s="72">
        <v>4.1079999999999997</v>
      </c>
      <c r="D779" s="72">
        <v>3.4119999999999999</v>
      </c>
      <c r="E779" s="72">
        <v>3.56</v>
      </c>
      <c r="F779" s="72">
        <v>1.6339999999999999</v>
      </c>
      <c r="G779" s="72">
        <v>2.484</v>
      </c>
      <c r="H779" s="72">
        <v>7.02</v>
      </c>
      <c r="I779" s="72">
        <v>6.62</v>
      </c>
      <c r="J779" s="72">
        <v>5.33</v>
      </c>
      <c r="K779" s="72">
        <v>2.78</v>
      </c>
      <c r="L779" s="72">
        <v>3.3279999999999998</v>
      </c>
      <c r="M779" s="72">
        <v>1.484</v>
      </c>
      <c r="N779" s="73">
        <v>0.57200000000000006</v>
      </c>
      <c r="O779" s="73">
        <v>0.08</v>
      </c>
      <c r="P779" s="73">
        <v>0</v>
      </c>
      <c r="Q779" s="73">
        <v>0</v>
      </c>
      <c r="R779" s="50">
        <v>0</v>
      </c>
      <c r="S779" s="50">
        <v>0</v>
      </c>
      <c r="T779" s="66" t="s">
        <v>685</v>
      </c>
      <c r="U779" s="66" t="s">
        <v>685</v>
      </c>
      <c r="V779" s="66" t="s">
        <v>685</v>
      </c>
      <c r="W779" s="66" t="s">
        <v>685</v>
      </c>
      <c r="X779" s="66" t="s">
        <v>685</v>
      </c>
      <c r="Y779" s="66" t="s">
        <v>685</v>
      </c>
      <c r="Z779" s="66" t="s">
        <v>685</v>
      </c>
      <c r="AA779" s="66">
        <v>0</v>
      </c>
      <c r="AB779" s="66">
        <v>0</v>
      </c>
      <c r="AC779" s="66">
        <v>0</v>
      </c>
    </row>
    <row r="780" spans="1:29">
      <c r="A780" s="43" t="s">
        <v>559</v>
      </c>
      <c r="B780" s="43" t="s">
        <v>663</v>
      </c>
      <c r="C780" s="72">
        <v>0</v>
      </c>
      <c r="D780" s="72">
        <v>0</v>
      </c>
      <c r="E780" s="72">
        <v>0</v>
      </c>
      <c r="F780" s="72">
        <v>0</v>
      </c>
      <c r="G780" s="72">
        <v>0</v>
      </c>
      <c r="H780" s="72">
        <v>0</v>
      </c>
      <c r="I780" s="72">
        <v>0</v>
      </c>
      <c r="J780" s="72">
        <v>0</v>
      </c>
      <c r="K780" s="72">
        <v>0</v>
      </c>
      <c r="L780" s="72">
        <v>0</v>
      </c>
      <c r="M780" s="72">
        <v>0</v>
      </c>
      <c r="N780" s="73">
        <v>0</v>
      </c>
      <c r="O780" s="73">
        <v>0</v>
      </c>
      <c r="P780" s="73">
        <v>0</v>
      </c>
      <c r="Q780" s="73">
        <v>0</v>
      </c>
      <c r="R780" s="50">
        <v>0</v>
      </c>
      <c r="S780" s="50">
        <v>0</v>
      </c>
      <c r="T780" s="66" t="s">
        <v>685</v>
      </c>
      <c r="U780" s="66" t="s">
        <v>685</v>
      </c>
      <c r="V780" s="66" t="s">
        <v>685</v>
      </c>
      <c r="W780" s="66" t="s">
        <v>685</v>
      </c>
      <c r="X780" s="66" t="s">
        <v>685</v>
      </c>
      <c r="Y780" s="66" t="s">
        <v>685</v>
      </c>
      <c r="Z780" s="66" t="s">
        <v>685</v>
      </c>
      <c r="AA780" s="66">
        <v>0</v>
      </c>
      <c r="AB780" s="66">
        <v>0</v>
      </c>
      <c r="AC780" s="66">
        <v>0</v>
      </c>
    </row>
    <row r="781" spans="1:29">
      <c r="A781" s="43" t="s">
        <v>559</v>
      </c>
      <c r="B781" s="43" t="s">
        <v>243</v>
      </c>
      <c r="C781" s="72">
        <v>0</v>
      </c>
      <c r="D781" s="72">
        <v>0</v>
      </c>
      <c r="E781" s="72">
        <v>0</v>
      </c>
      <c r="F781" s="72">
        <v>0</v>
      </c>
      <c r="G781" s="72">
        <v>0</v>
      </c>
      <c r="H781" s="72">
        <v>0</v>
      </c>
      <c r="I781" s="72">
        <v>0</v>
      </c>
      <c r="J781" s="72">
        <v>0</v>
      </c>
      <c r="K781" s="72">
        <v>0</v>
      </c>
      <c r="L781" s="72">
        <v>0</v>
      </c>
      <c r="M781" s="72">
        <v>0</v>
      </c>
      <c r="N781" s="73">
        <v>0</v>
      </c>
      <c r="O781" s="73">
        <v>0</v>
      </c>
      <c r="P781" s="73">
        <v>0</v>
      </c>
      <c r="Q781" s="73">
        <v>0</v>
      </c>
      <c r="R781" s="50">
        <v>0</v>
      </c>
      <c r="S781" s="50">
        <v>0</v>
      </c>
      <c r="T781" s="66" t="s">
        <v>685</v>
      </c>
      <c r="U781" s="66" t="s">
        <v>685</v>
      </c>
      <c r="V781" s="66" t="s">
        <v>685</v>
      </c>
      <c r="W781" s="66" t="s">
        <v>685</v>
      </c>
      <c r="X781" s="66" t="s">
        <v>685</v>
      </c>
      <c r="Y781" s="66" t="s">
        <v>685</v>
      </c>
      <c r="Z781" s="66" t="s">
        <v>685</v>
      </c>
      <c r="AA781" s="66">
        <v>0</v>
      </c>
      <c r="AB781" s="66">
        <v>0</v>
      </c>
      <c r="AC781" s="66">
        <v>0</v>
      </c>
    </row>
    <row r="782" spans="1:29">
      <c r="A782" s="43" t="s">
        <v>559</v>
      </c>
      <c r="B782" s="43" t="s">
        <v>95</v>
      </c>
      <c r="C782" s="73">
        <v>0.15839999999999999</v>
      </c>
      <c r="D782" s="73">
        <v>0.15839999999999999</v>
      </c>
      <c r="E782" s="73">
        <v>0.14795</v>
      </c>
      <c r="F782" s="73">
        <v>0.13585</v>
      </c>
      <c r="G782" s="73">
        <v>0.14960000000000001</v>
      </c>
      <c r="H782" s="73">
        <v>0.50049999999999994</v>
      </c>
      <c r="I782" s="73">
        <v>0.60499999999999998</v>
      </c>
      <c r="J782" s="73">
        <v>0.6875</v>
      </c>
      <c r="K782" s="73">
        <v>0.42075000000000001</v>
      </c>
      <c r="L782" s="73">
        <v>0.49114999999999998</v>
      </c>
      <c r="M782" s="73">
        <v>0.18315000000000001</v>
      </c>
      <c r="N782" s="73">
        <v>0.51864999999999994</v>
      </c>
      <c r="O782" s="73">
        <v>0.53460000000000008</v>
      </c>
      <c r="P782" s="73">
        <v>0.40865000000000001</v>
      </c>
      <c r="Q782" s="73">
        <f>7.64*0.055</f>
        <v>0.42019999999999996</v>
      </c>
      <c r="R782" s="50">
        <f>10.2*0.055</f>
        <v>0.56099999999999994</v>
      </c>
      <c r="S782" s="50">
        <f>8.83*0.055</f>
        <v>0.48565000000000003</v>
      </c>
      <c r="T782" s="66">
        <f>6.83*0.055</f>
        <v>0.37564999999999998</v>
      </c>
      <c r="U782" s="66">
        <f>5.81*0.055</f>
        <v>0.31955</v>
      </c>
      <c r="V782" s="66">
        <f>8.47*0.055</f>
        <v>0.46585000000000004</v>
      </c>
      <c r="W782" s="66">
        <f>6.62*0.055</f>
        <v>0.36410000000000003</v>
      </c>
      <c r="X782" s="66">
        <f>4.74*0.055</f>
        <v>0.26069999999999999</v>
      </c>
      <c r="Y782" s="66">
        <f>3.78*0.055</f>
        <v>0.2079</v>
      </c>
      <c r="Z782" s="66">
        <f>2.04*0.055</f>
        <v>0.11220000000000001</v>
      </c>
      <c r="AA782" s="66">
        <f>0.72*0.055</f>
        <v>3.9599999999999996E-2</v>
      </c>
      <c r="AB782" s="66">
        <f>0.61*0.055</f>
        <v>3.3549999999999996E-2</v>
      </c>
      <c r="AC782" s="66">
        <f>0.68*0.055</f>
        <v>3.7400000000000003E-2</v>
      </c>
    </row>
    <row r="783" spans="1:29">
      <c r="A783" s="43" t="s">
        <v>559</v>
      </c>
      <c r="B783" s="43" t="s">
        <v>825</v>
      </c>
      <c r="Q783" s="73">
        <v>0</v>
      </c>
      <c r="R783" s="50">
        <v>0</v>
      </c>
      <c r="S783" s="50">
        <v>0</v>
      </c>
      <c r="T783" s="66">
        <v>0</v>
      </c>
      <c r="U783" s="66">
        <v>0</v>
      </c>
      <c r="V783" s="66">
        <v>0</v>
      </c>
      <c r="W783" s="66">
        <v>0</v>
      </c>
      <c r="X783" s="66">
        <v>0</v>
      </c>
      <c r="Y783" s="66">
        <v>0</v>
      </c>
      <c r="Z783" s="66">
        <v>0</v>
      </c>
      <c r="AA783" s="66">
        <v>0</v>
      </c>
      <c r="AB783" s="66">
        <v>0</v>
      </c>
      <c r="AC783" s="66">
        <v>0</v>
      </c>
    </row>
    <row r="784" spans="1:29">
      <c r="A784" s="43" t="s">
        <v>559</v>
      </c>
      <c r="B784" s="43" t="s">
        <v>574</v>
      </c>
      <c r="C784" s="72">
        <v>0.27</v>
      </c>
      <c r="D784" s="72">
        <v>0.27</v>
      </c>
      <c r="E784" s="72">
        <v>0.27</v>
      </c>
      <c r="F784" s="72">
        <v>0.27</v>
      </c>
      <c r="G784" s="72">
        <v>0.27</v>
      </c>
      <c r="H784" s="72">
        <v>0.28999999999999998</v>
      </c>
      <c r="I784" s="72">
        <v>0.42</v>
      </c>
      <c r="J784" s="72">
        <v>0.3</v>
      </c>
      <c r="K784" s="72">
        <v>0</v>
      </c>
      <c r="L784" s="72">
        <v>5.3999999999999999E-2</v>
      </c>
      <c r="M784" s="72">
        <v>8.4000000000000005E-2</v>
      </c>
      <c r="N784" s="73">
        <v>2.4E-2</v>
      </c>
      <c r="O784" s="73">
        <v>0</v>
      </c>
      <c r="P784" s="73">
        <v>0</v>
      </c>
      <c r="Q784" s="73">
        <v>0</v>
      </c>
      <c r="R784" s="50">
        <v>0</v>
      </c>
      <c r="S784" s="50">
        <v>0</v>
      </c>
      <c r="T784" s="66">
        <v>0</v>
      </c>
      <c r="U784" s="66">
        <v>0</v>
      </c>
      <c r="V784" s="66">
        <v>0</v>
      </c>
      <c r="W784" s="66">
        <v>0</v>
      </c>
      <c r="X784" s="66">
        <v>0</v>
      </c>
      <c r="Y784" s="66">
        <v>0</v>
      </c>
      <c r="Z784" s="66">
        <v>0</v>
      </c>
      <c r="AA784" s="66">
        <v>0</v>
      </c>
      <c r="AB784" s="66">
        <v>0</v>
      </c>
      <c r="AC784" s="66">
        <v>0</v>
      </c>
    </row>
    <row r="785" spans="1:30">
      <c r="A785" s="43" t="s">
        <v>559</v>
      </c>
      <c r="B785" s="43" t="s">
        <v>535</v>
      </c>
      <c r="C785" s="72">
        <v>0</v>
      </c>
      <c r="D785" s="72">
        <v>0</v>
      </c>
      <c r="E785" s="72">
        <v>0</v>
      </c>
      <c r="F785" s="72">
        <v>0</v>
      </c>
      <c r="G785" s="72">
        <v>0</v>
      </c>
      <c r="H785" s="72">
        <v>0</v>
      </c>
      <c r="I785" s="72">
        <v>0</v>
      </c>
      <c r="J785" s="72">
        <v>0</v>
      </c>
      <c r="K785" s="72">
        <v>0</v>
      </c>
      <c r="L785" s="72">
        <v>0</v>
      </c>
      <c r="M785" s="72">
        <v>0</v>
      </c>
      <c r="N785" s="73">
        <v>0</v>
      </c>
      <c r="O785" s="73">
        <v>0</v>
      </c>
      <c r="P785" s="73">
        <v>0</v>
      </c>
      <c r="Q785" s="73">
        <v>0</v>
      </c>
      <c r="R785" s="50">
        <v>0</v>
      </c>
      <c r="S785" s="50">
        <v>0</v>
      </c>
      <c r="T785" s="66">
        <v>0</v>
      </c>
      <c r="U785" s="66">
        <v>0</v>
      </c>
      <c r="V785" s="66">
        <v>0</v>
      </c>
      <c r="W785" s="66">
        <v>0</v>
      </c>
      <c r="X785" s="66">
        <v>0</v>
      </c>
      <c r="Y785" s="66">
        <v>0</v>
      </c>
      <c r="Z785" s="66">
        <v>0</v>
      </c>
      <c r="AA785" s="66">
        <v>0</v>
      </c>
      <c r="AB785" s="66">
        <v>0</v>
      </c>
      <c r="AC785" s="66">
        <v>0</v>
      </c>
    </row>
    <row r="786" spans="1:30">
      <c r="A786" s="43" t="s">
        <v>560</v>
      </c>
      <c r="B786" s="43" t="s">
        <v>752</v>
      </c>
      <c r="C786" s="72">
        <v>10.398</v>
      </c>
      <c r="D786" s="72">
        <v>10.41</v>
      </c>
      <c r="E786" s="72">
        <v>8.4860000000000007</v>
      </c>
      <c r="F786" s="72">
        <v>6.29</v>
      </c>
      <c r="G786" s="72">
        <v>3.21</v>
      </c>
      <c r="H786" s="72">
        <v>4.18</v>
      </c>
      <c r="I786" s="72">
        <v>4.07</v>
      </c>
      <c r="J786" s="72">
        <v>7.6159999999999997</v>
      </c>
      <c r="K786" s="72">
        <v>2.52</v>
      </c>
      <c r="L786" s="72">
        <v>0.33</v>
      </c>
      <c r="M786" s="72">
        <v>1.52</v>
      </c>
      <c r="N786" s="73">
        <v>0.78400000000000003</v>
      </c>
      <c r="O786" s="73">
        <v>0</v>
      </c>
      <c r="P786" s="73">
        <v>0</v>
      </c>
      <c r="Q786" s="73">
        <v>0</v>
      </c>
      <c r="R786" s="50">
        <v>0</v>
      </c>
      <c r="S786" s="50">
        <v>0</v>
      </c>
      <c r="T786" s="66" t="s">
        <v>685</v>
      </c>
      <c r="U786" s="66" t="s">
        <v>685</v>
      </c>
      <c r="V786" s="66" t="s">
        <v>685</v>
      </c>
      <c r="W786" s="66" t="s">
        <v>685</v>
      </c>
      <c r="X786" s="66" t="s">
        <v>685</v>
      </c>
      <c r="Y786" s="66" t="s">
        <v>685</v>
      </c>
      <c r="Z786" s="66" t="s">
        <v>685</v>
      </c>
      <c r="AA786" s="66">
        <v>0</v>
      </c>
      <c r="AB786" s="66">
        <v>0</v>
      </c>
      <c r="AC786" s="66">
        <v>0</v>
      </c>
    </row>
    <row r="787" spans="1:30">
      <c r="A787" s="43" t="s">
        <v>560</v>
      </c>
      <c r="B787" s="43" t="s">
        <v>663</v>
      </c>
      <c r="C787" s="72">
        <v>0</v>
      </c>
      <c r="D787" s="72">
        <v>0</v>
      </c>
      <c r="E787" s="72">
        <v>0</v>
      </c>
      <c r="F787" s="72">
        <v>0</v>
      </c>
      <c r="G787" s="72">
        <v>0</v>
      </c>
      <c r="H787" s="72">
        <v>0</v>
      </c>
      <c r="I787" s="72">
        <v>0</v>
      </c>
      <c r="J787" s="72">
        <v>0</v>
      </c>
      <c r="K787" s="72">
        <v>0</v>
      </c>
      <c r="L787" s="72">
        <v>0</v>
      </c>
      <c r="M787" s="72">
        <v>0</v>
      </c>
      <c r="N787" s="73">
        <v>0</v>
      </c>
      <c r="O787" s="73">
        <v>0</v>
      </c>
      <c r="P787" s="73">
        <v>0</v>
      </c>
      <c r="Q787" s="73">
        <v>0</v>
      </c>
      <c r="R787" s="50">
        <v>0</v>
      </c>
      <c r="S787" s="50">
        <v>0</v>
      </c>
      <c r="T787" s="66" t="s">
        <v>685</v>
      </c>
      <c r="U787" s="66" t="s">
        <v>685</v>
      </c>
      <c r="V787" s="66" t="s">
        <v>685</v>
      </c>
      <c r="W787" s="66" t="s">
        <v>685</v>
      </c>
      <c r="X787" s="66" t="s">
        <v>685</v>
      </c>
      <c r="Y787" s="66" t="s">
        <v>685</v>
      </c>
      <c r="Z787" s="66" t="s">
        <v>685</v>
      </c>
      <c r="AA787" s="66">
        <v>0</v>
      </c>
      <c r="AB787" s="66">
        <v>0</v>
      </c>
      <c r="AC787" s="66">
        <v>0</v>
      </c>
    </row>
    <row r="788" spans="1:30">
      <c r="A788" s="43" t="s">
        <v>560</v>
      </c>
      <c r="B788" s="43" t="s">
        <v>243</v>
      </c>
      <c r="C788" s="72">
        <v>0</v>
      </c>
      <c r="D788" s="72">
        <v>0</v>
      </c>
      <c r="E788" s="72">
        <v>0</v>
      </c>
      <c r="F788" s="72">
        <v>0</v>
      </c>
      <c r="G788" s="72">
        <v>0</v>
      </c>
      <c r="H788" s="72">
        <v>0</v>
      </c>
      <c r="I788" s="72">
        <v>0</v>
      </c>
      <c r="J788" s="72">
        <v>0</v>
      </c>
      <c r="K788" s="72">
        <v>0</v>
      </c>
      <c r="L788" s="72">
        <v>0</v>
      </c>
      <c r="M788" s="72">
        <v>0</v>
      </c>
      <c r="N788" s="73">
        <v>0</v>
      </c>
      <c r="O788" s="73">
        <v>0</v>
      </c>
      <c r="P788" s="73">
        <v>0</v>
      </c>
      <c r="Q788" s="73">
        <v>0</v>
      </c>
      <c r="R788" s="50">
        <v>0</v>
      </c>
      <c r="S788" s="50">
        <v>0</v>
      </c>
      <c r="T788" s="66" t="s">
        <v>685</v>
      </c>
      <c r="U788" s="66" t="s">
        <v>685</v>
      </c>
      <c r="V788" s="66" t="s">
        <v>685</v>
      </c>
      <c r="W788" s="66" t="s">
        <v>685</v>
      </c>
      <c r="X788" s="66" t="s">
        <v>685</v>
      </c>
      <c r="Y788" s="66" t="s">
        <v>685</v>
      </c>
      <c r="Z788" s="66" t="s">
        <v>685</v>
      </c>
      <c r="AA788" s="66">
        <v>0</v>
      </c>
      <c r="AB788" s="66">
        <v>0</v>
      </c>
      <c r="AC788" s="66">
        <v>0</v>
      </c>
    </row>
    <row r="789" spans="1:30">
      <c r="A789" s="43" t="s">
        <v>560</v>
      </c>
      <c r="B789" s="43" t="s">
        <v>95</v>
      </c>
      <c r="C789" s="73">
        <v>0.26674999999999999</v>
      </c>
      <c r="D789" s="73">
        <v>0.32670000000000005</v>
      </c>
      <c r="E789" s="73">
        <v>0.31295000000000001</v>
      </c>
      <c r="F789" s="73">
        <v>0.48510000000000003</v>
      </c>
      <c r="G789" s="73">
        <v>0.55659999999999998</v>
      </c>
      <c r="H789" s="73">
        <v>0.79144999999999999</v>
      </c>
      <c r="I789" s="73">
        <v>0.27885000000000004</v>
      </c>
      <c r="J789" s="73">
        <v>0.1056</v>
      </c>
      <c r="K789" s="73">
        <v>3.7949999999999998E-2</v>
      </c>
      <c r="L789" s="73">
        <v>0.10285000000000001</v>
      </c>
      <c r="M789" s="73">
        <v>0</v>
      </c>
      <c r="N789" s="73">
        <v>7.3700000000000002E-2</v>
      </c>
      <c r="O789" s="73">
        <v>0</v>
      </c>
      <c r="P789" s="73">
        <v>0.11220000000000001</v>
      </c>
      <c r="Q789" s="73">
        <f>7.55*0.055</f>
        <v>0.41525000000000001</v>
      </c>
      <c r="R789" s="50">
        <f>368.9*0.055</f>
        <v>20.2895</v>
      </c>
      <c r="S789" s="50">
        <f>19.45157*0.055</f>
        <v>1.0698363500000001</v>
      </c>
      <c r="T789" s="66">
        <f>(13.59*0.055)+(0.01*0.065)+(0.01*0.022)</f>
        <v>0.74831999999999999</v>
      </c>
      <c r="U789" s="66">
        <f>(10.24*0.055)+(0.27*0.02)</f>
        <v>0.56859999999999999</v>
      </c>
      <c r="V789" s="66">
        <f>15.13*0.055</f>
        <v>0.83215000000000006</v>
      </c>
      <c r="W789" s="66">
        <f>8.54*0.055</f>
        <v>0.46969999999999995</v>
      </c>
      <c r="X789" s="66">
        <f>11.89*0.055</f>
        <v>0.65395000000000003</v>
      </c>
      <c r="Y789" s="66">
        <f>11.62*0.055</f>
        <v>0.6391</v>
      </c>
      <c r="Z789" s="66">
        <f>11.05*0.055</f>
        <v>0.60775000000000001</v>
      </c>
      <c r="AA789" s="66">
        <f>5.62*0.055</f>
        <v>0.30909999999999999</v>
      </c>
      <c r="AB789" s="66">
        <f>0.48*0.055</f>
        <v>2.64E-2</v>
      </c>
      <c r="AC789" s="66">
        <f>4.28*0.055</f>
        <v>0.23540000000000003</v>
      </c>
    </row>
    <row r="790" spans="1:30">
      <c r="A790" s="43" t="s">
        <v>560</v>
      </c>
      <c r="B790" s="43" t="s">
        <v>825</v>
      </c>
      <c r="Q790" s="73">
        <v>0</v>
      </c>
      <c r="R790" s="50">
        <v>0</v>
      </c>
      <c r="S790" s="50">
        <v>0</v>
      </c>
      <c r="T790" s="66">
        <v>0</v>
      </c>
      <c r="U790" s="66">
        <v>0</v>
      </c>
      <c r="V790" s="66">
        <v>0</v>
      </c>
      <c r="W790" s="66">
        <v>0</v>
      </c>
      <c r="X790" s="66">
        <v>0</v>
      </c>
      <c r="Y790" s="66">
        <v>0</v>
      </c>
      <c r="Z790" s="66">
        <v>0</v>
      </c>
      <c r="AA790" s="66">
        <v>0</v>
      </c>
      <c r="AB790" s="66">
        <v>0</v>
      </c>
      <c r="AC790" s="66">
        <v>0</v>
      </c>
    </row>
    <row r="791" spans="1:30">
      <c r="A791" s="43" t="s">
        <v>560</v>
      </c>
      <c r="B791" s="43" t="s">
        <v>574</v>
      </c>
      <c r="C791" s="72">
        <v>0</v>
      </c>
      <c r="D791" s="72">
        <v>0</v>
      </c>
      <c r="E791" s="72">
        <v>0</v>
      </c>
      <c r="F791" s="72">
        <v>0</v>
      </c>
      <c r="G791" s="72">
        <v>0</v>
      </c>
      <c r="H791" s="72">
        <v>0</v>
      </c>
      <c r="I791" s="72">
        <v>0</v>
      </c>
      <c r="J791" s="72">
        <v>0</v>
      </c>
      <c r="K791" s="72">
        <v>0</v>
      </c>
      <c r="L791" s="72">
        <v>0</v>
      </c>
      <c r="M791" s="72">
        <v>0</v>
      </c>
      <c r="N791" s="73">
        <v>0</v>
      </c>
      <c r="O791" s="73">
        <v>0</v>
      </c>
      <c r="P791" s="73">
        <v>0</v>
      </c>
      <c r="Q791" s="73">
        <v>0</v>
      </c>
      <c r="R791" s="50">
        <v>0</v>
      </c>
      <c r="S791" s="50">
        <v>0</v>
      </c>
      <c r="T791" s="66">
        <v>0</v>
      </c>
      <c r="U791" s="66">
        <v>0</v>
      </c>
      <c r="V791" s="66">
        <v>0</v>
      </c>
      <c r="W791" s="66">
        <v>0</v>
      </c>
      <c r="X791" s="66">
        <v>0</v>
      </c>
      <c r="Y791" s="66">
        <v>0</v>
      </c>
      <c r="Z791" s="66">
        <v>0</v>
      </c>
      <c r="AA791" s="66">
        <v>0</v>
      </c>
      <c r="AB791" s="66">
        <v>0</v>
      </c>
      <c r="AC791" s="66">
        <v>0</v>
      </c>
    </row>
    <row r="792" spans="1:30">
      <c r="A792" s="43" t="s">
        <v>560</v>
      </c>
      <c r="B792" s="43" t="s">
        <v>535</v>
      </c>
      <c r="C792" s="72">
        <v>0</v>
      </c>
      <c r="D792" s="72">
        <v>0</v>
      </c>
      <c r="E792" s="72">
        <v>0</v>
      </c>
      <c r="F792" s="72">
        <v>0</v>
      </c>
      <c r="G792" s="72">
        <v>0</v>
      </c>
      <c r="H792" s="72">
        <v>0</v>
      </c>
      <c r="I792" s="72">
        <v>0</v>
      </c>
      <c r="J792" s="72">
        <v>0</v>
      </c>
      <c r="K792" s="72">
        <v>0</v>
      </c>
      <c r="L792" s="72">
        <v>0</v>
      </c>
      <c r="M792" s="72">
        <v>0</v>
      </c>
      <c r="N792" s="73">
        <v>0</v>
      </c>
      <c r="O792" s="73">
        <v>0</v>
      </c>
      <c r="P792" s="73">
        <v>0</v>
      </c>
      <c r="Q792" s="73">
        <v>0</v>
      </c>
      <c r="R792" s="50">
        <v>0</v>
      </c>
      <c r="S792" s="50">
        <v>0</v>
      </c>
      <c r="T792" s="66">
        <v>0</v>
      </c>
      <c r="U792" s="66">
        <v>0</v>
      </c>
      <c r="V792" s="66">
        <v>0</v>
      </c>
      <c r="W792" s="66">
        <v>0</v>
      </c>
      <c r="X792" s="66">
        <v>0</v>
      </c>
      <c r="Y792" s="66">
        <v>0</v>
      </c>
      <c r="Z792" s="66">
        <v>0</v>
      </c>
      <c r="AA792" s="66">
        <v>0</v>
      </c>
      <c r="AB792" s="66">
        <v>0</v>
      </c>
      <c r="AC792" s="66">
        <v>0</v>
      </c>
    </row>
    <row r="793" spans="1:30">
      <c r="A793" s="43" t="s">
        <v>561</v>
      </c>
      <c r="B793" s="43" t="s">
        <v>752</v>
      </c>
      <c r="C793" s="72">
        <v>2.2999999999999998</v>
      </c>
      <c r="D793" s="72">
        <v>2.2999999999999998</v>
      </c>
      <c r="E793" s="72">
        <v>2.2000000000000002</v>
      </c>
      <c r="F793" s="72">
        <v>2.2999999999999998</v>
      </c>
      <c r="G793" s="72">
        <v>10</v>
      </c>
      <c r="H793" s="72">
        <v>6</v>
      </c>
      <c r="I793" s="72">
        <v>6.02</v>
      </c>
      <c r="J793" s="72">
        <v>6.78</v>
      </c>
      <c r="K793" s="72">
        <v>3.07</v>
      </c>
      <c r="L793" s="72">
        <v>2.0840000000000001</v>
      </c>
      <c r="M793" s="72">
        <v>1.032</v>
      </c>
      <c r="N793" s="73">
        <v>0.49</v>
      </c>
      <c r="O793" s="73">
        <v>0.16</v>
      </c>
      <c r="P793" s="73">
        <v>0</v>
      </c>
      <c r="Q793" s="73">
        <v>0</v>
      </c>
      <c r="R793" s="50">
        <v>0</v>
      </c>
      <c r="S793" s="50">
        <v>0</v>
      </c>
      <c r="T793" s="66">
        <v>0</v>
      </c>
      <c r="U793" s="66" t="s">
        <v>685</v>
      </c>
      <c r="V793" s="66" t="s">
        <v>685</v>
      </c>
      <c r="W793" s="66" t="s">
        <v>685</v>
      </c>
      <c r="X793" s="66" t="s">
        <v>685</v>
      </c>
      <c r="Y793" s="66" t="s">
        <v>685</v>
      </c>
      <c r="Z793" s="66" t="s">
        <v>685</v>
      </c>
      <c r="AA793" s="66">
        <v>0</v>
      </c>
      <c r="AB793" s="66">
        <v>0</v>
      </c>
      <c r="AC793" s="66">
        <v>0</v>
      </c>
    </row>
    <row r="794" spans="1:30">
      <c r="A794" s="43" t="s">
        <v>561</v>
      </c>
      <c r="B794" s="43" t="s">
        <v>663</v>
      </c>
      <c r="C794" s="72">
        <v>0</v>
      </c>
      <c r="D794" s="72">
        <v>0</v>
      </c>
      <c r="E794" s="72">
        <v>0</v>
      </c>
      <c r="F794" s="72">
        <v>0</v>
      </c>
      <c r="G794" s="72">
        <v>0</v>
      </c>
      <c r="H794" s="72">
        <v>0</v>
      </c>
      <c r="I794" s="72">
        <v>0</v>
      </c>
      <c r="J794" s="72">
        <v>0</v>
      </c>
      <c r="K794" s="72">
        <v>0</v>
      </c>
      <c r="L794" s="72">
        <v>0</v>
      </c>
      <c r="M794" s="72">
        <v>0</v>
      </c>
      <c r="N794" s="73">
        <v>0</v>
      </c>
      <c r="O794" s="73">
        <v>0</v>
      </c>
      <c r="P794" s="73">
        <v>0</v>
      </c>
      <c r="Q794" s="73">
        <v>0</v>
      </c>
      <c r="R794" s="50">
        <v>0</v>
      </c>
      <c r="S794" s="50">
        <v>0</v>
      </c>
      <c r="T794" s="66">
        <v>0</v>
      </c>
      <c r="U794" s="66" t="s">
        <v>685</v>
      </c>
      <c r="V794" s="66" t="s">
        <v>685</v>
      </c>
      <c r="W794" s="66" t="s">
        <v>685</v>
      </c>
      <c r="X794" s="66" t="s">
        <v>685</v>
      </c>
      <c r="Y794" s="66" t="s">
        <v>685</v>
      </c>
      <c r="Z794" s="66" t="s">
        <v>685</v>
      </c>
      <c r="AA794" s="66">
        <v>0</v>
      </c>
      <c r="AB794" s="66">
        <v>0</v>
      </c>
      <c r="AC794" s="66">
        <v>0</v>
      </c>
    </row>
    <row r="795" spans="1:30">
      <c r="A795" s="43" t="s">
        <v>561</v>
      </c>
      <c r="B795" s="43" t="s">
        <v>243</v>
      </c>
      <c r="C795" s="72">
        <v>0</v>
      </c>
      <c r="D795" s="72">
        <v>0</v>
      </c>
      <c r="E795" s="72">
        <v>0</v>
      </c>
      <c r="F795" s="72">
        <v>0</v>
      </c>
      <c r="G795" s="72">
        <v>0</v>
      </c>
      <c r="H795" s="72">
        <v>0</v>
      </c>
      <c r="I795" s="72">
        <v>0</v>
      </c>
      <c r="J795" s="72">
        <v>0</v>
      </c>
      <c r="K795" s="72">
        <v>0</v>
      </c>
      <c r="L795" s="72">
        <v>0</v>
      </c>
      <c r="M795" s="72">
        <v>0</v>
      </c>
      <c r="N795" s="73">
        <v>0</v>
      </c>
      <c r="O795" s="73">
        <v>0</v>
      </c>
      <c r="P795" s="73">
        <v>0</v>
      </c>
      <c r="Q795" s="73">
        <v>0</v>
      </c>
      <c r="R795" s="50">
        <v>0</v>
      </c>
      <c r="S795" s="50">
        <v>0</v>
      </c>
      <c r="T795" s="66">
        <v>0</v>
      </c>
      <c r="U795" s="66" t="s">
        <v>685</v>
      </c>
      <c r="V795" s="66" t="s">
        <v>685</v>
      </c>
      <c r="W795" s="66" t="s">
        <v>685</v>
      </c>
      <c r="X795" s="66" t="s">
        <v>685</v>
      </c>
      <c r="Y795" s="66" t="s">
        <v>685</v>
      </c>
      <c r="Z795" s="66" t="s">
        <v>685</v>
      </c>
      <c r="AA795" s="66">
        <v>0</v>
      </c>
      <c r="AB795" s="66">
        <v>0</v>
      </c>
      <c r="AC795" s="66">
        <v>0</v>
      </c>
    </row>
    <row r="796" spans="1:30">
      <c r="A796" s="43" t="s">
        <v>561</v>
      </c>
      <c r="B796" s="43" t="s">
        <v>95</v>
      </c>
      <c r="C796" s="73">
        <v>0.18975</v>
      </c>
      <c r="D796" s="73">
        <v>2.75E-2</v>
      </c>
      <c r="E796" s="73">
        <v>0.13750000000000001</v>
      </c>
      <c r="F796" s="73">
        <v>0.18975</v>
      </c>
      <c r="G796" s="73">
        <v>0.50049999999999994</v>
      </c>
      <c r="H796" s="73">
        <v>2.0900000000000002E-2</v>
      </c>
      <c r="I796" s="73">
        <v>1.7049999999999999E-2</v>
      </c>
      <c r="J796" s="73">
        <v>0.40975</v>
      </c>
      <c r="K796" s="73">
        <v>0.28049999999999997</v>
      </c>
      <c r="L796" s="73">
        <v>0.81125000000000003</v>
      </c>
      <c r="M796" s="73">
        <v>0.52195000000000003</v>
      </c>
      <c r="N796" s="73">
        <v>0.1144</v>
      </c>
      <c r="O796" s="50">
        <v>3.0250000000000003E-2</v>
      </c>
      <c r="P796" s="73">
        <v>0.10504999999999999</v>
      </c>
      <c r="Q796" s="73">
        <v>0.40975</v>
      </c>
      <c r="R796" s="50">
        <f>2.81*0.055</f>
        <v>0.15454999999999999</v>
      </c>
      <c r="S796" s="50">
        <f>5.389*0.055</f>
        <v>0.29639500000000002</v>
      </c>
      <c r="T796" s="66">
        <f>5*0.055</f>
        <v>0.27500000000000002</v>
      </c>
      <c r="U796" s="66">
        <f>3.3*0.055</f>
        <v>0.18149999999999999</v>
      </c>
      <c r="V796" s="66">
        <f>1.65*0.055</f>
        <v>9.0749999999999997E-2</v>
      </c>
      <c r="W796" s="66">
        <f>0.48*0.055</f>
        <v>2.64E-2</v>
      </c>
      <c r="X796" s="66">
        <f>0.56*0.055</f>
        <v>3.0800000000000004E-2</v>
      </c>
      <c r="Y796" s="66">
        <f>0.59*0.055</f>
        <v>3.245E-2</v>
      </c>
      <c r="Z796" s="66">
        <f>0.4*0.055</f>
        <v>2.2000000000000002E-2</v>
      </c>
      <c r="AA796" s="66">
        <f>0.41*0.055</f>
        <v>2.2549999999999997E-2</v>
      </c>
      <c r="AB796" s="66">
        <f>0.11*0.055</f>
        <v>6.0499999999999998E-3</v>
      </c>
      <c r="AC796" s="76">
        <f>0.03*0.055</f>
        <v>1.65E-3</v>
      </c>
      <c r="AD796" s="76"/>
    </row>
    <row r="797" spans="1:30">
      <c r="A797" s="43" t="s">
        <v>561</v>
      </c>
      <c r="B797" s="43" t="s">
        <v>825</v>
      </c>
      <c r="Q797" s="73">
        <v>0</v>
      </c>
      <c r="R797" s="50">
        <v>0</v>
      </c>
      <c r="S797" s="50">
        <v>0</v>
      </c>
      <c r="T797" s="66">
        <v>0</v>
      </c>
      <c r="U797" s="66">
        <v>0</v>
      </c>
      <c r="V797" s="66">
        <v>0</v>
      </c>
      <c r="W797" s="66">
        <v>0</v>
      </c>
      <c r="X797" s="66">
        <v>0</v>
      </c>
      <c r="Y797" s="66">
        <v>0</v>
      </c>
      <c r="Z797" s="66">
        <v>0</v>
      </c>
      <c r="AA797" s="66">
        <v>0</v>
      </c>
      <c r="AB797" s="66">
        <v>0</v>
      </c>
      <c r="AC797" s="66">
        <v>0</v>
      </c>
    </row>
    <row r="798" spans="1:30">
      <c r="A798" s="43" t="s">
        <v>561</v>
      </c>
      <c r="B798" s="43" t="s">
        <v>574</v>
      </c>
      <c r="C798" s="72">
        <v>0</v>
      </c>
      <c r="D798" s="72">
        <v>0</v>
      </c>
      <c r="E798" s="72">
        <v>0</v>
      </c>
      <c r="F798" s="72">
        <v>0</v>
      </c>
      <c r="G798" s="72">
        <v>0</v>
      </c>
      <c r="H798" s="72">
        <v>0</v>
      </c>
      <c r="I798" s="72">
        <v>0</v>
      </c>
      <c r="J798" s="72">
        <v>0</v>
      </c>
      <c r="K798" s="72">
        <v>0</v>
      </c>
      <c r="L798" s="72">
        <v>0</v>
      </c>
      <c r="M798" s="72">
        <v>0</v>
      </c>
      <c r="N798" s="73">
        <v>0</v>
      </c>
      <c r="O798" s="73">
        <v>0</v>
      </c>
      <c r="P798" s="73">
        <v>0</v>
      </c>
      <c r="Q798" s="73">
        <v>0</v>
      </c>
      <c r="R798" s="50">
        <v>0</v>
      </c>
      <c r="S798" s="50">
        <v>0</v>
      </c>
      <c r="T798" s="66">
        <v>0</v>
      </c>
      <c r="U798" s="66">
        <v>0</v>
      </c>
      <c r="V798" s="66">
        <v>0</v>
      </c>
      <c r="W798" s="66">
        <v>0</v>
      </c>
      <c r="X798" s="66">
        <v>0</v>
      </c>
      <c r="Y798" s="66">
        <v>0</v>
      </c>
      <c r="Z798" s="66">
        <v>0</v>
      </c>
      <c r="AA798" s="66">
        <v>0</v>
      </c>
      <c r="AB798" s="66">
        <v>0</v>
      </c>
      <c r="AC798" s="66">
        <v>0</v>
      </c>
    </row>
    <row r="799" spans="1:30">
      <c r="A799" s="43" t="s">
        <v>561</v>
      </c>
      <c r="B799" s="43" t="s">
        <v>535</v>
      </c>
      <c r="C799" s="72">
        <v>0</v>
      </c>
      <c r="D799" s="72">
        <v>0</v>
      </c>
      <c r="E799" s="72">
        <v>0</v>
      </c>
      <c r="F799" s="72">
        <v>0</v>
      </c>
      <c r="G799" s="72">
        <v>0</v>
      </c>
      <c r="H799" s="72">
        <v>0</v>
      </c>
      <c r="I799" s="72">
        <v>0</v>
      </c>
      <c r="J799" s="72">
        <v>0</v>
      </c>
      <c r="K799" s="72">
        <v>0</v>
      </c>
      <c r="L799" s="72">
        <v>0</v>
      </c>
      <c r="M799" s="72">
        <v>0</v>
      </c>
      <c r="N799" s="73">
        <v>0</v>
      </c>
      <c r="O799" s="73">
        <v>0</v>
      </c>
      <c r="P799" s="73">
        <v>0</v>
      </c>
      <c r="Q799" s="73">
        <v>0</v>
      </c>
      <c r="R799" s="50">
        <v>0</v>
      </c>
      <c r="S799" s="50">
        <v>0</v>
      </c>
      <c r="T799" s="66">
        <v>0</v>
      </c>
      <c r="U799" s="66">
        <v>0</v>
      </c>
      <c r="V799" s="66">
        <v>0</v>
      </c>
      <c r="W799" s="66">
        <v>0</v>
      </c>
      <c r="X799" s="66">
        <v>0</v>
      </c>
      <c r="Y799" s="66">
        <v>0</v>
      </c>
      <c r="Z799" s="66">
        <v>0</v>
      </c>
      <c r="AA799" s="66">
        <v>0</v>
      </c>
      <c r="AB799" s="66">
        <v>0</v>
      </c>
      <c r="AC799" s="66">
        <v>0</v>
      </c>
    </row>
    <row r="800" spans="1:30">
      <c r="A800" s="43" t="s">
        <v>389</v>
      </c>
      <c r="B800" s="43" t="s">
        <v>752</v>
      </c>
      <c r="G800" s="72">
        <v>6.07</v>
      </c>
      <c r="H800" s="72">
        <v>0.64</v>
      </c>
      <c r="I800" s="72">
        <v>1.99</v>
      </c>
      <c r="J800" s="72">
        <v>2.2000000000000002</v>
      </c>
      <c r="N800" s="73">
        <v>0</v>
      </c>
      <c r="O800" s="73">
        <v>0</v>
      </c>
      <c r="P800" s="73">
        <v>0</v>
      </c>
      <c r="Q800" s="73">
        <v>0</v>
      </c>
      <c r="R800" s="50">
        <v>0</v>
      </c>
      <c r="S800" s="50">
        <v>0</v>
      </c>
      <c r="T800" s="66" t="s">
        <v>685</v>
      </c>
      <c r="U800" s="66" t="s">
        <v>685</v>
      </c>
      <c r="V800" s="66" t="s">
        <v>685</v>
      </c>
      <c r="W800" s="66" t="s">
        <v>685</v>
      </c>
      <c r="X800" s="66" t="s">
        <v>685</v>
      </c>
      <c r="Y800" s="66" t="s">
        <v>685</v>
      </c>
      <c r="Z800" s="66" t="s">
        <v>685</v>
      </c>
      <c r="AA800" s="66">
        <v>0</v>
      </c>
      <c r="AB800" s="66">
        <v>0</v>
      </c>
      <c r="AC800" s="66">
        <v>0</v>
      </c>
    </row>
    <row r="801" spans="1:29">
      <c r="A801" s="43" t="s">
        <v>389</v>
      </c>
      <c r="B801" s="43" t="s">
        <v>663</v>
      </c>
      <c r="G801" s="72">
        <v>0</v>
      </c>
      <c r="H801" s="72">
        <v>0</v>
      </c>
      <c r="I801" s="72">
        <v>0</v>
      </c>
      <c r="J801" s="72">
        <v>0</v>
      </c>
      <c r="N801" s="73">
        <v>0</v>
      </c>
      <c r="O801" s="73">
        <v>0</v>
      </c>
      <c r="P801" s="73">
        <v>0</v>
      </c>
      <c r="Q801" s="73">
        <v>0</v>
      </c>
      <c r="R801" s="50">
        <v>0</v>
      </c>
      <c r="S801" s="50">
        <v>0</v>
      </c>
      <c r="T801" s="66" t="s">
        <v>685</v>
      </c>
      <c r="U801" s="66" t="s">
        <v>685</v>
      </c>
      <c r="V801" s="66" t="s">
        <v>685</v>
      </c>
      <c r="W801" s="66" t="s">
        <v>685</v>
      </c>
      <c r="X801" s="66" t="s">
        <v>685</v>
      </c>
      <c r="Y801" s="66" t="s">
        <v>685</v>
      </c>
      <c r="Z801" s="66" t="s">
        <v>685</v>
      </c>
      <c r="AA801" s="66">
        <v>0</v>
      </c>
      <c r="AB801" s="66">
        <v>0</v>
      </c>
      <c r="AC801" s="66">
        <v>0</v>
      </c>
    </row>
    <row r="802" spans="1:29">
      <c r="A802" s="43" t="s">
        <v>389</v>
      </c>
      <c r="B802" s="43" t="s">
        <v>243</v>
      </c>
      <c r="G802" s="72">
        <v>0</v>
      </c>
      <c r="H802" s="72">
        <v>0</v>
      </c>
      <c r="I802" s="72">
        <v>0</v>
      </c>
      <c r="J802" s="72">
        <v>0</v>
      </c>
      <c r="N802" s="73">
        <v>0</v>
      </c>
      <c r="O802" s="73">
        <v>0</v>
      </c>
      <c r="P802" s="73">
        <v>0</v>
      </c>
      <c r="Q802" s="73">
        <v>0</v>
      </c>
      <c r="R802" s="50">
        <v>0</v>
      </c>
      <c r="S802" s="50">
        <v>0</v>
      </c>
      <c r="T802" s="66" t="s">
        <v>685</v>
      </c>
      <c r="U802" s="66" t="s">
        <v>685</v>
      </c>
      <c r="V802" s="66" t="s">
        <v>685</v>
      </c>
      <c r="W802" s="66" t="s">
        <v>685</v>
      </c>
      <c r="X802" s="66" t="s">
        <v>685</v>
      </c>
      <c r="Y802" s="66" t="s">
        <v>685</v>
      </c>
      <c r="Z802" s="66" t="s">
        <v>685</v>
      </c>
      <c r="AA802" s="66">
        <v>0</v>
      </c>
      <c r="AB802" s="66">
        <v>0</v>
      </c>
      <c r="AC802" s="66">
        <v>0</v>
      </c>
    </row>
    <row r="803" spans="1:29">
      <c r="A803" s="43" t="s">
        <v>389</v>
      </c>
      <c r="B803" s="43" t="s">
        <v>95</v>
      </c>
      <c r="G803" s="73">
        <v>0.31734999999999997</v>
      </c>
      <c r="H803" s="73">
        <v>5.8850000000000006E-2</v>
      </c>
      <c r="I803" s="73">
        <v>0.26839999999999997</v>
      </c>
      <c r="J803" s="73">
        <v>0.43065000000000003</v>
      </c>
      <c r="N803" s="73">
        <v>0.308</v>
      </c>
      <c r="O803" s="73">
        <v>0.17380000000000001</v>
      </c>
      <c r="P803" s="73">
        <v>0.154</v>
      </c>
      <c r="Q803" s="73">
        <f>3.5*0.055</f>
        <v>0.1925</v>
      </c>
      <c r="R803" s="50">
        <f>5.7*0.055</f>
        <v>0.3135</v>
      </c>
      <c r="S803" s="50">
        <f>5.2*0.055</f>
        <v>0.28600000000000003</v>
      </c>
      <c r="T803" s="66">
        <f>2.31*0.055</f>
        <v>0.12705</v>
      </c>
      <c r="U803" s="66">
        <f>1.97*0.055</f>
        <v>0.10835</v>
      </c>
      <c r="V803" s="66">
        <f>1.496*0.055</f>
        <v>8.2280000000000006E-2</v>
      </c>
      <c r="W803" s="66">
        <f>1.265*0.055</f>
        <v>6.9574999999999998E-2</v>
      </c>
      <c r="X803" s="66">
        <f>1.05*0.055</f>
        <v>5.7750000000000003E-2</v>
      </c>
      <c r="Y803" s="66">
        <f>1.3464*0.055</f>
        <v>7.4052000000000007E-2</v>
      </c>
      <c r="Z803" s="66">
        <f>0.2312*0.055</f>
        <v>1.2716E-2</v>
      </c>
      <c r="AA803" s="66">
        <f>0.1904*0.055</f>
        <v>1.0472E-2</v>
      </c>
      <c r="AB803" s="66">
        <f>0.7752*0.055</f>
        <v>4.2636E-2</v>
      </c>
      <c r="AC803" s="66">
        <f>0.1224*0.055</f>
        <v>6.7320000000000001E-3</v>
      </c>
    </row>
    <row r="804" spans="1:29">
      <c r="A804" s="43" t="s">
        <v>389</v>
      </c>
      <c r="B804" s="43" t="s">
        <v>825</v>
      </c>
      <c r="Q804" s="73">
        <v>0</v>
      </c>
      <c r="R804" s="50">
        <v>0</v>
      </c>
      <c r="S804" s="50">
        <v>0</v>
      </c>
      <c r="T804" s="66">
        <v>0</v>
      </c>
      <c r="U804" s="66">
        <v>0</v>
      </c>
      <c r="V804" s="66">
        <v>0</v>
      </c>
      <c r="W804" s="66">
        <v>0</v>
      </c>
      <c r="X804" s="66">
        <v>0</v>
      </c>
      <c r="Y804" s="66">
        <v>0</v>
      </c>
      <c r="Z804" s="66">
        <v>0</v>
      </c>
      <c r="AA804" s="66">
        <v>0</v>
      </c>
      <c r="AB804" s="66">
        <v>0</v>
      </c>
      <c r="AC804" s="66">
        <v>0</v>
      </c>
    </row>
    <row r="805" spans="1:29">
      <c r="A805" s="43" t="s">
        <v>389</v>
      </c>
      <c r="B805" s="43" t="s">
        <v>574</v>
      </c>
      <c r="G805" s="72">
        <v>0</v>
      </c>
      <c r="H805" s="72">
        <v>0</v>
      </c>
      <c r="I805" s="72">
        <v>0</v>
      </c>
      <c r="J805" s="72">
        <v>0</v>
      </c>
      <c r="N805" s="73">
        <v>0</v>
      </c>
      <c r="O805" s="73">
        <v>0</v>
      </c>
      <c r="P805" s="73">
        <v>0</v>
      </c>
      <c r="Q805" s="73">
        <v>0</v>
      </c>
      <c r="R805" s="50">
        <v>0</v>
      </c>
      <c r="S805" s="50">
        <v>0</v>
      </c>
      <c r="T805" s="66">
        <v>0</v>
      </c>
      <c r="U805" s="66">
        <v>0</v>
      </c>
      <c r="V805" s="66">
        <v>0</v>
      </c>
      <c r="W805" s="66">
        <v>0</v>
      </c>
      <c r="X805" s="66">
        <v>0</v>
      </c>
      <c r="Y805" s="66">
        <v>0</v>
      </c>
      <c r="Z805" s="66">
        <v>0</v>
      </c>
      <c r="AA805" s="66">
        <v>0</v>
      </c>
      <c r="AB805" s="66">
        <v>0</v>
      </c>
      <c r="AC805" s="66">
        <v>0</v>
      </c>
    </row>
    <row r="806" spans="1:29">
      <c r="A806" s="43" t="s">
        <v>389</v>
      </c>
      <c r="B806" s="43" t="s">
        <v>535</v>
      </c>
      <c r="G806" s="72">
        <v>0</v>
      </c>
      <c r="H806" s="72">
        <v>0</v>
      </c>
      <c r="I806" s="72">
        <v>0</v>
      </c>
      <c r="J806" s="72">
        <v>0</v>
      </c>
      <c r="N806" s="73">
        <v>0</v>
      </c>
      <c r="O806" s="73">
        <v>0</v>
      </c>
      <c r="P806" s="73">
        <v>0</v>
      </c>
      <c r="Q806" s="73">
        <v>0</v>
      </c>
      <c r="R806" s="50">
        <v>0</v>
      </c>
      <c r="S806" s="50">
        <v>0</v>
      </c>
      <c r="T806" s="66">
        <v>0</v>
      </c>
      <c r="U806" s="66">
        <v>0</v>
      </c>
      <c r="V806" s="66">
        <v>0</v>
      </c>
      <c r="W806" s="66">
        <v>0</v>
      </c>
      <c r="X806" s="66">
        <v>0</v>
      </c>
      <c r="Y806" s="66">
        <v>0</v>
      </c>
      <c r="Z806" s="66">
        <v>0</v>
      </c>
      <c r="AA806" s="66">
        <v>0</v>
      </c>
      <c r="AB806" s="66">
        <v>0</v>
      </c>
      <c r="AC806" s="66">
        <v>0</v>
      </c>
    </row>
    <row r="807" spans="1:29">
      <c r="A807" s="68" t="s">
        <v>774</v>
      </c>
      <c r="B807" s="68" t="s">
        <v>752</v>
      </c>
      <c r="M807" s="72">
        <v>2.25</v>
      </c>
      <c r="N807" s="73">
        <v>1.65</v>
      </c>
      <c r="O807" s="73">
        <v>0.4</v>
      </c>
      <c r="Q807" s="73">
        <v>0</v>
      </c>
      <c r="R807" s="50">
        <v>0</v>
      </c>
      <c r="S807" s="50">
        <v>0</v>
      </c>
      <c r="T807" s="66" t="s">
        <v>685</v>
      </c>
      <c r="U807" s="66" t="s">
        <v>685</v>
      </c>
      <c r="V807" s="66" t="s">
        <v>685</v>
      </c>
      <c r="W807" s="66" t="s">
        <v>685</v>
      </c>
      <c r="X807" s="66" t="s">
        <v>685</v>
      </c>
      <c r="Y807" s="66" t="s">
        <v>685</v>
      </c>
      <c r="Z807" s="66" t="s">
        <v>685</v>
      </c>
      <c r="AA807" s="66">
        <v>0</v>
      </c>
      <c r="AB807" s="66">
        <v>0</v>
      </c>
      <c r="AC807" s="66">
        <v>0</v>
      </c>
    </row>
    <row r="808" spans="1:29">
      <c r="A808" s="68" t="s">
        <v>774</v>
      </c>
      <c r="B808" s="68" t="s">
        <v>663</v>
      </c>
      <c r="M808" s="72">
        <v>0</v>
      </c>
      <c r="N808" s="73">
        <v>0</v>
      </c>
      <c r="O808" s="73">
        <v>0</v>
      </c>
      <c r="Q808" s="73">
        <v>0</v>
      </c>
      <c r="R808" s="50">
        <v>0</v>
      </c>
      <c r="S808" s="50">
        <v>0</v>
      </c>
      <c r="T808" s="66" t="s">
        <v>685</v>
      </c>
      <c r="U808" s="66" t="s">
        <v>685</v>
      </c>
      <c r="V808" s="66" t="s">
        <v>685</v>
      </c>
      <c r="W808" s="66" t="s">
        <v>685</v>
      </c>
      <c r="X808" s="66" t="s">
        <v>685</v>
      </c>
      <c r="Y808" s="66" t="s">
        <v>685</v>
      </c>
      <c r="Z808" s="66" t="s">
        <v>685</v>
      </c>
      <c r="AA808" s="66">
        <v>0</v>
      </c>
      <c r="AB808" s="66">
        <v>0</v>
      </c>
      <c r="AC808" s="66">
        <v>0</v>
      </c>
    </row>
    <row r="809" spans="1:29">
      <c r="A809" s="68" t="s">
        <v>774</v>
      </c>
      <c r="B809" s="43" t="s">
        <v>243</v>
      </c>
      <c r="M809" s="72">
        <v>0</v>
      </c>
      <c r="N809" s="73">
        <v>0</v>
      </c>
      <c r="O809" s="73">
        <v>0</v>
      </c>
      <c r="Q809" s="73">
        <v>0</v>
      </c>
      <c r="R809" s="50">
        <v>0</v>
      </c>
      <c r="S809" s="50">
        <v>0</v>
      </c>
      <c r="T809" s="66" t="s">
        <v>685</v>
      </c>
      <c r="U809" s="66" t="s">
        <v>685</v>
      </c>
      <c r="V809" s="66" t="s">
        <v>685</v>
      </c>
      <c r="W809" s="66" t="s">
        <v>685</v>
      </c>
      <c r="X809" s="66" t="s">
        <v>685</v>
      </c>
      <c r="Y809" s="66" t="s">
        <v>685</v>
      </c>
      <c r="Z809" s="66" t="s">
        <v>685</v>
      </c>
      <c r="AA809" s="66">
        <v>0</v>
      </c>
      <c r="AB809" s="66">
        <v>0</v>
      </c>
      <c r="AC809" s="66">
        <v>0</v>
      </c>
    </row>
    <row r="810" spans="1:29">
      <c r="A810" s="68" t="s">
        <v>774</v>
      </c>
      <c r="B810" s="43" t="s">
        <v>95</v>
      </c>
      <c r="M810" s="73">
        <v>0</v>
      </c>
      <c r="N810" s="75">
        <v>3.3000000000000002E-2</v>
      </c>
      <c r="O810" s="50">
        <v>1.6500000000000001E-2</v>
      </c>
      <c r="Q810" s="73">
        <f>2.52*0.055</f>
        <v>0.1386</v>
      </c>
      <c r="R810" s="50">
        <f>2.9*0.055</f>
        <v>0.1595</v>
      </c>
      <c r="S810" s="50">
        <f>2.6*0.055</f>
        <v>0.14300000000000002</v>
      </c>
      <c r="T810" s="66">
        <f>2*0.055</f>
        <v>0.11</v>
      </c>
      <c r="U810" s="66">
        <f>1.9*0.055</f>
        <v>0.1045</v>
      </c>
      <c r="V810" s="66">
        <f>1.7*0.055</f>
        <v>9.35E-2</v>
      </c>
      <c r="W810" s="66">
        <f>1.6*0.055</f>
        <v>8.8000000000000009E-2</v>
      </c>
      <c r="X810" s="66">
        <f>1.5*0.055</f>
        <v>8.2500000000000004E-2</v>
      </c>
      <c r="Y810" s="66">
        <f>1.4*0.055</f>
        <v>7.6999999999999999E-2</v>
      </c>
      <c r="Z810" s="66">
        <f>1.3*0.055</f>
        <v>7.1500000000000008E-2</v>
      </c>
      <c r="AA810" s="66">
        <f>1.26*0.055</f>
        <v>6.93E-2</v>
      </c>
      <c r="AB810" s="66">
        <f>1*0.055</f>
        <v>5.5E-2</v>
      </c>
      <c r="AC810" s="66">
        <f>1*0.055</f>
        <v>5.5E-2</v>
      </c>
    </row>
    <row r="811" spans="1:29">
      <c r="A811" s="68" t="s">
        <v>774</v>
      </c>
      <c r="B811" s="43" t="s">
        <v>825</v>
      </c>
      <c r="Q811" s="73">
        <v>0</v>
      </c>
      <c r="R811" s="50">
        <v>0</v>
      </c>
      <c r="S811" s="50">
        <v>0</v>
      </c>
      <c r="T811" s="66">
        <v>0</v>
      </c>
      <c r="U811" s="66">
        <v>0</v>
      </c>
      <c r="V811" s="66">
        <v>0</v>
      </c>
      <c r="W811" s="66">
        <v>0</v>
      </c>
      <c r="X811" s="66">
        <v>0</v>
      </c>
      <c r="Y811" s="66">
        <v>0</v>
      </c>
      <c r="Z811" s="66">
        <v>0</v>
      </c>
      <c r="AA811" s="66">
        <v>0</v>
      </c>
      <c r="AB811" s="66">
        <v>0</v>
      </c>
      <c r="AC811" s="66">
        <v>0</v>
      </c>
    </row>
    <row r="812" spans="1:29">
      <c r="A812" s="68" t="s">
        <v>774</v>
      </c>
      <c r="B812" s="43" t="s">
        <v>574</v>
      </c>
      <c r="M812" s="72">
        <v>0</v>
      </c>
      <c r="N812" s="73">
        <v>0</v>
      </c>
      <c r="O812" s="73">
        <v>0</v>
      </c>
      <c r="Q812" s="73">
        <v>0</v>
      </c>
      <c r="R812" s="50">
        <v>0</v>
      </c>
      <c r="S812" s="50">
        <v>0</v>
      </c>
      <c r="T812" s="66">
        <v>0</v>
      </c>
      <c r="U812" s="66">
        <v>0</v>
      </c>
      <c r="V812" s="66">
        <v>0</v>
      </c>
      <c r="W812" s="66">
        <v>0</v>
      </c>
      <c r="X812" s="66">
        <v>0</v>
      </c>
      <c r="Y812" s="66">
        <v>0</v>
      </c>
      <c r="Z812" s="66">
        <v>0</v>
      </c>
      <c r="AA812" s="66">
        <v>0</v>
      </c>
      <c r="AB812" s="66">
        <v>0</v>
      </c>
      <c r="AC812" s="66">
        <v>0</v>
      </c>
    </row>
    <row r="813" spans="1:29">
      <c r="A813" s="68" t="s">
        <v>774</v>
      </c>
      <c r="B813" s="68" t="s">
        <v>535</v>
      </c>
      <c r="M813" s="72">
        <v>0</v>
      </c>
      <c r="N813" s="73">
        <v>0</v>
      </c>
      <c r="O813" s="73">
        <v>0</v>
      </c>
      <c r="Q813" s="73">
        <v>0</v>
      </c>
      <c r="R813" s="50">
        <v>0</v>
      </c>
      <c r="S813" s="50">
        <v>0</v>
      </c>
      <c r="T813" s="66">
        <v>0</v>
      </c>
      <c r="U813" s="66">
        <v>0</v>
      </c>
      <c r="V813" s="66">
        <v>0</v>
      </c>
      <c r="W813" s="66">
        <v>0</v>
      </c>
      <c r="X813" s="66">
        <v>0</v>
      </c>
      <c r="Y813" s="66">
        <v>0</v>
      </c>
      <c r="Z813" s="66">
        <v>0</v>
      </c>
      <c r="AA813" s="66">
        <v>0</v>
      </c>
      <c r="AB813" s="66">
        <v>0</v>
      </c>
      <c r="AC813" s="66">
        <v>0</v>
      </c>
    </row>
    <row r="814" spans="1:29">
      <c r="A814" s="43" t="s">
        <v>681</v>
      </c>
      <c r="B814" s="43" t="s">
        <v>752</v>
      </c>
      <c r="P814" s="73">
        <v>365</v>
      </c>
      <c r="Q814" s="73">
        <v>190</v>
      </c>
      <c r="R814" s="50">
        <v>0</v>
      </c>
      <c r="S814" s="50">
        <v>0</v>
      </c>
      <c r="T814" s="66" t="s">
        <v>685</v>
      </c>
      <c r="U814" s="66" t="s">
        <v>685</v>
      </c>
      <c r="V814" s="66" t="s">
        <v>685</v>
      </c>
      <c r="W814" s="66" t="s">
        <v>685</v>
      </c>
      <c r="X814" s="66" t="s">
        <v>685</v>
      </c>
      <c r="Y814" s="66" t="s">
        <v>685</v>
      </c>
      <c r="Z814" s="66" t="s">
        <v>685</v>
      </c>
      <c r="AA814" s="66">
        <v>0</v>
      </c>
      <c r="AB814" s="66">
        <v>0</v>
      </c>
      <c r="AC814" s="66">
        <v>0</v>
      </c>
    </row>
    <row r="815" spans="1:29">
      <c r="A815" s="43" t="s">
        <v>681</v>
      </c>
      <c r="B815" s="43" t="s">
        <v>663</v>
      </c>
      <c r="P815" s="73">
        <v>2.2000000000000002</v>
      </c>
      <c r="Q815" s="73">
        <v>1.87</v>
      </c>
      <c r="R815" s="50">
        <v>0</v>
      </c>
      <c r="S815" s="50">
        <v>0</v>
      </c>
      <c r="T815" s="66" t="s">
        <v>685</v>
      </c>
      <c r="U815" s="66" t="s">
        <v>685</v>
      </c>
      <c r="V815" s="66" t="s">
        <v>685</v>
      </c>
      <c r="W815" s="66" t="s">
        <v>685</v>
      </c>
      <c r="X815" s="66" t="s">
        <v>685</v>
      </c>
      <c r="Y815" s="66" t="s">
        <v>685</v>
      </c>
      <c r="Z815" s="66" t="s">
        <v>685</v>
      </c>
      <c r="AA815" s="66">
        <v>0</v>
      </c>
      <c r="AB815" s="66">
        <v>0</v>
      </c>
      <c r="AC815" s="66">
        <v>0</v>
      </c>
    </row>
    <row r="816" spans="1:29">
      <c r="A816" s="43" t="s">
        <v>681</v>
      </c>
      <c r="B816" s="43" t="s">
        <v>243</v>
      </c>
      <c r="P816" s="73">
        <v>50</v>
      </c>
      <c r="Q816" s="73">
        <v>50</v>
      </c>
      <c r="R816" s="50">
        <v>0</v>
      </c>
      <c r="S816" s="50">
        <v>0</v>
      </c>
      <c r="T816" s="66" t="s">
        <v>685</v>
      </c>
      <c r="U816" s="66" t="s">
        <v>685</v>
      </c>
      <c r="V816" s="66" t="s">
        <v>685</v>
      </c>
      <c r="W816" s="66" t="s">
        <v>685</v>
      </c>
      <c r="X816" s="66" t="s">
        <v>685</v>
      </c>
      <c r="Y816" s="66" t="s">
        <v>685</v>
      </c>
      <c r="Z816" s="66" t="s">
        <v>685</v>
      </c>
      <c r="AA816" s="66">
        <v>0</v>
      </c>
      <c r="AB816" s="66">
        <v>0</v>
      </c>
      <c r="AC816" s="66">
        <v>0</v>
      </c>
    </row>
    <row r="817" spans="1:29">
      <c r="A817" s="43" t="s">
        <v>681</v>
      </c>
      <c r="B817" s="43" t="s">
        <v>95</v>
      </c>
      <c r="P817" s="73">
        <v>1190.5730000000001</v>
      </c>
      <c r="Q817" s="73">
        <v>1364.01</v>
      </c>
      <c r="R817" s="50">
        <f>(20050*0.055)+(3200*0.11)+(1800*0.065)+(16.5*0.02)+(240*0.01)</f>
        <v>1574.48</v>
      </c>
      <c r="S817" s="50">
        <f>(22105*0.055)+(3557*0.11)+(2150*0.065)+(14*0.02)+(268*0.01)</f>
        <v>1749.7550000000001</v>
      </c>
      <c r="T817" s="66">
        <f>(24315*0.055)+(3912*0.11)+(2365*0.065)+(16*0.02)</f>
        <v>1921.6899999999998</v>
      </c>
      <c r="U817" s="66">
        <f>(20216*0.055)+(2696*0.11)+(389*0.065)</f>
        <v>1433.7250000000001</v>
      </c>
      <c r="V817" s="66">
        <f>(20397.66*0.055)+(2302*0.11)+(76.94*0.02)</f>
        <v>1376.6301000000001</v>
      </c>
      <c r="W817" s="66">
        <f>(19685.37*0.055)+(2025*0.11)</f>
        <v>1305.44535</v>
      </c>
      <c r="X817" s="66">
        <f>(16096.08*0.055)+(1750*0.11)+(14.96*0.02)</f>
        <v>1078.0835999999999</v>
      </c>
      <c r="Y817" s="66">
        <f>(15776.47*0.055)+(1750*0.11)</f>
        <v>1060.2058499999998</v>
      </c>
      <c r="Z817" s="66">
        <f>(17502.51-172.45)*0.055</f>
        <v>953.15329999999983</v>
      </c>
      <c r="AA817" s="66">
        <f>17330.06*0.055</f>
        <v>953.15330000000006</v>
      </c>
      <c r="AB817" s="66">
        <f>16009.09*0.055</f>
        <v>880.49995000000001</v>
      </c>
      <c r="AC817" s="66">
        <f>15998.01*0.055</f>
        <v>879.89054999999996</v>
      </c>
    </row>
    <row r="818" spans="1:29">
      <c r="A818" s="43" t="s">
        <v>681</v>
      </c>
      <c r="B818" s="43" t="s">
        <v>825</v>
      </c>
      <c r="Q818" s="73">
        <v>0</v>
      </c>
      <c r="R818" s="50">
        <v>0</v>
      </c>
      <c r="S818" s="50">
        <v>0</v>
      </c>
      <c r="T818" s="66">
        <v>0</v>
      </c>
      <c r="U818" s="66">
        <v>0</v>
      </c>
      <c r="V818" s="66">
        <v>0</v>
      </c>
      <c r="W818" s="66">
        <v>0</v>
      </c>
      <c r="X818" s="66">
        <v>0</v>
      </c>
      <c r="Y818" s="66">
        <v>0</v>
      </c>
      <c r="Z818" s="66">
        <v>0</v>
      </c>
      <c r="AA818" s="66">
        <v>0</v>
      </c>
      <c r="AB818" s="66">
        <v>0</v>
      </c>
      <c r="AC818" s="66">
        <v>0</v>
      </c>
    </row>
    <row r="819" spans="1:29">
      <c r="A819" s="43" t="s">
        <v>681</v>
      </c>
      <c r="B819" s="43" t="s">
        <v>574</v>
      </c>
      <c r="P819" s="73">
        <v>51</v>
      </c>
      <c r="Q819" s="73">
        <v>51</v>
      </c>
      <c r="R819" s="50">
        <f>75*0.6</f>
        <v>45</v>
      </c>
      <c r="S819" s="50">
        <f>67*0.6</f>
        <v>40.199999999999996</v>
      </c>
      <c r="T819" s="66">
        <f>51*0.6</f>
        <v>30.599999999999998</v>
      </c>
      <c r="U819" s="66">
        <f>23*0.6</f>
        <v>13.799999999999999</v>
      </c>
      <c r="V819" s="66">
        <f>11*0.6</f>
        <v>6.6</v>
      </c>
      <c r="W819" s="66">
        <v>0</v>
      </c>
      <c r="X819" s="66">
        <v>0</v>
      </c>
      <c r="Y819" s="66">
        <v>0</v>
      </c>
      <c r="Z819" s="66">
        <v>0</v>
      </c>
      <c r="AA819" s="66">
        <v>0</v>
      </c>
      <c r="AB819" s="66">
        <v>0</v>
      </c>
      <c r="AC819" s="66">
        <v>0</v>
      </c>
    </row>
    <row r="820" spans="1:29">
      <c r="A820" s="43" t="s">
        <v>681</v>
      </c>
      <c r="B820" s="43" t="s">
        <v>535</v>
      </c>
      <c r="P820" s="73">
        <v>0.05</v>
      </c>
      <c r="Q820" s="73">
        <v>4.4999999999999998E-2</v>
      </c>
      <c r="R820" s="50">
        <v>0</v>
      </c>
      <c r="S820" s="50">
        <v>0</v>
      </c>
      <c r="T820" s="66">
        <v>0</v>
      </c>
      <c r="U820" s="66">
        <v>0</v>
      </c>
      <c r="V820" s="66">
        <v>0</v>
      </c>
      <c r="W820" s="66">
        <v>0</v>
      </c>
      <c r="X820" s="66">
        <v>0</v>
      </c>
      <c r="Y820" s="66">
        <v>0</v>
      </c>
      <c r="Z820" s="66">
        <v>0</v>
      </c>
      <c r="AA820" s="66">
        <v>0</v>
      </c>
      <c r="AB820" s="66">
        <v>0</v>
      </c>
      <c r="AC820" s="66">
        <v>0</v>
      </c>
    </row>
    <row r="821" spans="1:29">
      <c r="A821" s="43" t="s">
        <v>555</v>
      </c>
      <c r="B821" s="43" t="s">
        <v>752</v>
      </c>
      <c r="C821" s="72">
        <v>151</v>
      </c>
      <c r="D821" s="72">
        <v>178.35</v>
      </c>
      <c r="E821" s="72">
        <v>138.1</v>
      </c>
      <c r="F821" s="72">
        <v>128.44999999999999</v>
      </c>
      <c r="G821" s="72">
        <v>128.44999999999999</v>
      </c>
      <c r="H821" s="72">
        <v>118.47</v>
      </c>
      <c r="I821" s="72">
        <v>98</v>
      </c>
      <c r="J821" s="72">
        <v>71.900000000000006</v>
      </c>
      <c r="K821" s="72">
        <v>51</v>
      </c>
      <c r="L821" s="72">
        <v>40</v>
      </c>
      <c r="M821" s="72">
        <v>30</v>
      </c>
      <c r="N821" s="73">
        <v>25</v>
      </c>
      <c r="O821" s="73">
        <v>15</v>
      </c>
      <c r="P821" s="73">
        <v>10</v>
      </c>
      <c r="Q821" s="73">
        <v>0</v>
      </c>
      <c r="R821" s="50">
        <v>0</v>
      </c>
      <c r="S821" s="50">
        <v>0</v>
      </c>
      <c r="T821" s="66" t="s">
        <v>685</v>
      </c>
      <c r="U821" s="66" t="s">
        <v>685</v>
      </c>
      <c r="V821" s="66" t="s">
        <v>685</v>
      </c>
      <c r="W821" s="66" t="s">
        <v>685</v>
      </c>
      <c r="X821" s="66" t="s">
        <v>685</v>
      </c>
      <c r="Y821" s="66" t="s">
        <v>685</v>
      </c>
      <c r="Z821" s="66" t="s">
        <v>685</v>
      </c>
      <c r="AA821" s="66">
        <v>0</v>
      </c>
      <c r="AB821" s="66">
        <v>0</v>
      </c>
      <c r="AC821" s="66">
        <v>0</v>
      </c>
    </row>
    <row r="822" spans="1:29">
      <c r="A822" s="43" t="s">
        <v>555</v>
      </c>
      <c r="B822" s="43" t="s">
        <v>663</v>
      </c>
      <c r="C822" s="72">
        <v>495</v>
      </c>
      <c r="D822" s="72">
        <v>97.965999999999994</v>
      </c>
      <c r="E822" s="72">
        <v>98.56</v>
      </c>
      <c r="F822" s="72">
        <v>0</v>
      </c>
      <c r="G822" s="72">
        <v>0</v>
      </c>
      <c r="H822" s="72">
        <v>0</v>
      </c>
      <c r="I822" s="72">
        <v>0</v>
      </c>
      <c r="J822" s="72">
        <v>0</v>
      </c>
      <c r="K822" s="72">
        <v>0</v>
      </c>
      <c r="L822" s="72">
        <v>0</v>
      </c>
      <c r="M822" s="72">
        <v>0</v>
      </c>
      <c r="N822" s="73">
        <v>0</v>
      </c>
      <c r="O822" s="73">
        <v>0</v>
      </c>
      <c r="P822" s="73">
        <v>0</v>
      </c>
      <c r="Q822" s="73">
        <v>0</v>
      </c>
      <c r="R822" s="50">
        <v>0</v>
      </c>
      <c r="S822" s="50">
        <v>0</v>
      </c>
      <c r="T822" s="66" t="s">
        <v>685</v>
      </c>
      <c r="U822" s="66" t="s">
        <v>685</v>
      </c>
      <c r="V822" s="66" t="s">
        <v>685</v>
      </c>
      <c r="W822" s="66" t="s">
        <v>685</v>
      </c>
      <c r="X822" s="66" t="s">
        <v>685</v>
      </c>
      <c r="Y822" s="66" t="s">
        <v>685</v>
      </c>
      <c r="Z822" s="66" t="s">
        <v>685</v>
      </c>
      <c r="AA822" s="66">
        <v>0</v>
      </c>
      <c r="AB822" s="66">
        <v>0</v>
      </c>
      <c r="AC822" s="66">
        <v>0</v>
      </c>
    </row>
    <row r="823" spans="1:29">
      <c r="A823" s="43" t="s">
        <v>555</v>
      </c>
      <c r="B823" s="43" t="s">
        <v>243</v>
      </c>
      <c r="C823" s="72">
        <v>0</v>
      </c>
      <c r="D823" s="72">
        <v>0</v>
      </c>
      <c r="E823" s="72">
        <v>0</v>
      </c>
      <c r="F823" s="72">
        <v>0</v>
      </c>
      <c r="G823" s="72">
        <v>0</v>
      </c>
      <c r="H823" s="72">
        <v>0</v>
      </c>
      <c r="I823" s="72">
        <v>0</v>
      </c>
      <c r="J823" s="72">
        <v>0</v>
      </c>
      <c r="K823" s="72">
        <v>0</v>
      </c>
      <c r="L823" s="72">
        <v>0</v>
      </c>
      <c r="M823" s="72">
        <v>0</v>
      </c>
      <c r="N823" s="73">
        <v>0</v>
      </c>
      <c r="O823" s="73">
        <v>0</v>
      </c>
      <c r="P823" s="73">
        <v>0</v>
      </c>
      <c r="Q823" s="73">
        <v>0</v>
      </c>
      <c r="R823" s="50">
        <v>0</v>
      </c>
      <c r="S823" s="50">
        <v>0</v>
      </c>
      <c r="T823" s="66" t="s">
        <v>685</v>
      </c>
      <c r="U823" s="66" t="s">
        <v>685</v>
      </c>
      <c r="V823" s="66" t="s">
        <v>685</v>
      </c>
      <c r="W823" s="66" t="s">
        <v>685</v>
      </c>
      <c r="X823" s="66" t="s">
        <v>685</v>
      </c>
      <c r="Y823" s="66" t="s">
        <v>685</v>
      </c>
      <c r="Z823" s="66" t="s">
        <v>685</v>
      </c>
      <c r="AA823" s="66">
        <v>0</v>
      </c>
      <c r="AB823" s="66">
        <v>0</v>
      </c>
      <c r="AC823" s="66">
        <v>0</v>
      </c>
    </row>
    <row r="824" spans="1:29">
      <c r="A824" s="43" t="s">
        <v>555</v>
      </c>
      <c r="B824" s="43" t="s">
        <v>95</v>
      </c>
      <c r="C824" s="73">
        <v>10.725</v>
      </c>
      <c r="D824" s="73">
        <v>10.003399999999999</v>
      </c>
      <c r="E824" s="73">
        <v>6.6077000000000004</v>
      </c>
      <c r="F824" s="73">
        <v>8.6592000000000002</v>
      </c>
      <c r="G824" s="73">
        <v>0</v>
      </c>
      <c r="H824" s="73">
        <v>21.504999999999999</v>
      </c>
      <c r="I824" s="73">
        <v>22</v>
      </c>
      <c r="J824" s="73">
        <v>22.88</v>
      </c>
      <c r="K824" s="73">
        <v>23.925000000000001</v>
      </c>
      <c r="L824" s="73">
        <v>25.905000000000001</v>
      </c>
      <c r="M824" s="73">
        <v>27.61</v>
      </c>
      <c r="N824" s="73">
        <v>29.7</v>
      </c>
      <c r="O824" s="73">
        <v>31.625</v>
      </c>
      <c r="P824" s="73">
        <v>32.89</v>
      </c>
      <c r="Q824" s="73">
        <v>34.76</v>
      </c>
      <c r="R824" s="50">
        <f>682.56*0.055</f>
        <v>37.540799999999997</v>
      </c>
      <c r="S824" s="50">
        <f>657*0.055</f>
        <v>36.134999999999998</v>
      </c>
      <c r="T824" s="66">
        <f>657*0.055</f>
        <v>36.134999999999998</v>
      </c>
      <c r="U824" s="66">
        <f>140*0.055</f>
        <v>7.7</v>
      </c>
      <c r="V824" s="66">
        <f>376*0.055</f>
        <v>20.68</v>
      </c>
      <c r="W824" s="66">
        <f>375*0.055</f>
        <v>20.625</v>
      </c>
      <c r="X824" s="66">
        <f>340*0.055</f>
        <v>18.7</v>
      </c>
      <c r="Y824" s="66">
        <f>325*0.055</f>
        <v>17.875</v>
      </c>
      <c r="Z824" s="66">
        <f>275*0.055</f>
        <v>15.125</v>
      </c>
      <c r="AA824" s="66">
        <f>259*0.055</f>
        <v>14.244999999999999</v>
      </c>
      <c r="AB824" s="66">
        <f>240*0.055</f>
        <v>13.2</v>
      </c>
      <c r="AC824" s="66">
        <f>216*0.055</f>
        <v>11.88</v>
      </c>
    </row>
    <row r="825" spans="1:29">
      <c r="A825" s="43" t="s">
        <v>555</v>
      </c>
      <c r="B825" s="43" t="s">
        <v>825</v>
      </c>
      <c r="Q825" s="73">
        <v>0</v>
      </c>
      <c r="R825" s="50">
        <v>0</v>
      </c>
      <c r="S825" s="50">
        <v>0</v>
      </c>
      <c r="T825" s="66">
        <v>0</v>
      </c>
      <c r="U825" s="66">
        <v>0</v>
      </c>
      <c r="V825" s="66">
        <v>0</v>
      </c>
      <c r="W825" s="66">
        <v>0</v>
      </c>
      <c r="X825" s="66">
        <v>0</v>
      </c>
      <c r="Y825" s="66">
        <v>0</v>
      </c>
      <c r="Z825" s="66">
        <v>0</v>
      </c>
      <c r="AA825" s="66">
        <v>0</v>
      </c>
      <c r="AB825" s="66">
        <v>0</v>
      </c>
      <c r="AC825" s="66">
        <v>0</v>
      </c>
    </row>
    <row r="826" spans="1:29">
      <c r="A826" s="43" t="s">
        <v>555</v>
      </c>
      <c r="B826" s="43" t="s">
        <v>574</v>
      </c>
      <c r="C826" s="72">
        <v>199.2</v>
      </c>
      <c r="D826" s="72">
        <v>0.72</v>
      </c>
      <c r="E826" s="72">
        <v>0.72</v>
      </c>
      <c r="F826" s="72">
        <v>0.72</v>
      </c>
      <c r="G826" s="72">
        <v>0.72</v>
      </c>
      <c r="H826" s="72">
        <v>0.72</v>
      </c>
      <c r="I826" s="72">
        <v>0</v>
      </c>
      <c r="J826" s="72">
        <v>0</v>
      </c>
      <c r="K826" s="72">
        <v>0</v>
      </c>
      <c r="L826" s="72">
        <v>0</v>
      </c>
      <c r="M826" s="72">
        <v>0</v>
      </c>
      <c r="N826" s="73">
        <v>0</v>
      </c>
      <c r="O826" s="73">
        <v>0</v>
      </c>
      <c r="P826" s="73">
        <v>0</v>
      </c>
      <c r="Q826" s="73">
        <v>0</v>
      </c>
      <c r="R826" s="50">
        <v>0</v>
      </c>
      <c r="S826" s="50">
        <v>0</v>
      </c>
      <c r="T826" s="66">
        <v>0</v>
      </c>
      <c r="U826" s="66">
        <v>0</v>
      </c>
      <c r="V826" s="66">
        <v>0</v>
      </c>
      <c r="W826" s="66">
        <v>0</v>
      </c>
      <c r="X826" s="66">
        <v>0</v>
      </c>
      <c r="Y826" s="66">
        <v>0</v>
      </c>
      <c r="Z826" s="66">
        <v>0</v>
      </c>
      <c r="AA826" s="66">
        <v>0</v>
      </c>
      <c r="AB826" s="66">
        <v>0</v>
      </c>
      <c r="AC826" s="66">
        <v>0</v>
      </c>
    </row>
    <row r="827" spans="1:29">
      <c r="A827" s="43" t="s">
        <v>555</v>
      </c>
      <c r="B827" s="43" t="s">
        <v>535</v>
      </c>
      <c r="C827" s="72">
        <v>0</v>
      </c>
      <c r="D827" s="72">
        <v>0</v>
      </c>
      <c r="E827" s="72">
        <v>0</v>
      </c>
      <c r="F827" s="72">
        <v>0</v>
      </c>
      <c r="G827" s="72">
        <v>0</v>
      </c>
      <c r="H827" s="72">
        <v>0</v>
      </c>
      <c r="I827" s="72">
        <v>0</v>
      </c>
      <c r="J827" s="72">
        <v>0</v>
      </c>
      <c r="K827" s="72">
        <v>0</v>
      </c>
      <c r="L827" s="72">
        <v>0</v>
      </c>
      <c r="M827" s="72">
        <v>0</v>
      </c>
      <c r="N827" s="73">
        <v>0</v>
      </c>
      <c r="O827" s="73">
        <v>0</v>
      </c>
      <c r="P827" s="73">
        <v>0</v>
      </c>
      <c r="Q827" s="73">
        <v>0</v>
      </c>
      <c r="R827" s="50">
        <v>0</v>
      </c>
      <c r="S827" s="50">
        <v>0</v>
      </c>
      <c r="T827" s="66">
        <v>0</v>
      </c>
      <c r="U827" s="66">
        <v>0</v>
      </c>
      <c r="V827" s="66">
        <v>0</v>
      </c>
      <c r="W827" s="66">
        <v>0</v>
      </c>
      <c r="X827" s="66">
        <v>0</v>
      </c>
      <c r="Y827" s="66">
        <v>0</v>
      </c>
      <c r="Z827" s="66">
        <v>0</v>
      </c>
      <c r="AA827" s="66">
        <v>0</v>
      </c>
      <c r="AB827" s="66">
        <v>0</v>
      </c>
      <c r="AC827" s="66">
        <v>0</v>
      </c>
    </row>
    <row r="828" spans="1:29">
      <c r="A828" s="68" t="s">
        <v>360</v>
      </c>
      <c r="B828" s="43" t="s">
        <v>752</v>
      </c>
      <c r="H828" s="72">
        <v>309.77999999999997</v>
      </c>
      <c r="I828" s="72">
        <v>263.3</v>
      </c>
      <c r="J828" s="72">
        <v>371.69</v>
      </c>
      <c r="K828" s="72">
        <v>411.9</v>
      </c>
      <c r="L828" s="72">
        <v>284.75200000000001</v>
      </c>
      <c r="M828" s="72">
        <v>100.89</v>
      </c>
      <c r="N828" s="73">
        <v>238.98800000000003</v>
      </c>
      <c r="O828" s="73">
        <v>53.51</v>
      </c>
      <c r="P828" s="73">
        <v>76.69</v>
      </c>
      <c r="Q828" s="73">
        <v>19.227999999999998</v>
      </c>
      <c r="R828" s="50">
        <f>-0.002*0.8</f>
        <v>-1.6000000000000001E-3</v>
      </c>
      <c r="S828" s="50">
        <v>0</v>
      </c>
      <c r="T828" s="66" t="s">
        <v>685</v>
      </c>
      <c r="U828" s="66" t="s">
        <v>685</v>
      </c>
      <c r="V828" s="66" t="s">
        <v>685</v>
      </c>
      <c r="W828" s="66" t="s">
        <v>685</v>
      </c>
      <c r="X828" s="66" t="s">
        <v>685</v>
      </c>
      <c r="Y828" s="66" t="s">
        <v>685</v>
      </c>
      <c r="Z828" s="66" t="s">
        <v>685</v>
      </c>
      <c r="AA828" s="66">
        <v>0</v>
      </c>
      <c r="AB828" s="66">
        <v>0</v>
      </c>
      <c r="AC828" s="66">
        <v>0</v>
      </c>
    </row>
    <row r="829" spans="1:29">
      <c r="A829" s="68" t="s">
        <v>360</v>
      </c>
      <c r="B829" s="43" t="s">
        <v>663</v>
      </c>
      <c r="H829" s="72">
        <v>33</v>
      </c>
      <c r="I829" s="72">
        <v>33</v>
      </c>
      <c r="J829" s="72">
        <v>0</v>
      </c>
      <c r="K829" s="72">
        <v>0</v>
      </c>
      <c r="L829" s="72">
        <v>0</v>
      </c>
      <c r="M829" s="72">
        <v>1.65</v>
      </c>
      <c r="N829" s="73">
        <v>1.496</v>
      </c>
      <c r="O829" s="73">
        <v>1.1439999999999999</v>
      </c>
      <c r="P829" s="73">
        <v>2.09</v>
      </c>
      <c r="Q829" s="73">
        <v>1.518</v>
      </c>
      <c r="R829" s="50">
        <v>0</v>
      </c>
      <c r="S829" s="50">
        <v>0</v>
      </c>
      <c r="T829" s="66" t="s">
        <v>685</v>
      </c>
      <c r="U829" s="66" t="s">
        <v>685</v>
      </c>
      <c r="V829" s="66" t="s">
        <v>685</v>
      </c>
      <c r="W829" s="66" t="s">
        <v>685</v>
      </c>
      <c r="X829" s="66" t="s">
        <v>685</v>
      </c>
      <c r="Y829" s="66" t="s">
        <v>685</v>
      </c>
      <c r="Z829" s="66" t="s">
        <v>685</v>
      </c>
      <c r="AA829" s="66">
        <v>0</v>
      </c>
      <c r="AB829" s="66">
        <v>0</v>
      </c>
      <c r="AC829" s="66">
        <v>0</v>
      </c>
    </row>
    <row r="830" spans="1:29">
      <c r="A830" s="68" t="s">
        <v>360</v>
      </c>
      <c r="B830" s="43" t="s">
        <v>243</v>
      </c>
      <c r="H830" s="72">
        <v>0</v>
      </c>
      <c r="I830" s="72">
        <v>0</v>
      </c>
      <c r="J830" s="72">
        <v>0</v>
      </c>
      <c r="K830" s="72">
        <v>0</v>
      </c>
      <c r="L830" s="72">
        <v>0</v>
      </c>
      <c r="M830" s="72">
        <v>0.9</v>
      </c>
      <c r="N830" s="73">
        <v>0</v>
      </c>
      <c r="O830" s="73">
        <v>0</v>
      </c>
      <c r="P830" s="73">
        <v>1.8</v>
      </c>
      <c r="Q830" s="73">
        <v>0</v>
      </c>
      <c r="R830" s="50">
        <v>0</v>
      </c>
      <c r="S830" s="50">
        <v>0</v>
      </c>
      <c r="T830" s="66" t="s">
        <v>685</v>
      </c>
      <c r="U830" s="66" t="s">
        <v>685</v>
      </c>
      <c r="V830" s="66" t="s">
        <v>685</v>
      </c>
      <c r="W830" s="66" t="s">
        <v>685</v>
      </c>
      <c r="X830" s="66" t="s">
        <v>685</v>
      </c>
      <c r="Y830" s="66" t="s">
        <v>685</v>
      </c>
      <c r="Z830" s="66" t="s">
        <v>685</v>
      </c>
      <c r="AA830" s="66">
        <f>0.06*10</f>
        <v>0.6</v>
      </c>
      <c r="AB830" s="66">
        <f>0.03*10</f>
        <v>0.3</v>
      </c>
      <c r="AC830" s="66">
        <v>0</v>
      </c>
    </row>
    <row r="831" spans="1:29">
      <c r="A831" s="68" t="s">
        <v>360</v>
      </c>
      <c r="B831" s="43" t="s">
        <v>95</v>
      </c>
      <c r="H831" s="73">
        <v>5.2249999999999996</v>
      </c>
      <c r="I831" s="73">
        <v>6.6112199999999994</v>
      </c>
      <c r="J831" s="73">
        <v>6.6220000000000008</v>
      </c>
      <c r="K831" s="73">
        <v>0</v>
      </c>
      <c r="L831" s="73">
        <v>14.719329999999999</v>
      </c>
      <c r="M831" s="73">
        <v>19.687350000000002</v>
      </c>
      <c r="N831" s="73">
        <v>9.6277500000000007</v>
      </c>
      <c r="O831" s="73">
        <v>9.1586499999999997</v>
      </c>
      <c r="P831" s="73">
        <v>7.6934912999999998</v>
      </c>
      <c r="Q831" s="73">
        <v>8.9737740000000006</v>
      </c>
      <c r="R831" s="50">
        <f>((134.25-0.41)*0.055)+(5.41*0.065)+(2.11*0.02)</f>
        <v>7.7550500000000007</v>
      </c>
      <c r="S831" s="50">
        <f>((212.09-2.79)*0.055)+(3.81*0.11)+(9.35*0.065)</f>
        <v>12.538349999999999</v>
      </c>
      <c r="T831" s="66">
        <f>((170.85-1.77)*0.055)+(5.17*0.11)+(16.56*0.065)</f>
        <v>10.944499999999998</v>
      </c>
      <c r="U831" s="66">
        <f>(137.21*0.055)+(1.904*0.11)+(4.633*0.065)</f>
        <v>8.0571350000000006</v>
      </c>
      <c r="V831" s="66">
        <f>(133.22*0.055)+(3.264*0.11)+(5.282*0.065)</f>
        <v>8.0294699999999999</v>
      </c>
      <c r="W831" s="66">
        <f>(114.522*0.055)+(3.808*0.11)+(2.851*0.065)+(0.9*0.02)</f>
        <v>6.9209050000000003</v>
      </c>
      <c r="X831" s="66">
        <f>(107.823*0.055)+(4.08*0.11)+(0.9*0.02)</f>
        <v>6.3970649999999996</v>
      </c>
      <c r="Y831" s="66">
        <f>(109.882*0.055)+(4.08*0.11)+(2.316*0.065)+(0.9*0.02)</f>
        <v>6.6608500000000008</v>
      </c>
      <c r="Z831" s="66">
        <f>(113.784*0.055)+(2.176*0.11)+(1.668*0.065)</f>
        <v>6.605900000000001</v>
      </c>
      <c r="AA831" s="66">
        <f>(108.73*0.055)+(1.63*0.11)+(3.24*0.065)+(0.9*0.02)</f>
        <v>6.3880499999999998</v>
      </c>
      <c r="AB831" s="66">
        <f>95.581*0.055</f>
        <v>5.2569550000000005</v>
      </c>
      <c r="AC831" s="66">
        <f>(81.465*0.055)+(1.39*0.065)</f>
        <v>4.5709249999999999</v>
      </c>
    </row>
    <row r="832" spans="1:29">
      <c r="A832" s="68" t="s">
        <v>360</v>
      </c>
      <c r="B832" s="43" t="s">
        <v>825</v>
      </c>
      <c r="Q832" s="73">
        <v>0</v>
      </c>
      <c r="R832" s="50">
        <v>0</v>
      </c>
      <c r="S832" s="50">
        <v>0</v>
      </c>
      <c r="T832" s="66">
        <v>0</v>
      </c>
      <c r="U832" s="66">
        <v>0</v>
      </c>
      <c r="V832" s="66">
        <v>0</v>
      </c>
      <c r="W832" s="66">
        <v>0</v>
      </c>
      <c r="X832" s="66">
        <v>0</v>
      </c>
      <c r="Y832" s="66">
        <v>0</v>
      </c>
      <c r="Z832" s="66">
        <v>0</v>
      </c>
      <c r="AA832" s="66">
        <v>0</v>
      </c>
      <c r="AB832" s="66">
        <v>0</v>
      </c>
      <c r="AC832" s="66">
        <v>0</v>
      </c>
    </row>
    <row r="833" spans="1:29">
      <c r="A833" s="68" t="s">
        <v>360</v>
      </c>
      <c r="B833" s="43" t="s">
        <v>574</v>
      </c>
      <c r="H833" s="72">
        <v>9.48</v>
      </c>
      <c r="I833" s="72">
        <v>9.24</v>
      </c>
      <c r="J833" s="72">
        <v>12.6</v>
      </c>
      <c r="K833" s="72">
        <v>0</v>
      </c>
      <c r="L833" s="72">
        <v>0</v>
      </c>
      <c r="M833" s="72">
        <v>0</v>
      </c>
      <c r="N833" s="73">
        <v>0</v>
      </c>
      <c r="O833" s="73">
        <v>0</v>
      </c>
      <c r="P833" s="73">
        <v>0</v>
      </c>
      <c r="Q833" s="73">
        <v>0</v>
      </c>
      <c r="R833" s="50">
        <v>0</v>
      </c>
      <c r="S833" s="50">
        <v>0</v>
      </c>
      <c r="T833" s="66">
        <v>0</v>
      </c>
      <c r="U833" s="66">
        <v>0</v>
      </c>
      <c r="V833" s="66">
        <v>0</v>
      </c>
      <c r="W833" s="66">
        <v>0</v>
      </c>
      <c r="X833" s="66">
        <v>0</v>
      </c>
      <c r="Y833" s="66">
        <v>0</v>
      </c>
      <c r="Z833" s="66">
        <v>0</v>
      </c>
      <c r="AA833" s="66">
        <v>0</v>
      </c>
      <c r="AB833" s="66">
        <v>0</v>
      </c>
      <c r="AC833" s="66">
        <v>0</v>
      </c>
    </row>
    <row r="834" spans="1:29">
      <c r="A834" s="68" t="s">
        <v>360</v>
      </c>
      <c r="B834" s="43" t="s">
        <v>535</v>
      </c>
      <c r="H834" s="72">
        <v>0</v>
      </c>
      <c r="I834" s="72">
        <v>0</v>
      </c>
      <c r="J834" s="72">
        <v>0</v>
      </c>
      <c r="K834" s="72">
        <v>0</v>
      </c>
      <c r="L834" s="72">
        <v>0</v>
      </c>
      <c r="M834" s="72">
        <v>0</v>
      </c>
      <c r="N834" s="73">
        <v>0</v>
      </c>
      <c r="O834" s="73">
        <v>0</v>
      </c>
      <c r="P834" s="73">
        <v>0</v>
      </c>
      <c r="Q834" s="73">
        <v>0</v>
      </c>
      <c r="R834" s="50">
        <v>0</v>
      </c>
      <c r="S834" s="50">
        <v>0</v>
      </c>
      <c r="T834" s="66">
        <v>0</v>
      </c>
      <c r="U834" s="66">
        <v>0</v>
      </c>
      <c r="V834" s="66">
        <v>0</v>
      </c>
      <c r="W834" s="66">
        <v>0</v>
      </c>
      <c r="X834" s="66">
        <v>0</v>
      </c>
      <c r="Y834" s="66">
        <v>0</v>
      </c>
      <c r="Z834" s="66">
        <v>0</v>
      </c>
      <c r="AA834" s="66">
        <v>0</v>
      </c>
      <c r="AB834" s="66">
        <v>0</v>
      </c>
      <c r="AC834" s="66">
        <v>0</v>
      </c>
    </row>
    <row r="835" spans="1:29">
      <c r="A835" s="43" t="s">
        <v>556</v>
      </c>
      <c r="B835" s="43" t="s">
        <v>752</v>
      </c>
      <c r="C835" s="72">
        <v>3.88</v>
      </c>
      <c r="D835" s="72">
        <v>2.19</v>
      </c>
      <c r="E835" s="72">
        <v>2.4700000000000002</v>
      </c>
      <c r="F835" s="72">
        <v>1.96</v>
      </c>
      <c r="G835" s="72">
        <v>1.1319999999999999</v>
      </c>
      <c r="H835" s="72">
        <v>0.83760000000000001</v>
      </c>
      <c r="I835" s="72">
        <v>0.71</v>
      </c>
      <c r="J835" s="72">
        <v>1.53</v>
      </c>
      <c r="K835" s="72">
        <v>0.56999999999999995</v>
      </c>
      <c r="L835" s="72">
        <v>0.04</v>
      </c>
      <c r="N835" s="73">
        <v>0</v>
      </c>
      <c r="O835" s="73">
        <v>0</v>
      </c>
      <c r="P835" s="73">
        <v>0</v>
      </c>
      <c r="Q835" s="73">
        <v>0</v>
      </c>
      <c r="R835" s="50">
        <v>0</v>
      </c>
      <c r="S835" s="50">
        <v>0</v>
      </c>
      <c r="T835" s="66" t="s">
        <v>685</v>
      </c>
      <c r="U835" s="66" t="s">
        <v>685</v>
      </c>
      <c r="V835" s="66" t="s">
        <v>685</v>
      </c>
      <c r="W835" s="66" t="s">
        <v>685</v>
      </c>
      <c r="X835" s="66" t="s">
        <v>685</v>
      </c>
      <c r="Y835" s="66" t="s">
        <v>685</v>
      </c>
      <c r="Z835" s="66" t="s">
        <v>685</v>
      </c>
      <c r="AA835" s="66">
        <v>0</v>
      </c>
      <c r="AB835" s="66">
        <v>0</v>
      </c>
      <c r="AC835" s="66">
        <v>0</v>
      </c>
    </row>
    <row r="836" spans="1:29">
      <c r="A836" s="43" t="s">
        <v>556</v>
      </c>
      <c r="B836" s="43" t="s">
        <v>663</v>
      </c>
      <c r="C836" s="72">
        <v>0</v>
      </c>
      <c r="D836" s="72">
        <v>0</v>
      </c>
      <c r="E836" s="72">
        <v>0</v>
      </c>
      <c r="F836" s="72">
        <v>0</v>
      </c>
      <c r="G836" s="72">
        <v>0</v>
      </c>
      <c r="H836" s="72">
        <v>0</v>
      </c>
      <c r="I836" s="72">
        <v>0</v>
      </c>
      <c r="J836" s="72">
        <v>0</v>
      </c>
      <c r="K836" s="72">
        <v>0</v>
      </c>
      <c r="L836" s="72">
        <v>0</v>
      </c>
      <c r="N836" s="73">
        <v>0</v>
      </c>
      <c r="O836" s="73">
        <v>0</v>
      </c>
      <c r="P836" s="73">
        <v>0</v>
      </c>
      <c r="Q836" s="73">
        <v>0</v>
      </c>
      <c r="R836" s="50">
        <v>0</v>
      </c>
      <c r="S836" s="50">
        <v>0</v>
      </c>
      <c r="T836" s="66" t="s">
        <v>685</v>
      </c>
      <c r="U836" s="66" t="s">
        <v>685</v>
      </c>
      <c r="V836" s="66" t="s">
        <v>685</v>
      </c>
      <c r="W836" s="66" t="s">
        <v>685</v>
      </c>
      <c r="X836" s="66" t="s">
        <v>685</v>
      </c>
      <c r="Y836" s="66" t="s">
        <v>685</v>
      </c>
      <c r="Z836" s="66" t="s">
        <v>685</v>
      </c>
      <c r="AA836" s="66">
        <v>0</v>
      </c>
      <c r="AB836" s="66">
        <v>0</v>
      </c>
      <c r="AC836" s="66">
        <v>0</v>
      </c>
    </row>
    <row r="837" spans="1:29">
      <c r="A837" s="43" t="s">
        <v>556</v>
      </c>
      <c r="B837" s="43" t="s">
        <v>243</v>
      </c>
      <c r="C837" s="72">
        <v>0</v>
      </c>
      <c r="D837" s="72">
        <v>0</v>
      </c>
      <c r="E837" s="72">
        <v>0</v>
      </c>
      <c r="F837" s="72">
        <v>0</v>
      </c>
      <c r="G837" s="72">
        <v>0</v>
      </c>
      <c r="H837" s="72">
        <v>0</v>
      </c>
      <c r="I837" s="72">
        <v>0</v>
      </c>
      <c r="J837" s="72">
        <v>0</v>
      </c>
      <c r="K837" s="72">
        <v>0</v>
      </c>
      <c r="L837" s="72">
        <v>0</v>
      </c>
      <c r="N837" s="73">
        <v>0</v>
      </c>
      <c r="O837" s="73">
        <v>0</v>
      </c>
      <c r="P837" s="73">
        <v>0</v>
      </c>
      <c r="Q837" s="73">
        <v>0</v>
      </c>
      <c r="R837" s="50">
        <v>0</v>
      </c>
      <c r="S837" s="50">
        <v>0</v>
      </c>
      <c r="T837" s="66" t="s">
        <v>685</v>
      </c>
      <c r="U837" s="66" t="s">
        <v>685</v>
      </c>
      <c r="V837" s="66" t="s">
        <v>685</v>
      </c>
      <c r="W837" s="66" t="s">
        <v>685</v>
      </c>
      <c r="X837" s="66" t="s">
        <v>685</v>
      </c>
      <c r="Y837" s="66" t="s">
        <v>685</v>
      </c>
      <c r="Z837" s="66" t="s">
        <v>685</v>
      </c>
      <c r="AA837" s="66">
        <v>0</v>
      </c>
      <c r="AB837" s="66">
        <v>0</v>
      </c>
      <c r="AC837" s="66">
        <v>0</v>
      </c>
    </row>
    <row r="838" spans="1:29">
      <c r="A838" s="43" t="s">
        <v>556</v>
      </c>
      <c r="B838" s="43" t="s">
        <v>95</v>
      </c>
      <c r="C838" s="73">
        <v>0.13969999999999999</v>
      </c>
      <c r="D838" s="73">
        <v>0.16005</v>
      </c>
      <c r="E838" s="73">
        <v>0.44880000000000003</v>
      </c>
      <c r="F838" s="73">
        <v>0.70289999999999997</v>
      </c>
      <c r="G838" s="73">
        <v>0.47849999999999998</v>
      </c>
      <c r="H838" s="73">
        <v>6.7572999999999994E-2</v>
      </c>
      <c r="I838" s="73">
        <v>0.14465</v>
      </c>
      <c r="J838" s="73">
        <v>0.68474999999999997</v>
      </c>
      <c r="K838" s="73">
        <v>0.5071</v>
      </c>
      <c r="L838" s="73">
        <v>0.50234999999999996</v>
      </c>
      <c r="N838" s="73">
        <v>0.58950000000000014</v>
      </c>
      <c r="O838" s="73">
        <v>2.3610500000000005</v>
      </c>
      <c r="P838" s="73">
        <v>0.59599999999999997</v>
      </c>
      <c r="Q838" s="73">
        <f>(25.4*0.055)+(0.42*0.11)+(0.2*0.065)</f>
        <v>1.4561999999999999</v>
      </c>
      <c r="R838" s="50">
        <f>23.95*0.055</f>
        <v>1.31725</v>
      </c>
      <c r="S838" s="50">
        <f>((18.63-2.04)*0.055)+(0.15*0.11)</f>
        <v>0.92894999999999994</v>
      </c>
      <c r="T838" s="66">
        <f>10.085*0.055</f>
        <v>0.55467500000000003</v>
      </c>
      <c r="U838" s="66">
        <f>10.085*0.055</f>
        <v>0.55467500000000003</v>
      </c>
      <c r="V838" s="66">
        <f>7.83*0.055</f>
        <v>0.43065000000000003</v>
      </c>
      <c r="W838" s="66">
        <f>5.93*0.055</f>
        <v>0.32615</v>
      </c>
      <c r="X838" s="66">
        <f>6.09*0.055</f>
        <v>0.33494999999999997</v>
      </c>
      <c r="Y838" s="66">
        <f>5.99*0.055</f>
        <v>0.32945000000000002</v>
      </c>
      <c r="Z838" s="66">
        <f>1.2*0.055</f>
        <v>6.6000000000000003E-2</v>
      </c>
      <c r="AA838" s="66">
        <v>0</v>
      </c>
      <c r="AB838" s="66">
        <v>0</v>
      </c>
      <c r="AC838" s="66">
        <v>0</v>
      </c>
    </row>
    <row r="839" spans="1:29">
      <c r="A839" s="43" t="s">
        <v>556</v>
      </c>
      <c r="B839" s="43" t="s">
        <v>825</v>
      </c>
      <c r="Q839" s="73">
        <v>0</v>
      </c>
      <c r="R839" s="50">
        <v>0</v>
      </c>
      <c r="S839" s="50">
        <v>0</v>
      </c>
      <c r="T839" s="66">
        <v>0</v>
      </c>
      <c r="U839" s="66">
        <v>0</v>
      </c>
      <c r="V839" s="66">
        <v>0</v>
      </c>
      <c r="W839" s="66">
        <v>0</v>
      </c>
      <c r="X839" s="66">
        <v>0</v>
      </c>
      <c r="Y839" s="66">
        <v>0</v>
      </c>
      <c r="Z839" s="66">
        <v>0</v>
      </c>
      <c r="AA839" s="66">
        <v>0</v>
      </c>
      <c r="AB839" s="66">
        <v>0</v>
      </c>
      <c r="AC839" s="66">
        <v>0</v>
      </c>
    </row>
    <row r="840" spans="1:29">
      <c r="A840" s="43" t="s">
        <v>556</v>
      </c>
      <c r="B840" s="43" t="s">
        <v>574</v>
      </c>
      <c r="C840" s="72">
        <v>0</v>
      </c>
      <c r="D840" s="72">
        <v>0</v>
      </c>
      <c r="E840" s="72">
        <v>0</v>
      </c>
      <c r="F840" s="72">
        <v>0</v>
      </c>
      <c r="G840" s="72">
        <v>0</v>
      </c>
      <c r="H840" s="72">
        <v>0</v>
      </c>
      <c r="I840" s="72">
        <v>0</v>
      </c>
      <c r="J840" s="72">
        <v>0</v>
      </c>
      <c r="K840" s="72">
        <v>0</v>
      </c>
      <c r="L840" s="72">
        <v>0</v>
      </c>
      <c r="N840" s="73">
        <v>0</v>
      </c>
      <c r="O840" s="73">
        <v>0</v>
      </c>
      <c r="P840" s="73">
        <v>0</v>
      </c>
      <c r="Q840" s="73">
        <v>0</v>
      </c>
      <c r="R840" s="50">
        <v>0</v>
      </c>
      <c r="S840" s="50">
        <v>0</v>
      </c>
      <c r="T840" s="66">
        <v>0</v>
      </c>
      <c r="U840" s="66">
        <v>0</v>
      </c>
      <c r="V840" s="66">
        <v>0</v>
      </c>
      <c r="W840" s="66">
        <v>0</v>
      </c>
      <c r="X840" s="66">
        <v>0</v>
      </c>
      <c r="Y840" s="66">
        <v>0</v>
      </c>
      <c r="Z840" s="66">
        <v>0</v>
      </c>
      <c r="AA840" s="66">
        <v>0</v>
      </c>
      <c r="AB840" s="66">
        <v>0</v>
      </c>
      <c r="AC840" s="66">
        <v>0</v>
      </c>
    </row>
    <row r="841" spans="1:29">
      <c r="A841" s="43" t="s">
        <v>556</v>
      </c>
      <c r="B841" s="43" t="s">
        <v>535</v>
      </c>
      <c r="C841" s="72">
        <v>0</v>
      </c>
      <c r="D841" s="72">
        <v>0</v>
      </c>
      <c r="E841" s="72">
        <v>0</v>
      </c>
      <c r="F841" s="72">
        <v>0</v>
      </c>
      <c r="G841" s="72">
        <v>0</v>
      </c>
      <c r="H841" s="72">
        <v>0</v>
      </c>
      <c r="I841" s="72">
        <v>0</v>
      </c>
      <c r="J841" s="72">
        <v>0</v>
      </c>
      <c r="K841" s="72">
        <v>0</v>
      </c>
      <c r="L841" s="72">
        <v>0</v>
      </c>
      <c r="N841" s="73">
        <v>0</v>
      </c>
      <c r="O841" s="73">
        <v>0</v>
      </c>
      <c r="P841" s="73">
        <v>0</v>
      </c>
      <c r="Q841" s="73">
        <v>0</v>
      </c>
      <c r="R841" s="50">
        <v>0</v>
      </c>
      <c r="S841" s="50">
        <v>0</v>
      </c>
      <c r="T841" s="66">
        <v>0</v>
      </c>
      <c r="U841" s="66">
        <v>0</v>
      </c>
      <c r="V841" s="66">
        <v>0</v>
      </c>
      <c r="W841" s="66">
        <v>0</v>
      </c>
      <c r="X841" s="66">
        <v>0</v>
      </c>
      <c r="Y841" s="66">
        <v>0</v>
      </c>
      <c r="Z841" s="66">
        <v>0</v>
      </c>
      <c r="AA841" s="66">
        <v>0</v>
      </c>
      <c r="AB841" s="66">
        <v>0</v>
      </c>
      <c r="AC841" s="66">
        <v>0</v>
      </c>
    </row>
    <row r="842" spans="1:29">
      <c r="A842" s="68" t="s">
        <v>775</v>
      </c>
      <c r="B842" s="68" t="s">
        <v>752</v>
      </c>
      <c r="C842" s="72">
        <v>67.12</v>
      </c>
      <c r="D842" s="72">
        <v>86.656000000000006</v>
      </c>
      <c r="E842" s="72">
        <v>81.876000000000005</v>
      </c>
      <c r="F842" s="72">
        <v>81.040000000000006</v>
      </c>
      <c r="G842" s="72">
        <v>75.87</v>
      </c>
      <c r="H842" s="72">
        <v>75.933999999999997</v>
      </c>
      <c r="I842" s="72">
        <v>92.9</v>
      </c>
      <c r="J842" s="72">
        <v>80.835999999999999</v>
      </c>
      <c r="L842" s="72">
        <v>64.53</v>
      </c>
      <c r="N842" s="73">
        <v>18.18</v>
      </c>
      <c r="O842" s="73">
        <v>10.38</v>
      </c>
      <c r="P842" s="73">
        <v>4.18</v>
      </c>
      <c r="R842" s="50">
        <v>0</v>
      </c>
      <c r="S842" s="50">
        <v>0</v>
      </c>
      <c r="T842" s="66" t="s">
        <v>685</v>
      </c>
      <c r="U842" s="66" t="s">
        <v>685</v>
      </c>
      <c r="V842" s="66" t="s">
        <v>685</v>
      </c>
      <c r="W842" s="72" t="s">
        <v>685</v>
      </c>
      <c r="X842" s="66" t="s">
        <v>685</v>
      </c>
      <c r="Y842" s="66" t="s">
        <v>685</v>
      </c>
      <c r="Z842" s="66" t="s">
        <v>685</v>
      </c>
      <c r="AA842" s="66">
        <v>0</v>
      </c>
      <c r="AB842" s="66">
        <v>0</v>
      </c>
      <c r="AC842" s="66">
        <v>0</v>
      </c>
    </row>
    <row r="843" spans="1:29">
      <c r="A843" s="68" t="s">
        <v>775</v>
      </c>
      <c r="B843" s="68" t="s">
        <v>663</v>
      </c>
      <c r="C843" s="72">
        <v>0.88</v>
      </c>
      <c r="D843" s="72">
        <v>1.1000000000000001</v>
      </c>
      <c r="E843" s="72">
        <v>1.65</v>
      </c>
      <c r="F843" s="72">
        <v>1.1000000000000001</v>
      </c>
      <c r="G843" s="72">
        <v>1.65</v>
      </c>
      <c r="H843" s="72">
        <v>1.65</v>
      </c>
      <c r="I843" s="72">
        <v>0.66</v>
      </c>
      <c r="J843" s="72">
        <v>0.22</v>
      </c>
      <c r="L843" s="72">
        <v>2.4420000000000002</v>
      </c>
      <c r="N843" s="73">
        <v>1.0999999999999999E-2</v>
      </c>
      <c r="O843" s="73">
        <v>0.11</v>
      </c>
      <c r="P843" s="73">
        <v>0.22</v>
      </c>
      <c r="R843" s="50">
        <v>0</v>
      </c>
      <c r="S843" s="50">
        <v>0</v>
      </c>
      <c r="T843" s="66" t="s">
        <v>685</v>
      </c>
      <c r="U843" s="66" t="s">
        <v>685</v>
      </c>
      <c r="V843" s="66" t="s">
        <v>685</v>
      </c>
      <c r="W843" s="72" t="s">
        <v>685</v>
      </c>
      <c r="X843" s="66" t="s">
        <v>685</v>
      </c>
      <c r="Y843" s="66" t="s">
        <v>685</v>
      </c>
      <c r="Z843" s="66" t="s">
        <v>685</v>
      </c>
      <c r="AA843" s="66">
        <v>0</v>
      </c>
      <c r="AB843" s="66">
        <v>0</v>
      </c>
      <c r="AC843" s="66">
        <v>0</v>
      </c>
    </row>
    <row r="844" spans="1:29">
      <c r="A844" s="68" t="s">
        <v>775</v>
      </c>
      <c r="B844" s="43" t="s">
        <v>243</v>
      </c>
      <c r="C844" s="72">
        <v>12</v>
      </c>
      <c r="D844" s="72">
        <v>18</v>
      </c>
      <c r="E844" s="72">
        <v>18</v>
      </c>
      <c r="F844" s="72">
        <v>12</v>
      </c>
      <c r="G844" s="72">
        <v>12</v>
      </c>
      <c r="H844" s="72">
        <v>9.9</v>
      </c>
      <c r="I844" s="72">
        <v>9</v>
      </c>
      <c r="J844" s="72">
        <v>0</v>
      </c>
      <c r="L844" s="72">
        <v>18.45</v>
      </c>
      <c r="N844" s="73">
        <v>0</v>
      </c>
      <c r="O844" s="73">
        <v>0</v>
      </c>
      <c r="P844" s="73">
        <v>0</v>
      </c>
      <c r="R844" s="50">
        <v>0</v>
      </c>
      <c r="S844" s="50">
        <v>0</v>
      </c>
      <c r="T844" s="66" t="s">
        <v>685</v>
      </c>
      <c r="U844" s="66" t="s">
        <v>685</v>
      </c>
      <c r="V844" s="66" t="s">
        <v>685</v>
      </c>
      <c r="W844" s="72" t="s">
        <v>685</v>
      </c>
      <c r="X844" s="66" t="s">
        <v>685</v>
      </c>
      <c r="Y844" s="66" t="s">
        <v>685</v>
      </c>
      <c r="Z844" s="66" t="s">
        <v>685</v>
      </c>
      <c r="AA844" s="66">
        <v>0</v>
      </c>
      <c r="AB844" s="66">
        <v>0</v>
      </c>
      <c r="AC844" s="66">
        <v>0</v>
      </c>
    </row>
    <row r="845" spans="1:29">
      <c r="A845" s="68" t="s">
        <v>775</v>
      </c>
      <c r="B845" s="43" t="s">
        <v>95</v>
      </c>
      <c r="C845" s="73">
        <v>1.4806000000000001</v>
      </c>
      <c r="D845" s="73">
        <v>2.1461000000000001</v>
      </c>
      <c r="E845" s="73">
        <v>2.1730499999999999</v>
      </c>
      <c r="F845" s="73">
        <v>1.87</v>
      </c>
      <c r="G845" s="73">
        <v>1.76</v>
      </c>
      <c r="H845" s="73">
        <v>1.639</v>
      </c>
      <c r="I845" s="73">
        <v>1.8777000000000001</v>
      </c>
      <c r="J845" s="73">
        <v>2.1835</v>
      </c>
      <c r="L845" s="73">
        <v>1.639</v>
      </c>
      <c r="N845" s="73">
        <v>1.375</v>
      </c>
      <c r="O845" s="73">
        <v>1.54</v>
      </c>
      <c r="P845" s="73">
        <v>1.43</v>
      </c>
      <c r="R845" s="50">
        <f>32.73*0.055</f>
        <v>1.8001499999999999</v>
      </c>
      <c r="S845" s="50">
        <f>34*0.055</f>
        <v>1.87</v>
      </c>
      <c r="T845" s="66">
        <f>47*0.055</f>
        <v>2.585</v>
      </c>
      <c r="U845" s="66">
        <f>15.2*0.055</f>
        <v>0.83599999999999997</v>
      </c>
      <c r="V845" s="66">
        <f>26.7*0.055</f>
        <v>1.4684999999999999</v>
      </c>
      <c r="W845" s="66">
        <f>18.02*0.055</f>
        <v>0.99109999999999998</v>
      </c>
      <c r="X845" s="66">
        <f>11*0.055</f>
        <v>0.60499999999999998</v>
      </c>
      <c r="Y845" s="66">
        <f>10.35*0.055</f>
        <v>0.56925000000000003</v>
      </c>
      <c r="Z845" s="66">
        <f>10.275*0.055</f>
        <v>0.56512499999999999</v>
      </c>
      <c r="AA845" s="66">
        <f>10.252*0.055</f>
        <v>0.56386000000000003</v>
      </c>
      <c r="AB845" s="66">
        <f>10.24*0.055</f>
        <v>0.56320000000000003</v>
      </c>
      <c r="AC845" s="66">
        <f>10.19*0.055</f>
        <v>0.56045</v>
      </c>
    </row>
    <row r="846" spans="1:29">
      <c r="A846" s="68" t="s">
        <v>775</v>
      </c>
      <c r="B846" s="43" t="s">
        <v>825</v>
      </c>
      <c r="R846" s="50">
        <v>0</v>
      </c>
      <c r="S846" s="50">
        <v>0</v>
      </c>
      <c r="T846" s="66">
        <v>0</v>
      </c>
      <c r="U846" s="66">
        <v>0</v>
      </c>
      <c r="V846" s="66">
        <v>0</v>
      </c>
      <c r="W846" s="66">
        <v>0</v>
      </c>
      <c r="X846" s="66">
        <v>0</v>
      </c>
      <c r="Y846" s="66">
        <v>0</v>
      </c>
      <c r="Z846" s="66">
        <v>0</v>
      </c>
      <c r="AA846" s="66">
        <v>0</v>
      </c>
      <c r="AB846" s="66">
        <v>0</v>
      </c>
      <c r="AC846" s="66">
        <v>0</v>
      </c>
    </row>
    <row r="847" spans="1:29">
      <c r="A847" s="68" t="s">
        <v>775</v>
      </c>
      <c r="B847" s="43" t="s">
        <v>574</v>
      </c>
      <c r="C847" s="72">
        <v>2.7</v>
      </c>
      <c r="D847" s="72">
        <v>3.6</v>
      </c>
      <c r="E847" s="72">
        <v>2.4</v>
      </c>
      <c r="F847" s="72">
        <v>1.8</v>
      </c>
      <c r="G847" s="72">
        <v>1.5</v>
      </c>
      <c r="H847" s="72">
        <v>1.2</v>
      </c>
      <c r="I847" s="72">
        <v>1.2</v>
      </c>
      <c r="J847" s="72">
        <v>1.2</v>
      </c>
      <c r="L847" s="72">
        <v>0.36</v>
      </c>
      <c r="N847" s="73">
        <v>0</v>
      </c>
      <c r="O847" s="73">
        <v>0</v>
      </c>
      <c r="P847" s="73">
        <v>0</v>
      </c>
      <c r="R847" s="50">
        <v>0</v>
      </c>
      <c r="S847" s="50">
        <v>0</v>
      </c>
      <c r="T847" s="66">
        <v>0</v>
      </c>
      <c r="U847" s="66">
        <v>0</v>
      </c>
      <c r="V847" s="66">
        <v>0</v>
      </c>
      <c r="W847" s="66">
        <v>0</v>
      </c>
      <c r="X847" s="66">
        <v>0</v>
      </c>
      <c r="Y847" s="66">
        <v>0</v>
      </c>
      <c r="Z847" s="66">
        <v>0</v>
      </c>
      <c r="AA847" s="66">
        <v>0</v>
      </c>
      <c r="AB847" s="66">
        <v>0</v>
      </c>
      <c r="AC847" s="66">
        <v>0</v>
      </c>
    </row>
    <row r="848" spans="1:29">
      <c r="A848" s="68" t="s">
        <v>775</v>
      </c>
      <c r="B848" s="68" t="s">
        <v>535</v>
      </c>
      <c r="C848" s="72">
        <v>0</v>
      </c>
      <c r="D848" s="72">
        <v>0</v>
      </c>
      <c r="E848" s="72">
        <v>0</v>
      </c>
      <c r="F848" s="72">
        <v>0</v>
      </c>
      <c r="G848" s="72">
        <v>0</v>
      </c>
      <c r="H848" s="72">
        <v>0</v>
      </c>
      <c r="I848" s="72">
        <v>0</v>
      </c>
      <c r="J848" s="72">
        <v>0</v>
      </c>
      <c r="L848" s="72">
        <v>0</v>
      </c>
      <c r="N848" s="73">
        <v>0</v>
      </c>
      <c r="O848" s="73">
        <v>0</v>
      </c>
      <c r="P848" s="73">
        <v>0</v>
      </c>
      <c r="R848" s="50">
        <v>0</v>
      </c>
      <c r="S848" s="50">
        <v>0</v>
      </c>
      <c r="T848" s="66">
        <v>0</v>
      </c>
      <c r="U848" s="66">
        <v>0</v>
      </c>
      <c r="V848" s="66">
        <v>0</v>
      </c>
      <c r="W848" s="66">
        <v>0</v>
      </c>
      <c r="X848" s="66">
        <v>0</v>
      </c>
      <c r="Y848" s="66">
        <v>0</v>
      </c>
      <c r="Z848" s="66">
        <v>0</v>
      </c>
      <c r="AA848" s="66">
        <v>0</v>
      </c>
      <c r="AB848" s="66">
        <v>0</v>
      </c>
      <c r="AC848" s="66">
        <v>0</v>
      </c>
    </row>
    <row r="849" spans="1:29">
      <c r="A849" s="43" t="s">
        <v>536</v>
      </c>
      <c r="B849" s="43" t="s">
        <v>752</v>
      </c>
    </row>
    <row r="850" spans="1:29">
      <c r="A850" s="43" t="s">
        <v>536</v>
      </c>
      <c r="B850" s="43" t="s">
        <v>663</v>
      </c>
    </row>
    <row r="851" spans="1:29">
      <c r="A851" s="43" t="s">
        <v>536</v>
      </c>
      <c r="B851" s="43" t="s">
        <v>243</v>
      </c>
    </row>
    <row r="852" spans="1:29">
      <c r="A852" s="43" t="s">
        <v>536</v>
      </c>
      <c r="B852" s="43" t="s">
        <v>95</v>
      </c>
    </row>
    <row r="853" spans="1:29">
      <c r="A853" s="43" t="s">
        <v>536</v>
      </c>
      <c r="B853" s="43" t="s">
        <v>825</v>
      </c>
    </row>
    <row r="854" spans="1:29">
      <c r="A854" s="43" t="s">
        <v>536</v>
      </c>
      <c r="B854" s="43" t="s">
        <v>574</v>
      </c>
    </row>
    <row r="855" spans="1:29">
      <c r="A855" s="43" t="s">
        <v>536</v>
      </c>
      <c r="B855" s="43" t="s">
        <v>535</v>
      </c>
    </row>
    <row r="856" spans="1:29">
      <c r="A856" s="43" t="s">
        <v>557</v>
      </c>
      <c r="B856" s="43" t="s">
        <v>752</v>
      </c>
      <c r="L856" s="72">
        <v>1.292</v>
      </c>
      <c r="M856" s="72">
        <v>0.92</v>
      </c>
      <c r="N856" s="73">
        <v>1.41</v>
      </c>
      <c r="O856" s="73">
        <v>0</v>
      </c>
      <c r="P856" s="73">
        <v>0</v>
      </c>
      <c r="Q856" s="73">
        <v>0</v>
      </c>
      <c r="R856" s="50">
        <v>0</v>
      </c>
      <c r="S856" s="50">
        <v>0</v>
      </c>
      <c r="T856" s="66">
        <v>0</v>
      </c>
      <c r="U856" s="66" t="s">
        <v>685</v>
      </c>
      <c r="V856" s="66" t="s">
        <v>685</v>
      </c>
      <c r="W856" s="66" t="s">
        <v>685</v>
      </c>
      <c r="X856" s="72" t="s">
        <v>685</v>
      </c>
      <c r="Y856" s="66" t="s">
        <v>685</v>
      </c>
      <c r="Z856" s="66" t="s">
        <v>685</v>
      </c>
      <c r="AA856" s="66">
        <v>0</v>
      </c>
      <c r="AB856" s="66">
        <v>0</v>
      </c>
      <c r="AC856" s="66">
        <v>0</v>
      </c>
    </row>
    <row r="857" spans="1:29">
      <c r="A857" s="43" t="s">
        <v>557</v>
      </c>
      <c r="B857" s="43" t="s">
        <v>663</v>
      </c>
      <c r="L857" s="72">
        <v>0</v>
      </c>
      <c r="M857" s="72">
        <v>0</v>
      </c>
      <c r="N857" s="73">
        <v>0</v>
      </c>
      <c r="O857" s="73">
        <v>0</v>
      </c>
      <c r="P857" s="73">
        <v>0</v>
      </c>
      <c r="Q857" s="73">
        <v>0</v>
      </c>
      <c r="R857" s="50">
        <v>0</v>
      </c>
      <c r="S857" s="50">
        <v>0</v>
      </c>
      <c r="T857" s="66">
        <v>0</v>
      </c>
      <c r="U857" s="66" t="s">
        <v>685</v>
      </c>
      <c r="V857" s="66" t="s">
        <v>685</v>
      </c>
      <c r="W857" s="66" t="s">
        <v>685</v>
      </c>
      <c r="X857" s="72" t="s">
        <v>685</v>
      </c>
      <c r="Y857" s="66" t="s">
        <v>685</v>
      </c>
      <c r="Z857" s="66" t="s">
        <v>685</v>
      </c>
      <c r="AA857" s="66">
        <v>0</v>
      </c>
      <c r="AB857" s="66">
        <v>0</v>
      </c>
      <c r="AC857" s="66">
        <v>0</v>
      </c>
    </row>
    <row r="858" spans="1:29">
      <c r="A858" s="43" t="s">
        <v>557</v>
      </c>
      <c r="B858" s="43" t="s">
        <v>243</v>
      </c>
      <c r="L858" s="72">
        <v>0</v>
      </c>
      <c r="M858" s="72">
        <v>0</v>
      </c>
      <c r="N858" s="73">
        <v>0</v>
      </c>
      <c r="O858" s="73">
        <v>0</v>
      </c>
      <c r="P858" s="73">
        <v>0</v>
      </c>
      <c r="Q858" s="73">
        <v>0</v>
      </c>
      <c r="R858" s="50">
        <v>0</v>
      </c>
      <c r="S858" s="50">
        <v>0</v>
      </c>
      <c r="T858" s="66">
        <v>0</v>
      </c>
      <c r="U858" s="66" t="s">
        <v>685</v>
      </c>
      <c r="V858" s="66" t="s">
        <v>685</v>
      </c>
      <c r="W858" s="66" t="s">
        <v>685</v>
      </c>
      <c r="X858" s="72" t="s">
        <v>685</v>
      </c>
      <c r="Y858" s="66" t="s">
        <v>685</v>
      </c>
      <c r="Z858" s="66" t="s">
        <v>685</v>
      </c>
      <c r="AA858" s="66">
        <v>0</v>
      </c>
      <c r="AB858" s="66">
        <v>0</v>
      </c>
      <c r="AC858" s="66">
        <v>0</v>
      </c>
    </row>
    <row r="859" spans="1:29">
      <c r="A859" s="43" t="s">
        <v>557</v>
      </c>
      <c r="B859" s="43" t="s">
        <v>95</v>
      </c>
      <c r="L859" s="73">
        <v>0.20185</v>
      </c>
      <c r="M859" s="73">
        <v>0.2321</v>
      </c>
      <c r="N859" s="73">
        <v>1.03345</v>
      </c>
      <c r="O859" s="73">
        <v>0.93170000000000008</v>
      </c>
      <c r="P859" s="73">
        <v>1.21495</v>
      </c>
      <c r="Q859" s="73">
        <f>28.28*0.055</f>
        <v>1.5554000000000001</v>
      </c>
      <c r="R859" s="50">
        <f>41*0.055</f>
        <v>2.2549999999999999</v>
      </c>
      <c r="S859" s="50">
        <f>34*0.055</f>
        <v>1.87</v>
      </c>
      <c r="T859" s="66">
        <f>29.5*0.055</f>
        <v>1.6225000000000001</v>
      </c>
      <c r="U859" s="66">
        <f>3.11*0.055</f>
        <v>0.17105000000000001</v>
      </c>
      <c r="V859" s="66">
        <f>4.77*0.055</f>
        <v>0.26234999999999997</v>
      </c>
      <c r="W859" s="66">
        <f>1.29*0.055</f>
        <v>7.0949999999999999E-2</v>
      </c>
      <c r="X859" s="66">
        <f>2.17*0.055</f>
        <v>0.11935</v>
      </c>
      <c r="Y859" s="66">
        <f>4.2*0.055</f>
        <v>0.23100000000000001</v>
      </c>
      <c r="Z859" s="66">
        <f>3.63*0.055</f>
        <v>0.19964999999999999</v>
      </c>
      <c r="AA859" s="66">
        <f>1.49*0.055</f>
        <v>8.1949999999999995E-2</v>
      </c>
      <c r="AB859" s="66">
        <f>1.47*0.055</f>
        <v>8.0850000000000005E-2</v>
      </c>
      <c r="AC859" s="66">
        <f>1.408*0.055</f>
        <v>7.7439999999999995E-2</v>
      </c>
    </row>
    <row r="860" spans="1:29">
      <c r="A860" s="43" t="s">
        <v>557</v>
      </c>
      <c r="B860" s="43" t="s">
        <v>825</v>
      </c>
      <c r="Q860" s="73">
        <v>0</v>
      </c>
      <c r="R860" s="50">
        <v>0</v>
      </c>
      <c r="S860" s="50">
        <v>0</v>
      </c>
      <c r="T860" s="66">
        <v>0</v>
      </c>
      <c r="U860" s="66">
        <v>0</v>
      </c>
      <c r="V860" s="66">
        <v>0</v>
      </c>
      <c r="W860" s="66">
        <v>0</v>
      </c>
      <c r="X860" s="66">
        <v>0</v>
      </c>
      <c r="Y860" s="66">
        <v>0</v>
      </c>
      <c r="Z860" s="66">
        <v>0</v>
      </c>
      <c r="AA860" s="66">
        <v>0</v>
      </c>
      <c r="AB860" s="66">
        <v>0</v>
      </c>
      <c r="AC860" s="66">
        <v>0</v>
      </c>
    </row>
    <row r="861" spans="1:29">
      <c r="A861" s="43" t="s">
        <v>557</v>
      </c>
      <c r="B861" s="43" t="s">
        <v>574</v>
      </c>
      <c r="L861" s="72">
        <v>0</v>
      </c>
      <c r="M861" s="72">
        <v>0</v>
      </c>
      <c r="N861" s="73">
        <v>0</v>
      </c>
      <c r="O861" s="73">
        <v>0</v>
      </c>
      <c r="P861" s="73">
        <v>0.36</v>
      </c>
      <c r="Q861" s="73">
        <v>0</v>
      </c>
      <c r="R861" s="50">
        <v>0</v>
      </c>
      <c r="S861" s="50">
        <v>0</v>
      </c>
      <c r="T861" s="66">
        <v>0</v>
      </c>
      <c r="U861" s="66">
        <v>0</v>
      </c>
      <c r="V861" s="66">
        <v>0</v>
      </c>
      <c r="W861" s="66">
        <v>0</v>
      </c>
      <c r="X861" s="66">
        <v>0</v>
      </c>
      <c r="Y861" s="66">
        <v>0</v>
      </c>
      <c r="Z861" s="66">
        <v>0</v>
      </c>
      <c r="AA861" s="66">
        <v>0</v>
      </c>
      <c r="AB861" s="66">
        <v>0</v>
      </c>
      <c r="AC861" s="66">
        <v>0</v>
      </c>
    </row>
    <row r="862" spans="1:29">
      <c r="A862" s="43" t="s">
        <v>557</v>
      </c>
      <c r="B862" s="43" t="s">
        <v>535</v>
      </c>
      <c r="L862" s="72">
        <v>0</v>
      </c>
      <c r="M862" s="72">
        <v>0</v>
      </c>
      <c r="N862" s="73">
        <v>0</v>
      </c>
      <c r="O862" s="73">
        <v>0</v>
      </c>
      <c r="P862" s="73">
        <v>0</v>
      </c>
      <c r="Q862" s="73">
        <v>0</v>
      </c>
      <c r="R862" s="50">
        <v>0</v>
      </c>
      <c r="S862" s="50">
        <v>0</v>
      </c>
      <c r="T862" s="66">
        <v>0</v>
      </c>
      <c r="U862" s="66">
        <v>0</v>
      </c>
      <c r="V862" s="66">
        <v>0</v>
      </c>
      <c r="W862" s="66">
        <v>0</v>
      </c>
      <c r="X862" s="66">
        <v>0</v>
      </c>
      <c r="Y862" s="66">
        <v>0</v>
      </c>
      <c r="Z862" s="66">
        <v>0</v>
      </c>
      <c r="AA862" s="66">
        <v>0</v>
      </c>
      <c r="AB862" s="66">
        <v>0</v>
      </c>
      <c r="AC862" s="66">
        <v>0</v>
      </c>
    </row>
    <row r="863" spans="1:29">
      <c r="A863" s="43" t="s">
        <v>776</v>
      </c>
      <c r="B863" s="68" t="s">
        <v>752</v>
      </c>
      <c r="Q863" s="73">
        <v>5.6</v>
      </c>
      <c r="R863" s="50">
        <v>0</v>
      </c>
      <c r="S863" s="50">
        <v>0</v>
      </c>
      <c r="T863" s="66">
        <v>0</v>
      </c>
      <c r="U863" s="66" t="s">
        <v>685</v>
      </c>
      <c r="V863" s="66" t="s">
        <v>685</v>
      </c>
      <c r="W863" s="66" t="s">
        <v>685</v>
      </c>
      <c r="X863" s="72" t="s">
        <v>685</v>
      </c>
      <c r="Y863" s="72" t="s">
        <v>685</v>
      </c>
      <c r="Z863" s="72" t="s">
        <v>685</v>
      </c>
      <c r="AA863" s="72">
        <v>0</v>
      </c>
      <c r="AB863" s="72">
        <v>0</v>
      </c>
      <c r="AC863" s="66">
        <v>0</v>
      </c>
    </row>
    <row r="864" spans="1:29">
      <c r="A864" s="43" t="s">
        <v>776</v>
      </c>
      <c r="B864" s="68" t="s">
        <v>663</v>
      </c>
      <c r="Q864" s="73">
        <v>0</v>
      </c>
      <c r="R864" s="50">
        <v>0</v>
      </c>
      <c r="S864" s="50">
        <v>0</v>
      </c>
      <c r="T864" s="66">
        <v>0</v>
      </c>
      <c r="U864" s="66" t="s">
        <v>685</v>
      </c>
      <c r="V864" s="66" t="s">
        <v>685</v>
      </c>
      <c r="W864" s="66" t="s">
        <v>685</v>
      </c>
      <c r="X864" s="72" t="s">
        <v>685</v>
      </c>
      <c r="Y864" s="72" t="s">
        <v>685</v>
      </c>
      <c r="Z864" s="72" t="s">
        <v>685</v>
      </c>
      <c r="AA864" s="72">
        <v>0</v>
      </c>
      <c r="AB864" s="72">
        <v>0</v>
      </c>
      <c r="AC864" s="66">
        <v>0</v>
      </c>
    </row>
    <row r="865" spans="1:30">
      <c r="A865" s="43" t="s">
        <v>776</v>
      </c>
      <c r="B865" s="43" t="s">
        <v>243</v>
      </c>
      <c r="Q865" s="73">
        <v>0</v>
      </c>
      <c r="R865" s="50">
        <v>0</v>
      </c>
      <c r="S865" s="50">
        <v>0</v>
      </c>
      <c r="T865" s="66">
        <v>0</v>
      </c>
      <c r="U865" s="66" t="s">
        <v>685</v>
      </c>
      <c r="V865" s="66" t="s">
        <v>685</v>
      </c>
      <c r="W865" s="66" t="s">
        <v>685</v>
      </c>
      <c r="X865" s="72" t="s">
        <v>685</v>
      </c>
      <c r="Y865" s="72" t="s">
        <v>685</v>
      </c>
      <c r="Z865" s="72" t="s">
        <v>685</v>
      </c>
      <c r="AA865" s="72">
        <v>0</v>
      </c>
      <c r="AB865" s="72">
        <v>0</v>
      </c>
      <c r="AC865" s="66">
        <v>0</v>
      </c>
    </row>
    <row r="866" spans="1:30">
      <c r="A866" s="43" t="s">
        <v>776</v>
      </c>
      <c r="B866" s="43" t="s">
        <v>95</v>
      </c>
      <c r="Q866" s="73">
        <f>(396*0.055)+(210*0.11)</f>
        <v>44.88</v>
      </c>
      <c r="R866" s="50">
        <f>(400.5*0.055)+(211.3*0.11)</f>
        <v>45.270499999999998</v>
      </c>
      <c r="S866" s="50">
        <f>(400.8*0.055)+(210.5*0.11)</f>
        <v>45.198999999999998</v>
      </c>
      <c r="T866" s="66">
        <f>(320.5*0.055)</f>
        <v>17.627500000000001</v>
      </c>
      <c r="U866" s="66">
        <f>(198.3*0.055)</f>
        <v>10.906500000000001</v>
      </c>
      <c r="V866" s="66">
        <f>298.55*0.055</f>
        <v>16.420249999999999</v>
      </c>
      <c r="W866" s="66">
        <f>289.45*0.055</f>
        <v>15.919749999999999</v>
      </c>
      <c r="X866" s="66">
        <f>280.9*0.055</f>
        <v>15.449499999999999</v>
      </c>
      <c r="Y866" s="66">
        <f>280*0.055</f>
        <v>15.4</v>
      </c>
      <c r="Z866" s="66">
        <f>277.45*0.055</f>
        <v>15.259749999999999</v>
      </c>
      <c r="AA866" s="66">
        <f>237.1*0.055</f>
        <v>13.0405</v>
      </c>
      <c r="AB866" s="66">
        <f>191.8*0.055</f>
        <v>10.549000000000001</v>
      </c>
      <c r="AC866" s="66">
        <f>190*0.055</f>
        <v>10.45</v>
      </c>
    </row>
    <row r="867" spans="1:30">
      <c r="A867" s="43" t="s">
        <v>776</v>
      </c>
      <c r="B867" s="43" t="s">
        <v>825</v>
      </c>
      <c r="Q867" s="73">
        <v>0</v>
      </c>
      <c r="R867" s="50">
        <v>0</v>
      </c>
      <c r="S867" s="50">
        <v>0</v>
      </c>
      <c r="T867" s="50">
        <f>154.8*0.11</f>
        <v>17.028000000000002</v>
      </c>
      <c r="U867" s="50">
        <f>50.5*0.11</f>
        <v>5.5549999999999997</v>
      </c>
      <c r="V867" s="66">
        <v>0</v>
      </c>
      <c r="W867" s="66">
        <v>0</v>
      </c>
      <c r="X867" s="66">
        <v>0</v>
      </c>
      <c r="Y867" s="66">
        <v>0</v>
      </c>
      <c r="Z867" s="66">
        <v>0</v>
      </c>
      <c r="AA867" s="66">
        <v>0</v>
      </c>
      <c r="AB867" s="66">
        <f>0.8*0.11</f>
        <v>8.8000000000000009E-2</v>
      </c>
      <c r="AC867" s="66">
        <f>0.77*0.11</f>
        <v>8.4699999999999998E-2</v>
      </c>
    </row>
    <row r="868" spans="1:30">
      <c r="A868" s="43" t="s">
        <v>776</v>
      </c>
      <c r="B868" s="43" t="s">
        <v>574</v>
      </c>
      <c r="Q868" s="73">
        <v>0</v>
      </c>
      <c r="R868" s="50">
        <v>0</v>
      </c>
      <c r="S868" s="50">
        <v>0</v>
      </c>
      <c r="T868" s="66">
        <v>0</v>
      </c>
      <c r="U868" s="66">
        <v>0</v>
      </c>
      <c r="V868" s="66">
        <v>0</v>
      </c>
      <c r="W868" s="66">
        <v>0</v>
      </c>
      <c r="X868" s="66">
        <v>0</v>
      </c>
      <c r="Y868" s="66">
        <v>0</v>
      </c>
      <c r="Z868" s="66">
        <v>0</v>
      </c>
      <c r="AA868" s="66">
        <v>0</v>
      </c>
      <c r="AB868" s="66">
        <v>0</v>
      </c>
      <c r="AC868" s="66">
        <v>0</v>
      </c>
    </row>
    <row r="869" spans="1:30">
      <c r="A869" s="43" t="s">
        <v>776</v>
      </c>
      <c r="B869" s="68" t="s">
        <v>535</v>
      </c>
      <c r="Q869" s="73">
        <v>0</v>
      </c>
      <c r="R869" s="50">
        <v>0</v>
      </c>
      <c r="S869" s="50">
        <v>0</v>
      </c>
      <c r="T869" s="66">
        <v>0</v>
      </c>
      <c r="U869" s="66">
        <v>0</v>
      </c>
      <c r="V869" s="66">
        <v>0</v>
      </c>
      <c r="W869" s="66">
        <v>0</v>
      </c>
      <c r="X869" s="66">
        <v>0</v>
      </c>
      <c r="Y869" s="66">
        <v>0</v>
      </c>
      <c r="Z869" s="66">
        <v>0</v>
      </c>
      <c r="AA869" s="66">
        <v>0</v>
      </c>
      <c r="AB869" s="66">
        <v>0</v>
      </c>
      <c r="AC869" s="66">
        <v>0</v>
      </c>
    </row>
    <row r="870" spans="1:30">
      <c r="A870" s="43" t="s">
        <v>737</v>
      </c>
      <c r="B870" s="43" t="s">
        <v>752</v>
      </c>
      <c r="T870" s="66" t="s">
        <v>685</v>
      </c>
      <c r="U870" s="66" t="s">
        <v>685</v>
      </c>
      <c r="V870" s="66" t="s">
        <v>685</v>
      </c>
      <c r="W870" s="66" t="s">
        <v>685</v>
      </c>
      <c r="X870" s="66" t="s">
        <v>685</v>
      </c>
      <c r="Y870" s="72" t="s">
        <v>685</v>
      </c>
      <c r="Z870" s="72" t="s">
        <v>685</v>
      </c>
      <c r="AA870" s="72">
        <v>0</v>
      </c>
      <c r="AB870" s="72">
        <v>0</v>
      </c>
      <c r="AC870" s="72">
        <v>0</v>
      </c>
      <c r="AD870" s="72"/>
    </row>
    <row r="871" spans="1:30">
      <c r="A871" s="43" t="s">
        <v>737</v>
      </c>
      <c r="B871" s="43" t="s">
        <v>663</v>
      </c>
      <c r="T871" s="66" t="s">
        <v>685</v>
      </c>
      <c r="U871" s="66" t="s">
        <v>685</v>
      </c>
      <c r="V871" s="66" t="s">
        <v>685</v>
      </c>
      <c r="W871" s="66" t="s">
        <v>685</v>
      </c>
      <c r="X871" s="66" t="s">
        <v>685</v>
      </c>
      <c r="Y871" s="72" t="s">
        <v>685</v>
      </c>
      <c r="Z871" s="72" t="s">
        <v>685</v>
      </c>
      <c r="AA871" s="72">
        <v>0</v>
      </c>
      <c r="AB871" s="72">
        <v>0</v>
      </c>
      <c r="AC871" s="72">
        <v>0</v>
      </c>
      <c r="AD871" s="72"/>
    </row>
    <row r="872" spans="1:30">
      <c r="A872" s="43" t="s">
        <v>737</v>
      </c>
      <c r="B872" s="43" t="s">
        <v>243</v>
      </c>
      <c r="T872" s="66" t="s">
        <v>685</v>
      </c>
      <c r="U872" s="66" t="s">
        <v>685</v>
      </c>
      <c r="V872" s="66" t="s">
        <v>685</v>
      </c>
      <c r="W872" s="66" t="s">
        <v>685</v>
      </c>
      <c r="X872" s="66" t="s">
        <v>685</v>
      </c>
      <c r="Y872" s="72" t="s">
        <v>685</v>
      </c>
      <c r="Z872" s="72" t="s">
        <v>685</v>
      </c>
      <c r="AA872" s="72">
        <v>0</v>
      </c>
      <c r="AB872" s="72">
        <v>0</v>
      </c>
      <c r="AC872" s="72">
        <v>0</v>
      </c>
      <c r="AD872" s="72"/>
    </row>
    <row r="873" spans="1:30">
      <c r="A873" s="43" t="s">
        <v>737</v>
      </c>
      <c r="B873" s="43" t="s">
        <v>95</v>
      </c>
      <c r="T873" s="66">
        <f>((4803-183.5)*0.055)+(1590*0.11)+(30*0.02)+(5*0.022)</f>
        <v>429.6825</v>
      </c>
      <c r="U873" s="66">
        <f>((3083.6-248.2)*0.055)+(953*0.11)+(20*0.02)</f>
        <v>261.17699999999996</v>
      </c>
      <c r="V873" s="66">
        <f>((2666.9-78.6)*0.055)+((850.1-0.1)*0.11)+(26.3*0.065)+((67.2-0.6)*0.02)+(27.2*0.07)</f>
        <v>240.80199999999999</v>
      </c>
      <c r="W873" s="66">
        <f>((2618.4-118)*0.055)+((626.5-1)*0.11)+(29.71*0.065)</f>
        <v>208.25815000000003</v>
      </c>
      <c r="X873" s="66">
        <f>((2673.6-116)*0.055)+((44.6-19.2)*0.065)</f>
        <v>142.31900000000002</v>
      </c>
      <c r="Y873" s="66">
        <f>((2395.4-146.5)*0.055)+(-9.6*0.065)+(20*0.02)</f>
        <v>123.46550000000002</v>
      </c>
      <c r="Z873" s="66">
        <f>((2219-177.13)*0.055)+((9.4-0.104)*0.065)+(25.6*0.02)</f>
        <v>113.41909</v>
      </c>
      <c r="AA873" s="66">
        <f>((2195.95-185.43)*0.055)</f>
        <v>110.57859999999998</v>
      </c>
      <c r="AB873" s="66">
        <f>((1873.79-134.5)*0.055)+((7.2-0.48)*0.065)+((32.631-0.63)*0.02)</f>
        <v>96.737770000000012</v>
      </c>
      <c r="AC873" s="66">
        <f>((1759.63 -154.22)*0.055)+(20*0.02)</f>
        <v>88.697550000000007</v>
      </c>
    </row>
    <row r="874" spans="1:30">
      <c r="A874" s="43" t="s">
        <v>737</v>
      </c>
      <c r="B874" s="43" t="s">
        <v>825</v>
      </c>
      <c r="T874" s="50">
        <f>291*0.11</f>
        <v>32.01</v>
      </c>
      <c r="U874" s="66">
        <v>0</v>
      </c>
      <c r="V874" s="66">
        <v>0</v>
      </c>
      <c r="W874" s="66">
        <v>0</v>
      </c>
      <c r="X874" s="66">
        <v>0</v>
      </c>
      <c r="Y874" s="66">
        <v>0</v>
      </c>
      <c r="Z874" s="66">
        <v>0</v>
      </c>
      <c r="AA874" s="66">
        <v>0</v>
      </c>
      <c r="AB874" s="66">
        <v>0</v>
      </c>
      <c r="AC874" s="66">
        <v>0</v>
      </c>
    </row>
    <row r="875" spans="1:30">
      <c r="A875" s="43" t="s">
        <v>737</v>
      </c>
      <c r="B875" s="43" t="s">
        <v>574</v>
      </c>
      <c r="T875" s="66">
        <v>0</v>
      </c>
      <c r="U875" s="66">
        <v>0</v>
      </c>
      <c r="V875" s="66">
        <v>0</v>
      </c>
      <c r="W875" s="66">
        <v>0</v>
      </c>
      <c r="X875" s="66">
        <v>0</v>
      </c>
      <c r="Y875" s="66">
        <f>55*0.6</f>
        <v>33</v>
      </c>
      <c r="Z875" s="66">
        <f>45.4*0.6</f>
        <v>27.24</v>
      </c>
      <c r="AA875" s="66">
        <f>41*0.6</f>
        <v>24.599999999999998</v>
      </c>
      <c r="AB875" s="66">
        <f>16.04073*0.6</f>
        <v>9.6244379999999996</v>
      </c>
      <c r="AC875" s="66">
        <v>0</v>
      </c>
    </row>
    <row r="876" spans="1:30">
      <c r="A876" s="43" t="s">
        <v>737</v>
      </c>
      <c r="B876" s="43" t="s">
        <v>535</v>
      </c>
      <c r="T876" s="66">
        <v>0</v>
      </c>
      <c r="U876" s="66">
        <v>0</v>
      </c>
      <c r="V876" s="66">
        <v>0</v>
      </c>
      <c r="W876" s="66">
        <v>0</v>
      </c>
      <c r="X876" s="66">
        <v>0</v>
      </c>
      <c r="Y876" s="66">
        <v>0</v>
      </c>
      <c r="Z876" s="66">
        <v>0</v>
      </c>
      <c r="AA876" s="66">
        <v>0</v>
      </c>
      <c r="AB876" s="66">
        <v>0</v>
      </c>
      <c r="AC876" s="66">
        <v>0</v>
      </c>
    </row>
    <row r="877" spans="1:30">
      <c r="A877" s="43" t="s">
        <v>796</v>
      </c>
      <c r="B877" s="43" t="s">
        <v>752</v>
      </c>
      <c r="U877" s="66" t="s">
        <v>685</v>
      </c>
      <c r="V877" s="66" t="s">
        <v>685</v>
      </c>
      <c r="W877" s="72" t="s">
        <v>685</v>
      </c>
      <c r="X877" s="66" t="s">
        <v>685</v>
      </c>
      <c r="Y877" s="66" t="s">
        <v>685</v>
      </c>
      <c r="Z877" s="72" t="s">
        <v>685</v>
      </c>
      <c r="AA877" s="66">
        <v>0</v>
      </c>
      <c r="AB877" s="72">
        <v>0</v>
      </c>
      <c r="AC877" s="72">
        <v>0</v>
      </c>
      <c r="AD877" s="72"/>
    </row>
    <row r="878" spans="1:30">
      <c r="A878" s="43" t="s">
        <v>796</v>
      </c>
      <c r="B878" s="43" t="s">
        <v>663</v>
      </c>
      <c r="U878" s="66" t="s">
        <v>685</v>
      </c>
      <c r="V878" s="66" t="s">
        <v>685</v>
      </c>
      <c r="W878" s="72" t="s">
        <v>685</v>
      </c>
      <c r="X878" s="66" t="s">
        <v>685</v>
      </c>
      <c r="Y878" s="66" t="s">
        <v>685</v>
      </c>
      <c r="Z878" s="72" t="s">
        <v>685</v>
      </c>
      <c r="AA878" s="66">
        <v>0</v>
      </c>
      <c r="AB878" s="72">
        <v>0</v>
      </c>
      <c r="AC878" s="72">
        <v>0</v>
      </c>
      <c r="AD878" s="72"/>
    </row>
    <row r="879" spans="1:30">
      <c r="A879" s="43" t="s">
        <v>796</v>
      </c>
      <c r="B879" s="43" t="s">
        <v>243</v>
      </c>
      <c r="U879" s="66" t="s">
        <v>685</v>
      </c>
      <c r="V879" s="66" t="s">
        <v>685</v>
      </c>
      <c r="W879" s="72" t="s">
        <v>685</v>
      </c>
      <c r="X879" s="66" t="s">
        <v>685</v>
      </c>
      <c r="Y879" s="66" t="s">
        <v>685</v>
      </c>
      <c r="Z879" s="72" t="s">
        <v>685</v>
      </c>
      <c r="AA879" s="66">
        <v>0</v>
      </c>
      <c r="AB879" s="72">
        <v>0</v>
      </c>
      <c r="AC879" s="72">
        <v>0</v>
      </c>
      <c r="AD879" s="72"/>
    </row>
    <row r="880" spans="1:30">
      <c r="A880" s="43" t="s">
        <v>796</v>
      </c>
      <c r="B880" s="43" t="s">
        <v>95</v>
      </c>
      <c r="U880" s="66">
        <f>42*0.055</f>
        <v>2.31</v>
      </c>
      <c r="V880" s="66">
        <f>58.91*0.055</f>
        <v>3.2400499999999997</v>
      </c>
      <c r="W880" s="66">
        <f>61*0.055</f>
        <v>3.355</v>
      </c>
      <c r="X880" s="66">
        <f>58.9*0.055</f>
        <v>3.2395</v>
      </c>
      <c r="Y880" s="66">
        <f>52*0.055</f>
        <v>2.86</v>
      </c>
      <c r="Z880" s="66">
        <f>40.5*0.055</f>
        <v>2.2275</v>
      </c>
      <c r="AA880" s="66">
        <f>25.09*0.055</f>
        <v>1.37995</v>
      </c>
      <c r="AB880" s="66">
        <f>18.73*0.055</f>
        <v>1.0301500000000001</v>
      </c>
      <c r="AC880" s="66">
        <f>18.91*0.055</f>
        <v>1.0400499999999999</v>
      </c>
    </row>
    <row r="881" spans="1:30">
      <c r="A881" s="43" t="s">
        <v>796</v>
      </c>
      <c r="B881" s="43" t="s">
        <v>825</v>
      </c>
      <c r="U881" s="66">
        <v>0</v>
      </c>
      <c r="V881" s="66">
        <v>0</v>
      </c>
      <c r="W881" s="66">
        <v>0</v>
      </c>
      <c r="X881" s="66">
        <v>0</v>
      </c>
      <c r="Y881" s="66">
        <v>0</v>
      </c>
      <c r="Z881" s="66">
        <v>0</v>
      </c>
      <c r="AA881" s="66">
        <v>0</v>
      </c>
      <c r="AB881" s="66">
        <v>0</v>
      </c>
      <c r="AC881" s="66">
        <v>0</v>
      </c>
    </row>
    <row r="882" spans="1:30">
      <c r="A882" s="43" t="s">
        <v>796</v>
      </c>
      <c r="B882" s="43" t="s">
        <v>574</v>
      </c>
      <c r="U882" s="66">
        <f>0.4*0.6</f>
        <v>0.24</v>
      </c>
      <c r="V882" s="66">
        <v>0</v>
      </c>
      <c r="W882" s="66">
        <v>0</v>
      </c>
      <c r="X882" s="66">
        <v>0</v>
      </c>
      <c r="Y882" s="66">
        <v>0</v>
      </c>
      <c r="Z882" s="66">
        <v>0</v>
      </c>
      <c r="AA882" s="66">
        <v>0</v>
      </c>
      <c r="AB882" s="66">
        <v>0</v>
      </c>
      <c r="AC882" s="66">
        <v>0</v>
      </c>
    </row>
    <row r="883" spans="1:30">
      <c r="A883" s="43" t="s">
        <v>796</v>
      </c>
      <c r="B883" s="43" t="s">
        <v>535</v>
      </c>
      <c r="U883" s="66">
        <v>0</v>
      </c>
      <c r="V883" s="66">
        <v>0</v>
      </c>
      <c r="W883" s="66">
        <v>0</v>
      </c>
      <c r="X883" s="66">
        <v>0</v>
      </c>
      <c r="Y883" s="66">
        <v>0</v>
      </c>
      <c r="Z883" s="66">
        <v>0</v>
      </c>
      <c r="AA883" s="66">
        <v>0</v>
      </c>
      <c r="AB883" s="66">
        <v>0</v>
      </c>
      <c r="AC883" s="66">
        <v>0</v>
      </c>
    </row>
    <row r="884" spans="1:30">
      <c r="A884" s="43" t="s">
        <v>558</v>
      </c>
      <c r="B884" s="43" t="s">
        <v>752</v>
      </c>
      <c r="C884" s="72">
        <v>520.48800000000006</v>
      </c>
      <c r="D884" s="72">
        <v>497.84</v>
      </c>
      <c r="E884" s="72">
        <v>315.72000000000003</v>
      </c>
      <c r="H884" s="72">
        <v>220.34</v>
      </c>
      <c r="I884" s="72">
        <v>190.36600000000001</v>
      </c>
      <c r="J884" s="72">
        <v>185</v>
      </c>
      <c r="K884" s="72">
        <v>179.87</v>
      </c>
      <c r="L884" s="72">
        <v>155.684</v>
      </c>
      <c r="M884" s="72">
        <v>149.19</v>
      </c>
      <c r="N884" s="73">
        <v>105.30800000000001</v>
      </c>
      <c r="O884" s="73">
        <v>62.194000000000003</v>
      </c>
      <c r="P884" s="73">
        <v>0</v>
      </c>
      <c r="Q884" s="73">
        <v>0</v>
      </c>
      <c r="R884" s="50">
        <v>0</v>
      </c>
      <c r="S884" s="50">
        <v>0</v>
      </c>
      <c r="T884" s="66" t="s">
        <v>685</v>
      </c>
      <c r="U884" s="66" t="s">
        <v>685</v>
      </c>
      <c r="V884" s="66" t="s">
        <v>685</v>
      </c>
      <c r="W884" s="66" t="s">
        <v>685</v>
      </c>
      <c r="X884" s="72" t="s">
        <v>685</v>
      </c>
      <c r="Y884" s="66" t="s">
        <v>685</v>
      </c>
      <c r="Z884" s="72" t="s">
        <v>685</v>
      </c>
      <c r="AA884" s="72">
        <v>0</v>
      </c>
      <c r="AB884" s="72">
        <v>0</v>
      </c>
      <c r="AC884" s="72">
        <v>0</v>
      </c>
      <c r="AD884" s="72"/>
    </row>
    <row r="885" spans="1:30">
      <c r="A885" s="43" t="s">
        <v>558</v>
      </c>
      <c r="B885" s="43" t="s">
        <v>663</v>
      </c>
      <c r="C885" s="72">
        <v>16.379000000000001</v>
      </c>
      <c r="D885" s="72">
        <v>43.637</v>
      </c>
      <c r="E885" s="72">
        <v>13.99</v>
      </c>
      <c r="H885" s="72">
        <v>16.39</v>
      </c>
      <c r="I885" s="72">
        <v>30.14</v>
      </c>
      <c r="J885" s="72">
        <v>29.48</v>
      </c>
      <c r="K885" s="72">
        <v>23.925000000000001</v>
      </c>
      <c r="L885" s="72">
        <v>27.39</v>
      </c>
      <c r="M885" s="72">
        <v>3.6190000000000002</v>
      </c>
      <c r="N885" s="73">
        <v>22.308000000000003</v>
      </c>
      <c r="O885" s="73">
        <v>1.0999999999999999E-2</v>
      </c>
      <c r="P885" s="73">
        <v>0</v>
      </c>
      <c r="Q885" s="73">
        <v>2.2000000000000002E-2</v>
      </c>
      <c r="R885" s="50">
        <f>4/1000*1.1</f>
        <v>4.4000000000000003E-3</v>
      </c>
      <c r="S885" s="50">
        <v>0</v>
      </c>
      <c r="T885" s="66" t="s">
        <v>685</v>
      </c>
      <c r="U885" s="66" t="s">
        <v>685</v>
      </c>
      <c r="V885" s="66" t="s">
        <v>685</v>
      </c>
      <c r="W885" s="66" t="s">
        <v>685</v>
      </c>
      <c r="X885" s="72" t="s">
        <v>685</v>
      </c>
      <c r="Y885" s="66" t="s">
        <v>685</v>
      </c>
      <c r="Z885" s="72" t="s">
        <v>685</v>
      </c>
      <c r="AA885" s="72">
        <v>0</v>
      </c>
      <c r="AB885" s="72">
        <v>0</v>
      </c>
      <c r="AC885" s="72">
        <v>0</v>
      </c>
      <c r="AD885" s="72"/>
    </row>
    <row r="886" spans="1:30">
      <c r="A886" s="43" t="s">
        <v>558</v>
      </c>
      <c r="B886" s="43" t="s">
        <v>243</v>
      </c>
      <c r="C886" s="72">
        <v>0</v>
      </c>
      <c r="D886" s="72">
        <v>0</v>
      </c>
      <c r="E886" s="72">
        <v>0</v>
      </c>
      <c r="H886" s="72">
        <v>0</v>
      </c>
      <c r="I886" s="72">
        <v>0</v>
      </c>
      <c r="J886" s="72">
        <v>0</v>
      </c>
      <c r="K886" s="72">
        <v>0</v>
      </c>
      <c r="L886" s="72">
        <v>0</v>
      </c>
      <c r="M886" s="72">
        <v>0</v>
      </c>
      <c r="N886" s="73">
        <v>0</v>
      </c>
      <c r="O886" s="73">
        <v>0</v>
      </c>
      <c r="P886" s="73">
        <v>0</v>
      </c>
      <c r="Q886" s="73">
        <v>0</v>
      </c>
      <c r="R886" s="50">
        <v>0</v>
      </c>
      <c r="S886" s="50">
        <v>0</v>
      </c>
      <c r="T886" s="66" t="s">
        <v>685</v>
      </c>
      <c r="U886" s="66" t="s">
        <v>685</v>
      </c>
      <c r="V886" s="66" t="s">
        <v>685</v>
      </c>
      <c r="W886" s="66" t="s">
        <v>685</v>
      </c>
      <c r="X886" s="72" t="s">
        <v>685</v>
      </c>
      <c r="Y886" s="66" t="s">
        <v>685</v>
      </c>
      <c r="Z886" s="72" t="s">
        <v>685</v>
      </c>
      <c r="AA886" s="72">
        <v>0</v>
      </c>
      <c r="AB886" s="72">
        <v>0</v>
      </c>
      <c r="AC886" s="72">
        <v>0</v>
      </c>
      <c r="AD886" s="72"/>
    </row>
    <row r="887" spans="1:30">
      <c r="A887" s="43" t="s">
        <v>558</v>
      </c>
      <c r="B887" s="43" t="s">
        <v>95</v>
      </c>
      <c r="C887" s="73">
        <v>7.7797499999999991</v>
      </c>
      <c r="D887" s="73">
        <v>12.75285</v>
      </c>
      <c r="E887" s="73">
        <v>12.1</v>
      </c>
      <c r="H887" s="73">
        <v>6.5689000000000002</v>
      </c>
      <c r="I887" s="73">
        <v>5.8610999999999995</v>
      </c>
      <c r="J887" s="73">
        <v>8.7983499999999992</v>
      </c>
      <c r="K887" s="73">
        <v>7.0235000000000003</v>
      </c>
      <c r="L887" s="73">
        <v>14.23775</v>
      </c>
      <c r="M887" s="73">
        <v>9.7333999999999996</v>
      </c>
      <c r="N887" s="73">
        <v>12.367049999999999</v>
      </c>
      <c r="O887" s="73">
        <v>15.364799999999999</v>
      </c>
      <c r="P887" s="73">
        <v>10.265650000000001</v>
      </c>
      <c r="Q887" s="73">
        <v>13.418349999999998</v>
      </c>
      <c r="R887" s="50">
        <f>(225.29*0.055)+(17.37*0.11)</f>
        <v>14.30165</v>
      </c>
      <c r="S887" s="50">
        <f>(271.18*0.055)+(12.87*0.11)</f>
        <v>16.3306</v>
      </c>
      <c r="T887" s="66">
        <f>(298.35*0.055)+(14.61*0.11)</f>
        <v>18.016349999999999</v>
      </c>
      <c r="U887" s="66">
        <f>(227.37*0.055)+(7.74*0.11)+(0.4*0.02)+(0.016*0.07)</f>
        <v>13.365869999999999</v>
      </c>
      <c r="V887" s="66">
        <f>(211.22*0.055)+(11.21*0.11)+(2.09*0.02)</f>
        <v>12.892000000000001</v>
      </c>
      <c r="W887" s="66">
        <f>187.45*0.055</f>
        <v>10.309749999999999</v>
      </c>
      <c r="X887" s="66">
        <f>231.5432*0.055</f>
        <v>12.734876000000002</v>
      </c>
      <c r="Y887" s="66">
        <f>(163.6352*0.055)+(1.9976*0.02)</f>
        <v>9.0398879999999995</v>
      </c>
      <c r="Z887" s="66">
        <f>178.909*0.055</f>
        <v>9.839995</v>
      </c>
      <c r="AA887" s="66">
        <f>180.18*0.055</f>
        <v>9.9099000000000004</v>
      </c>
      <c r="AB887" s="66">
        <f>155.822*0.055</f>
        <v>8.5702099999999994</v>
      </c>
      <c r="AC887" s="66">
        <f>155.98*0.055</f>
        <v>8.5788999999999991</v>
      </c>
    </row>
    <row r="888" spans="1:30">
      <c r="A888" s="43" t="s">
        <v>558</v>
      </c>
      <c r="B888" s="43" t="s">
        <v>825</v>
      </c>
      <c r="Q888" s="73">
        <v>0</v>
      </c>
      <c r="R888" s="50">
        <f>1.2*0.11</f>
        <v>0.13200000000000001</v>
      </c>
      <c r="S888" s="50">
        <f>5.09*0.11</f>
        <v>0.55989999999999995</v>
      </c>
      <c r="T888" s="50">
        <f>16.88*0.11</f>
        <v>1.8568</v>
      </c>
      <c r="U888" s="50">
        <f>11.33*0.11</f>
        <v>1.2463</v>
      </c>
      <c r="V888" s="50">
        <f>21.68*0.11</f>
        <v>2.3847999999999998</v>
      </c>
      <c r="W888" s="50">
        <f>9.408*0.11</f>
        <v>1.03488</v>
      </c>
      <c r="X888" s="50">
        <v>0</v>
      </c>
      <c r="Y888" s="50">
        <v>0</v>
      </c>
      <c r="Z888" s="50">
        <v>0</v>
      </c>
      <c r="AA888" s="50">
        <v>0</v>
      </c>
      <c r="AB888" s="50">
        <v>0</v>
      </c>
      <c r="AC888" s="50">
        <v>0</v>
      </c>
      <c r="AD888" s="50"/>
    </row>
    <row r="889" spans="1:30">
      <c r="A889" s="43" t="s">
        <v>558</v>
      </c>
      <c r="B889" s="43" t="s">
        <v>574</v>
      </c>
      <c r="C889" s="72">
        <v>2.88</v>
      </c>
      <c r="D889" s="72">
        <v>8.2919999999999998</v>
      </c>
      <c r="E889" s="72">
        <v>2.7</v>
      </c>
      <c r="H889" s="72">
        <v>4.83</v>
      </c>
      <c r="I889" s="72">
        <v>3.26</v>
      </c>
      <c r="J889" s="72">
        <v>1.9379999999999999</v>
      </c>
      <c r="K889" s="72">
        <v>4.5</v>
      </c>
      <c r="L889" s="72">
        <v>1.506</v>
      </c>
      <c r="M889" s="72">
        <v>1.0680000000000001</v>
      </c>
      <c r="N889" s="73">
        <v>0</v>
      </c>
      <c r="O889" s="73">
        <v>0</v>
      </c>
      <c r="P889" s="73">
        <v>0</v>
      </c>
      <c r="Q889" s="73">
        <v>0</v>
      </c>
      <c r="R889" s="50">
        <v>0</v>
      </c>
      <c r="S889" s="50">
        <v>0</v>
      </c>
      <c r="T889" s="66">
        <v>0</v>
      </c>
      <c r="U889" s="66">
        <v>0</v>
      </c>
      <c r="V889" s="66">
        <v>0</v>
      </c>
      <c r="W889" s="66">
        <v>0</v>
      </c>
      <c r="X889" s="66">
        <v>0</v>
      </c>
      <c r="Y889" s="66">
        <v>0</v>
      </c>
      <c r="Z889" s="66">
        <v>0</v>
      </c>
      <c r="AA889" s="66">
        <v>0</v>
      </c>
      <c r="AB889" s="66">
        <v>0</v>
      </c>
      <c r="AC889" s="66">
        <v>0</v>
      </c>
    </row>
    <row r="890" spans="1:30">
      <c r="A890" s="43" t="s">
        <v>558</v>
      </c>
      <c r="B890" s="43" t="s">
        <v>535</v>
      </c>
      <c r="C890" s="72">
        <v>4.8460000000000001</v>
      </c>
      <c r="D890" s="72">
        <v>3.746</v>
      </c>
      <c r="E890" s="72">
        <v>3.7</v>
      </c>
      <c r="H890" s="72">
        <v>3.85</v>
      </c>
      <c r="I890" s="72">
        <v>0</v>
      </c>
      <c r="J890" s="72">
        <v>0</v>
      </c>
      <c r="K890" s="72">
        <v>0</v>
      </c>
      <c r="L890" s="72">
        <v>0</v>
      </c>
      <c r="M890" s="72">
        <v>0</v>
      </c>
      <c r="N890" s="73">
        <v>0</v>
      </c>
      <c r="O890" s="73">
        <v>0</v>
      </c>
      <c r="P890" s="73">
        <v>0</v>
      </c>
      <c r="Q890" s="73">
        <v>8.1000000000000016E-2</v>
      </c>
      <c r="R890" s="50">
        <f>1.62*0.1</f>
        <v>0.16200000000000003</v>
      </c>
      <c r="S890" s="50">
        <v>0</v>
      </c>
      <c r="T890" s="66">
        <v>0</v>
      </c>
      <c r="U890" s="66">
        <v>0</v>
      </c>
      <c r="V890" s="66">
        <v>0</v>
      </c>
      <c r="W890" s="66">
        <v>0</v>
      </c>
      <c r="X890" s="66">
        <v>0</v>
      </c>
      <c r="Y890" s="66">
        <v>0</v>
      </c>
      <c r="Z890" s="66">
        <v>0</v>
      </c>
      <c r="AA890" s="66">
        <v>0</v>
      </c>
      <c r="AB890" s="66">
        <v>0</v>
      </c>
      <c r="AC890" s="66">
        <v>0</v>
      </c>
    </row>
    <row r="891" spans="1:30">
      <c r="A891" s="43" t="s">
        <v>562</v>
      </c>
      <c r="B891" s="43" t="s">
        <v>752</v>
      </c>
      <c r="C891" s="72">
        <v>635</v>
      </c>
      <c r="D891" s="72">
        <v>429.5</v>
      </c>
      <c r="E891" s="72">
        <v>306</v>
      </c>
      <c r="F891" s="72">
        <v>294.5</v>
      </c>
      <c r="G891" s="72">
        <v>294.5</v>
      </c>
      <c r="H891" s="72">
        <v>291.5</v>
      </c>
      <c r="I891" s="72">
        <v>266</v>
      </c>
      <c r="J891" s="72">
        <v>253</v>
      </c>
      <c r="K891" s="72">
        <v>216</v>
      </c>
      <c r="L891" s="72">
        <v>203</v>
      </c>
      <c r="M891" s="72">
        <v>185</v>
      </c>
      <c r="N891" s="73">
        <v>120</v>
      </c>
      <c r="O891" s="73">
        <v>61</v>
      </c>
      <c r="P891" s="73">
        <v>44.81</v>
      </c>
      <c r="Q891" s="73">
        <v>21</v>
      </c>
      <c r="R891" s="50">
        <v>0</v>
      </c>
      <c r="S891" s="50">
        <v>0</v>
      </c>
      <c r="T891" s="66" t="s">
        <v>685</v>
      </c>
      <c r="U891" s="66" t="s">
        <v>685</v>
      </c>
      <c r="V891" s="66" t="s">
        <v>685</v>
      </c>
      <c r="W891" s="66" t="s">
        <v>685</v>
      </c>
      <c r="X891" s="66" t="s">
        <v>685</v>
      </c>
      <c r="Y891" s="72" t="s">
        <v>685</v>
      </c>
      <c r="Z891" s="66" t="s">
        <v>685</v>
      </c>
      <c r="AA891" s="66">
        <v>0</v>
      </c>
      <c r="AB891" s="66">
        <v>0</v>
      </c>
      <c r="AC891" s="66">
        <v>0</v>
      </c>
    </row>
    <row r="892" spans="1:30">
      <c r="A892" s="43" t="s">
        <v>562</v>
      </c>
      <c r="B892" s="43" t="s">
        <v>663</v>
      </c>
      <c r="C892" s="72">
        <v>2.75</v>
      </c>
      <c r="D892" s="72">
        <v>2.2000000000000002</v>
      </c>
      <c r="E892" s="72">
        <v>4.29</v>
      </c>
      <c r="F892" s="72">
        <v>2.2000000000000002</v>
      </c>
      <c r="G892" s="72">
        <v>2.2000000000000002</v>
      </c>
      <c r="H892" s="72">
        <v>2.2000000000000002</v>
      </c>
      <c r="I892" s="72">
        <v>2.2000000000000002</v>
      </c>
      <c r="J892" s="72">
        <v>2.2000000000000002</v>
      </c>
      <c r="K892" s="72">
        <v>1.1000000000000001</v>
      </c>
      <c r="L892" s="72">
        <v>0.66</v>
      </c>
      <c r="M892" s="72">
        <v>0.33</v>
      </c>
      <c r="N892" s="73">
        <v>0</v>
      </c>
      <c r="O892" s="73">
        <v>0</v>
      </c>
      <c r="P892" s="73">
        <v>0</v>
      </c>
      <c r="Q892" s="73">
        <v>0</v>
      </c>
      <c r="R892" s="50">
        <v>0</v>
      </c>
      <c r="S892" s="50">
        <v>0</v>
      </c>
      <c r="T892" s="66" t="s">
        <v>685</v>
      </c>
      <c r="U892" s="66" t="s">
        <v>685</v>
      </c>
      <c r="V892" s="66" t="s">
        <v>685</v>
      </c>
      <c r="W892" s="66" t="s">
        <v>685</v>
      </c>
      <c r="X892" s="66" t="s">
        <v>685</v>
      </c>
      <c r="Y892" s="72" t="s">
        <v>685</v>
      </c>
      <c r="Z892" s="66" t="s">
        <v>685</v>
      </c>
      <c r="AA892" s="66">
        <v>0</v>
      </c>
      <c r="AB892" s="66">
        <v>0</v>
      </c>
      <c r="AC892" s="66">
        <v>0</v>
      </c>
    </row>
    <row r="893" spans="1:30">
      <c r="A893" s="43" t="s">
        <v>562</v>
      </c>
      <c r="B893" s="43" t="s">
        <v>243</v>
      </c>
      <c r="C893" s="72">
        <v>0</v>
      </c>
      <c r="D893" s="72">
        <v>4.5</v>
      </c>
      <c r="E893" s="72">
        <v>1.5</v>
      </c>
      <c r="F893" s="72">
        <v>0</v>
      </c>
      <c r="G893" s="72">
        <v>0</v>
      </c>
      <c r="H893" s="72">
        <v>0</v>
      </c>
      <c r="I893" s="72">
        <v>0</v>
      </c>
      <c r="J893" s="72">
        <v>0</v>
      </c>
      <c r="K893" s="72">
        <v>0</v>
      </c>
      <c r="L893" s="72">
        <v>0</v>
      </c>
      <c r="M893" s="72">
        <v>0</v>
      </c>
      <c r="N893" s="73">
        <v>0</v>
      </c>
      <c r="O893" s="73">
        <v>0</v>
      </c>
      <c r="P893" s="73">
        <v>0</v>
      </c>
      <c r="Q893" s="73">
        <v>0</v>
      </c>
      <c r="R893" s="50">
        <v>0</v>
      </c>
      <c r="S893" s="50">
        <v>0</v>
      </c>
      <c r="T893" s="66" t="s">
        <v>685</v>
      </c>
      <c r="U893" s="66" t="s">
        <v>685</v>
      </c>
      <c r="V893" s="66" t="s">
        <v>685</v>
      </c>
      <c r="W893" s="66" t="s">
        <v>685</v>
      </c>
      <c r="X893" s="66" t="s">
        <v>685</v>
      </c>
      <c r="Y893" s="72" t="s">
        <v>685</v>
      </c>
      <c r="Z893" s="66" t="s">
        <v>685</v>
      </c>
      <c r="AA893" s="66">
        <v>0</v>
      </c>
      <c r="AB893" s="66">
        <v>0</v>
      </c>
      <c r="AC893" s="66">
        <v>0</v>
      </c>
    </row>
    <row r="894" spans="1:30">
      <c r="A894" s="43" t="s">
        <v>562</v>
      </c>
      <c r="B894" s="43" t="s">
        <v>95</v>
      </c>
      <c r="C894" s="73">
        <v>0</v>
      </c>
      <c r="D894" s="73">
        <v>0</v>
      </c>
      <c r="E894" s="73">
        <v>0</v>
      </c>
      <c r="F894" s="73">
        <v>0</v>
      </c>
      <c r="G894" s="73">
        <v>0</v>
      </c>
      <c r="H894" s="73">
        <v>0</v>
      </c>
      <c r="I894" s="73">
        <v>0</v>
      </c>
      <c r="J894" s="73">
        <v>0</v>
      </c>
      <c r="K894" s="73">
        <v>0</v>
      </c>
      <c r="L894" s="73">
        <v>0</v>
      </c>
      <c r="M894" s="73">
        <v>0</v>
      </c>
      <c r="N894" s="73">
        <v>0</v>
      </c>
      <c r="O894" s="73">
        <v>8.8439999999999994</v>
      </c>
      <c r="P894" s="73">
        <v>46.20825</v>
      </c>
      <c r="Q894" s="73">
        <v>50.6</v>
      </c>
      <c r="R894" s="50">
        <f>(227*0.055)+(384.2*0.11)</f>
        <v>54.747</v>
      </c>
      <c r="S894" s="50">
        <f>(286*0.055)+(400*0.11)</f>
        <v>59.730000000000004</v>
      </c>
      <c r="T894" s="66">
        <f>(253*0.055)+(409*0.11)</f>
        <v>58.905000000000001</v>
      </c>
      <c r="U894" s="66">
        <f>(207*0.055)+(362.33*0.11)</f>
        <v>51.241299999999995</v>
      </c>
      <c r="V894" s="66">
        <f>(229.09*0.055)+(364.54*0.11)</f>
        <v>52.699350000000003</v>
      </c>
      <c r="W894" s="66">
        <f>(209.78*0.055)+(320.47*0.11)</f>
        <v>46.789600000000007</v>
      </c>
      <c r="X894" s="66">
        <f>(203.58*0.055)+(280.67*0.11)</f>
        <v>42.070600000000006</v>
      </c>
      <c r="Y894" s="66">
        <f>(197.5*0.055)+(234.1*0.11)</f>
        <v>36.613500000000002</v>
      </c>
      <c r="Z894" s="66">
        <f>(197.8*0.055)+(234.1*0.11)</f>
        <v>36.630000000000003</v>
      </c>
      <c r="AA894" s="66">
        <f>(190*0.055)+(180.64*0.11)</f>
        <v>30.320399999999999</v>
      </c>
      <c r="AB894" s="66">
        <f>192.62*0.055</f>
        <v>10.594100000000001</v>
      </c>
      <c r="AC894" s="66">
        <f>170*0.055</f>
        <v>9.35</v>
      </c>
    </row>
    <row r="895" spans="1:30">
      <c r="A895" s="43" t="s">
        <v>562</v>
      </c>
      <c r="B895" s="43" t="s">
        <v>825</v>
      </c>
      <c r="Q895" s="73">
        <v>0</v>
      </c>
      <c r="R895" s="50">
        <v>0</v>
      </c>
      <c r="S895" s="50">
        <v>0</v>
      </c>
      <c r="T895" s="66">
        <v>0</v>
      </c>
      <c r="U895" s="66">
        <v>0</v>
      </c>
      <c r="V895" s="66">
        <v>0</v>
      </c>
      <c r="W895" s="66">
        <v>0</v>
      </c>
      <c r="X895" s="66">
        <v>0</v>
      </c>
      <c r="Y895" s="66">
        <v>0</v>
      </c>
      <c r="Z895" s="66">
        <v>0</v>
      </c>
      <c r="AA895" s="66">
        <v>0</v>
      </c>
      <c r="AB895" s="66">
        <v>0</v>
      </c>
      <c r="AC895" s="66">
        <v>0</v>
      </c>
    </row>
    <row r="896" spans="1:30">
      <c r="A896" s="43" t="s">
        <v>562</v>
      </c>
      <c r="B896" s="43" t="s">
        <v>574</v>
      </c>
      <c r="C896" s="72">
        <v>6</v>
      </c>
      <c r="D896" s="72">
        <v>0</v>
      </c>
      <c r="E896" s="72">
        <v>3</v>
      </c>
      <c r="F896" s="72">
        <v>3</v>
      </c>
      <c r="G896" s="72">
        <v>3</v>
      </c>
      <c r="H896" s="72">
        <v>3</v>
      </c>
      <c r="I896" s="72">
        <v>3</v>
      </c>
      <c r="J896" s="72">
        <v>3</v>
      </c>
      <c r="K896" s="72">
        <v>1.8</v>
      </c>
      <c r="L896" s="72">
        <v>1.32</v>
      </c>
      <c r="M896" s="72">
        <v>1.32</v>
      </c>
      <c r="N896" s="73">
        <v>1.32</v>
      </c>
      <c r="O896" s="73">
        <v>1.32</v>
      </c>
      <c r="P896" s="73">
        <v>1.32</v>
      </c>
      <c r="Q896" s="73">
        <v>1.32</v>
      </c>
      <c r="R896" s="50">
        <f>1.76*0.6</f>
        <v>1.056</v>
      </c>
      <c r="S896" s="50">
        <v>0</v>
      </c>
      <c r="T896" s="66">
        <f>2*0.6</f>
        <v>1.2</v>
      </c>
      <c r="U896" s="66">
        <f>1.2*0.6</f>
        <v>0.72</v>
      </c>
      <c r="V896" s="66">
        <f>1.2*0.6</f>
        <v>0.72</v>
      </c>
      <c r="W896" s="66">
        <v>0</v>
      </c>
      <c r="X896" s="66">
        <v>0</v>
      </c>
      <c r="Y896" s="66">
        <v>0</v>
      </c>
      <c r="Z896" s="66">
        <v>0</v>
      </c>
      <c r="AA896" s="66">
        <v>0</v>
      </c>
      <c r="AB896" s="66">
        <v>0</v>
      </c>
      <c r="AC896" s="66">
        <v>0</v>
      </c>
    </row>
    <row r="897" spans="1:30">
      <c r="A897" s="43" t="s">
        <v>562</v>
      </c>
      <c r="B897" s="43" t="s">
        <v>535</v>
      </c>
      <c r="C897" s="72">
        <v>0</v>
      </c>
      <c r="D897" s="72">
        <v>0.24</v>
      </c>
      <c r="E897" s="72">
        <v>0.13</v>
      </c>
      <c r="F897" s="72">
        <v>0</v>
      </c>
      <c r="G897" s="72">
        <v>0</v>
      </c>
      <c r="H897" s="72">
        <v>0</v>
      </c>
      <c r="I897" s="72">
        <v>0</v>
      </c>
      <c r="J897" s="72">
        <v>0</v>
      </c>
      <c r="K897" s="72">
        <v>0</v>
      </c>
      <c r="L897" s="72">
        <v>0</v>
      </c>
      <c r="M897" s="72">
        <v>0</v>
      </c>
      <c r="N897" s="73">
        <v>0</v>
      </c>
      <c r="O897" s="73">
        <v>0</v>
      </c>
      <c r="P897" s="73">
        <v>0</v>
      </c>
      <c r="Q897" s="73">
        <v>0</v>
      </c>
      <c r="R897" s="50">
        <v>0</v>
      </c>
      <c r="S897" s="50">
        <v>0</v>
      </c>
      <c r="T897" s="66">
        <v>0</v>
      </c>
      <c r="U897" s="66">
        <v>0</v>
      </c>
      <c r="V897" s="66">
        <v>0</v>
      </c>
      <c r="W897" s="66">
        <v>0</v>
      </c>
      <c r="X897" s="66">
        <v>0</v>
      </c>
      <c r="Y897" s="66">
        <v>0</v>
      </c>
      <c r="Z897" s="66">
        <v>0</v>
      </c>
      <c r="AA897" s="66">
        <v>0</v>
      </c>
      <c r="AB897" s="66">
        <v>0</v>
      </c>
      <c r="AC897" s="66">
        <v>0</v>
      </c>
    </row>
    <row r="898" spans="1:30">
      <c r="A898" s="67" t="s">
        <v>563</v>
      </c>
      <c r="B898" s="67" t="s">
        <v>752</v>
      </c>
      <c r="C898" s="72">
        <v>40.98</v>
      </c>
      <c r="D898" s="72">
        <v>40.98</v>
      </c>
      <c r="E898" s="72">
        <v>41.98</v>
      </c>
      <c r="F898" s="72">
        <v>41.98</v>
      </c>
      <c r="G898" s="72">
        <v>42.98</v>
      </c>
      <c r="H898" s="72">
        <v>43.98</v>
      </c>
      <c r="I898" s="72">
        <v>46</v>
      </c>
      <c r="J898" s="72">
        <v>46</v>
      </c>
      <c r="K898" s="72">
        <v>12.295999999999999</v>
      </c>
      <c r="L898" s="72">
        <v>9.2200000000000006</v>
      </c>
      <c r="M898" s="72">
        <v>7.48</v>
      </c>
      <c r="N898" s="73">
        <v>0.11399999999999999</v>
      </c>
      <c r="O898" s="73">
        <v>0.12</v>
      </c>
      <c r="P898" s="73">
        <v>0</v>
      </c>
      <c r="Q898" s="73">
        <v>0</v>
      </c>
      <c r="R898" s="50">
        <v>0</v>
      </c>
      <c r="S898" s="50">
        <v>0</v>
      </c>
      <c r="T898" s="66">
        <v>0</v>
      </c>
      <c r="U898" s="66">
        <v>0</v>
      </c>
      <c r="V898" s="66" t="s">
        <v>685</v>
      </c>
      <c r="W898" s="66">
        <v>0</v>
      </c>
      <c r="X898" s="66" t="s">
        <v>685</v>
      </c>
      <c r="Y898" s="66" t="s">
        <v>685</v>
      </c>
      <c r="Z898" s="72" t="s">
        <v>685</v>
      </c>
      <c r="AA898" s="72">
        <v>0</v>
      </c>
      <c r="AB898" s="72">
        <v>0</v>
      </c>
      <c r="AC898" s="66">
        <v>0</v>
      </c>
    </row>
    <row r="899" spans="1:30">
      <c r="A899" s="67" t="s">
        <v>563</v>
      </c>
      <c r="B899" s="67" t="s">
        <v>663</v>
      </c>
      <c r="C899" s="72">
        <v>0</v>
      </c>
      <c r="D899" s="72">
        <v>0</v>
      </c>
      <c r="E899" s="72">
        <v>0</v>
      </c>
      <c r="F899" s="72">
        <v>0</v>
      </c>
      <c r="G899" s="72">
        <v>0</v>
      </c>
      <c r="H899" s="72">
        <v>0</v>
      </c>
      <c r="I899" s="72">
        <v>0</v>
      </c>
      <c r="J899" s="72">
        <v>0</v>
      </c>
      <c r="K899" s="72">
        <v>0</v>
      </c>
      <c r="L899" s="72">
        <v>0</v>
      </c>
      <c r="M899" s="72">
        <v>0</v>
      </c>
      <c r="N899" s="73">
        <v>0</v>
      </c>
      <c r="O899" s="73">
        <v>0</v>
      </c>
      <c r="P899" s="73">
        <v>0</v>
      </c>
      <c r="Q899" s="73">
        <v>0</v>
      </c>
      <c r="R899" s="50">
        <v>0</v>
      </c>
      <c r="S899" s="50">
        <v>0</v>
      </c>
      <c r="T899" s="66">
        <v>0</v>
      </c>
      <c r="U899" s="66">
        <v>0</v>
      </c>
      <c r="V899" s="66" t="s">
        <v>685</v>
      </c>
      <c r="W899" s="66">
        <v>0</v>
      </c>
      <c r="X899" s="66" t="s">
        <v>685</v>
      </c>
      <c r="Y899" s="66" t="s">
        <v>685</v>
      </c>
      <c r="Z899" s="72" t="s">
        <v>685</v>
      </c>
      <c r="AA899" s="72">
        <v>0</v>
      </c>
      <c r="AB899" s="72">
        <v>0</v>
      </c>
      <c r="AC899" s="66">
        <v>0</v>
      </c>
    </row>
    <row r="900" spans="1:30">
      <c r="A900" s="67" t="s">
        <v>563</v>
      </c>
      <c r="B900" s="43" t="s">
        <v>243</v>
      </c>
      <c r="C900" s="72">
        <v>0</v>
      </c>
      <c r="D900" s="72">
        <v>0</v>
      </c>
      <c r="E900" s="72">
        <v>0</v>
      </c>
      <c r="F900" s="72">
        <v>0</v>
      </c>
      <c r="G900" s="72">
        <v>0</v>
      </c>
      <c r="H900" s="72">
        <v>0</v>
      </c>
      <c r="I900" s="72">
        <v>0</v>
      </c>
      <c r="J900" s="72">
        <v>0</v>
      </c>
      <c r="K900" s="72">
        <v>0</v>
      </c>
      <c r="L900" s="72">
        <v>0</v>
      </c>
      <c r="M900" s="72">
        <v>0</v>
      </c>
      <c r="N900" s="73">
        <v>0</v>
      </c>
      <c r="O900" s="73">
        <v>0</v>
      </c>
      <c r="P900" s="73">
        <v>0</v>
      </c>
      <c r="Q900" s="73">
        <v>0</v>
      </c>
      <c r="R900" s="50">
        <v>0</v>
      </c>
      <c r="S900" s="50">
        <v>0</v>
      </c>
      <c r="T900" s="66">
        <v>0</v>
      </c>
      <c r="U900" s="66">
        <v>0</v>
      </c>
      <c r="V900" s="66" t="s">
        <v>685</v>
      </c>
      <c r="W900" s="66">
        <v>0</v>
      </c>
      <c r="X900" s="66" t="s">
        <v>685</v>
      </c>
      <c r="Y900" s="66" t="s">
        <v>685</v>
      </c>
      <c r="Z900" s="72" t="s">
        <v>685</v>
      </c>
      <c r="AA900" s="72">
        <v>0</v>
      </c>
      <c r="AB900" s="72">
        <v>0</v>
      </c>
      <c r="AC900" s="66">
        <v>0</v>
      </c>
    </row>
    <row r="901" spans="1:30">
      <c r="A901" s="67" t="s">
        <v>563</v>
      </c>
      <c r="B901" s="43" t="s">
        <v>95</v>
      </c>
      <c r="C901" s="73">
        <v>4.9995000000000003</v>
      </c>
      <c r="D901" s="73">
        <v>4.9995000000000003</v>
      </c>
      <c r="E901" s="73">
        <v>4.9995000000000003</v>
      </c>
      <c r="F901" s="73">
        <v>4.9995000000000003</v>
      </c>
      <c r="G901" s="73">
        <v>4.9995000000000003</v>
      </c>
      <c r="H901" s="73">
        <v>4.9995000000000003</v>
      </c>
      <c r="I901" s="73">
        <v>4.9995000000000003</v>
      </c>
      <c r="J901" s="73">
        <v>4.9995000000000003</v>
      </c>
      <c r="K901" s="73">
        <v>0.12045</v>
      </c>
      <c r="L901" s="73">
        <v>0.39105000000000001</v>
      </c>
      <c r="M901" s="73">
        <v>1.03345</v>
      </c>
      <c r="N901" s="73">
        <v>1.3480500000000002</v>
      </c>
      <c r="O901" s="73">
        <v>2.5767500000000001</v>
      </c>
      <c r="P901" s="73">
        <v>0.70069999999999999</v>
      </c>
      <c r="Q901" s="73">
        <v>2.6790499999999997</v>
      </c>
      <c r="R901" s="50">
        <f>(22.08*0.055)+(1.11*0.065)</f>
        <v>1.2865499999999999</v>
      </c>
      <c r="S901" s="50">
        <f>72.83*0.055</f>
        <v>4.0056500000000002</v>
      </c>
      <c r="T901" s="66">
        <f>27.54*0.055</f>
        <v>1.5146999999999999</v>
      </c>
      <c r="U901" s="66">
        <f>22.5*0.055</f>
        <v>1.2375</v>
      </c>
      <c r="V901" s="66">
        <f>27.13*0.055</f>
        <v>1.4921499999999999</v>
      </c>
      <c r="W901" s="66">
        <f>25.54*0.055</f>
        <v>1.4047000000000001</v>
      </c>
      <c r="X901" s="66">
        <f>18.05*0.055</f>
        <v>0.99275000000000002</v>
      </c>
      <c r="Y901" s="66">
        <f>20.9*0.055</f>
        <v>1.1495</v>
      </c>
      <c r="Z901" s="66">
        <f>13.6*0.055</f>
        <v>0.748</v>
      </c>
      <c r="AA901" s="66">
        <f>11.3*0.055</f>
        <v>0.62150000000000005</v>
      </c>
      <c r="AB901" s="66">
        <f>5*0.055</f>
        <v>0.27500000000000002</v>
      </c>
      <c r="AC901" s="66">
        <v>0</v>
      </c>
    </row>
    <row r="902" spans="1:30">
      <c r="A902" s="67" t="s">
        <v>563</v>
      </c>
      <c r="B902" s="43" t="s">
        <v>825</v>
      </c>
      <c r="Q902" s="73">
        <v>0</v>
      </c>
      <c r="R902" s="50">
        <v>0</v>
      </c>
      <c r="S902" s="50">
        <v>0</v>
      </c>
      <c r="T902" s="66">
        <v>0</v>
      </c>
      <c r="U902" s="66">
        <v>0</v>
      </c>
      <c r="V902" s="66">
        <v>0</v>
      </c>
      <c r="W902" s="66">
        <v>0</v>
      </c>
      <c r="X902" s="66">
        <v>0</v>
      </c>
      <c r="Y902" s="66">
        <v>0</v>
      </c>
      <c r="Z902" s="66">
        <v>0</v>
      </c>
      <c r="AA902" s="66">
        <v>0</v>
      </c>
      <c r="AB902" s="66">
        <v>0</v>
      </c>
      <c r="AC902" s="66">
        <v>0</v>
      </c>
    </row>
    <row r="903" spans="1:30">
      <c r="A903" s="67" t="s">
        <v>563</v>
      </c>
      <c r="B903" s="43" t="s">
        <v>574</v>
      </c>
      <c r="C903" s="72">
        <v>0</v>
      </c>
      <c r="D903" s="72">
        <v>0</v>
      </c>
      <c r="E903" s="72">
        <v>0</v>
      </c>
      <c r="F903" s="72">
        <v>0</v>
      </c>
      <c r="G903" s="72">
        <v>0</v>
      </c>
      <c r="H903" s="72">
        <v>0</v>
      </c>
      <c r="I903" s="72">
        <v>0</v>
      </c>
      <c r="J903" s="72">
        <v>0</v>
      </c>
      <c r="K903" s="72">
        <v>0</v>
      </c>
      <c r="L903" s="72">
        <v>0</v>
      </c>
      <c r="M903" s="72">
        <v>0</v>
      </c>
      <c r="N903" s="73">
        <v>0</v>
      </c>
      <c r="O903" s="73">
        <v>0</v>
      </c>
      <c r="P903" s="73">
        <v>0</v>
      </c>
      <c r="Q903" s="73">
        <v>0</v>
      </c>
      <c r="R903" s="50">
        <v>0</v>
      </c>
      <c r="S903" s="50">
        <v>0</v>
      </c>
      <c r="T903" s="66">
        <v>0</v>
      </c>
      <c r="U903" s="66">
        <v>0</v>
      </c>
      <c r="V903" s="66">
        <v>0</v>
      </c>
      <c r="W903" s="66">
        <v>0</v>
      </c>
      <c r="X903" s="66">
        <v>0</v>
      </c>
      <c r="Y903" s="66">
        <v>0</v>
      </c>
      <c r="Z903" s="66">
        <v>0</v>
      </c>
      <c r="AA903" s="66">
        <v>0</v>
      </c>
      <c r="AB903" s="66">
        <v>0</v>
      </c>
      <c r="AC903" s="66">
        <v>0</v>
      </c>
    </row>
    <row r="904" spans="1:30">
      <c r="A904" s="67" t="s">
        <v>563</v>
      </c>
      <c r="B904" s="67" t="s">
        <v>535</v>
      </c>
      <c r="C904" s="72">
        <v>0</v>
      </c>
      <c r="D904" s="72">
        <v>0</v>
      </c>
      <c r="E904" s="72">
        <v>0</v>
      </c>
      <c r="F904" s="72">
        <v>0</v>
      </c>
      <c r="G904" s="72">
        <v>0</v>
      </c>
      <c r="H904" s="72">
        <v>0</v>
      </c>
      <c r="I904" s="72">
        <v>0</v>
      </c>
      <c r="J904" s="72">
        <v>0</v>
      </c>
      <c r="K904" s="72">
        <v>0</v>
      </c>
      <c r="L904" s="72">
        <v>0</v>
      </c>
      <c r="M904" s="72">
        <v>0</v>
      </c>
      <c r="N904" s="73">
        <v>0</v>
      </c>
      <c r="O904" s="73">
        <v>0</v>
      </c>
      <c r="P904" s="73">
        <v>0</v>
      </c>
      <c r="Q904" s="73">
        <v>0</v>
      </c>
      <c r="R904" s="50">
        <v>0</v>
      </c>
      <c r="S904" s="50">
        <v>0</v>
      </c>
      <c r="T904" s="66">
        <v>0</v>
      </c>
      <c r="U904" s="66">
        <v>0</v>
      </c>
      <c r="V904" s="66">
        <v>0</v>
      </c>
      <c r="W904" s="66">
        <v>0</v>
      </c>
      <c r="X904" s="66">
        <v>0</v>
      </c>
      <c r="Y904" s="66">
        <v>0</v>
      </c>
      <c r="Z904" s="66">
        <v>0</v>
      </c>
      <c r="AA904" s="66">
        <v>0</v>
      </c>
      <c r="AB904" s="66">
        <v>0</v>
      </c>
      <c r="AC904" s="66">
        <v>0</v>
      </c>
    </row>
    <row r="905" spans="1:30">
      <c r="A905" s="67" t="s">
        <v>418</v>
      </c>
      <c r="B905" s="43" t="s">
        <v>752</v>
      </c>
      <c r="C905" s="72">
        <v>2370.52</v>
      </c>
      <c r="D905" s="72">
        <v>2256</v>
      </c>
      <c r="E905" s="72">
        <v>2031.7</v>
      </c>
      <c r="F905" s="72">
        <v>1245.5999999999999</v>
      </c>
      <c r="G905" s="72">
        <v>1280.7</v>
      </c>
      <c r="H905" s="72">
        <v>1174.6600000000001</v>
      </c>
      <c r="I905" s="72">
        <v>1392.16</v>
      </c>
      <c r="J905" s="72">
        <v>1201.58</v>
      </c>
      <c r="K905" s="72">
        <v>1124.58</v>
      </c>
      <c r="L905" s="72">
        <v>928.26800000000003</v>
      </c>
      <c r="M905" s="72">
        <v>869.65599999999995</v>
      </c>
      <c r="N905" s="73">
        <v>541.24199999999996</v>
      </c>
      <c r="O905" s="73">
        <v>281.97000000000003</v>
      </c>
      <c r="P905" s="73">
        <v>166.02799999999999</v>
      </c>
      <c r="Q905" s="73">
        <v>67.319999999999993</v>
      </c>
      <c r="R905" s="50">
        <v>44.67</v>
      </c>
      <c r="S905" s="50">
        <v>0</v>
      </c>
      <c r="T905" s="66">
        <v>0</v>
      </c>
      <c r="U905" s="66">
        <v>0</v>
      </c>
      <c r="V905" s="66" t="s">
        <v>685</v>
      </c>
      <c r="W905" s="66" t="s">
        <v>685</v>
      </c>
      <c r="X905" s="66" t="s">
        <v>685</v>
      </c>
      <c r="Y905" s="72" t="s">
        <v>685</v>
      </c>
      <c r="Z905" s="72" t="s">
        <v>685</v>
      </c>
      <c r="AA905" s="72">
        <v>0</v>
      </c>
      <c r="AB905" s="72">
        <v>0</v>
      </c>
      <c r="AC905" s="72">
        <v>0</v>
      </c>
      <c r="AD905" s="72"/>
    </row>
    <row r="906" spans="1:30">
      <c r="A906" s="67" t="s">
        <v>418</v>
      </c>
      <c r="B906" s="43" t="s">
        <v>663</v>
      </c>
      <c r="C906" s="72">
        <v>0</v>
      </c>
      <c r="D906" s="72">
        <v>0</v>
      </c>
      <c r="E906" s="72">
        <v>0</v>
      </c>
      <c r="F906" s="72">
        <v>0</v>
      </c>
      <c r="G906" s="72">
        <v>0</v>
      </c>
      <c r="H906" s="72">
        <v>0</v>
      </c>
      <c r="I906" s="72">
        <v>0</v>
      </c>
      <c r="J906" s="72">
        <v>0</v>
      </c>
      <c r="K906" s="72">
        <v>0</v>
      </c>
      <c r="L906" s="72">
        <v>0</v>
      </c>
      <c r="M906" s="72">
        <v>0</v>
      </c>
      <c r="N906" s="73">
        <v>0</v>
      </c>
      <c r="O906" s="73">
        <v>0</v>
      </c>
      <c r="P906" s="73">
        <v>0</v>
      </c>
      <c r="Q906" s="73">
        <v>0</v>
      </c>
      <c r="R906" s="50">
        <v>0</v>
      </c>
      <c r="S906" s="50">
        <v>0</v>
      </c>
      <c r="T906" s="66">
        <v>0</v>
      </c>
      <c r="U906" s="66">
        <v>0</v>
      </c>
      <c r="V906" s="66" t="s">
        <v>685</v>
      </c>
      <c r="W906" s="66" t="s">
        <v>685</v>
      </c>
      <c r="X906" s="66" t="s">
        <v>685</v>
      </c>
      <c r="Y906" s="72" t="s">
        <v>685</v>
      </c>
      <c r="Z906" s="72" t="s">
        <v>685</v>
      </c>
      <c r="AA906" s="72">
        <v>0</v>
      </c>
      <c r="AB906" s="72">
        <v>0</v>
      </c>
      <c r="AC906" s="72">
        <v>0</v>
      </c>
      <c r="AD906" s="72"/>
    </row>
    <row r="907" spans="1:30">
      <c r="A907" s="67" t="s">
        <v>418</v>
      </c>
      <c r="B907" s="43" t="s">
        <v>243</v>
      </c>
      <c r="C907" s="72">
        <v>420</v>
      </c>
      <c r="D907" s="72">
        <v>415</v>
      </c>
      <c r="E907" s="72">
        <v>423</v>
      </c>
      <c r="F907" s="72">
        <v>409.5</v>
      </c>
      <c r="G907" s="72">
        <v>412.6</v>
      </c>
      <c r="H907" s="72">
        <v>405.5</v>
      </c>
      <c r="I907" s="72">
        <v>400.8</v>
      </c>
      <c r="J907" s="72">
        <v>389</v>
      </c>
      <c r="K907" s="72">
        <v>366.2</v>
      </c>
      <c r="L907" s="72">
        <v>215.6</v>
      </c>
      <c r="M907" s="72">
        <v>79</v>
      </c>
      <c r="N907" s="73">
        <v>56</v>
      </c>
      <c r="O907" s="73">
        <v>0</v>
      </c>
      <c r="P907" s="73">
        <v>0</v>
      </c>
      <c r="Q907" s="73">
        <v>0</v>
      </c>
      <c r="R907" s="50">
        <v>0</v>
      </c>
      <c r="S907" s="50">
        <v>0</v>
      </c>
      <c r="T907" s="66">
        <v>0</v>
      </c>
      <c r="U907" s="66">
        <v>0</v>
      </c>
      <c r="V907" s="66" t="s">
        <v>685</v>
      </c>
      <c r="W907" s="66" t="s">
        <v>685</v>
      </c>
      <c r="X907" s="66" t="s">
        <v>685</v>
      </c>
      <c r="Y907" s="72" t="s">
        <v>685</v>
      </c>
      <c r="Z907" s="72" t="s">
        <v>685</v>
      </c>
      <c r="AA907" s="72">
        <v>0</v>
      </c>
      <c r="AB907" s="72">
        <v>0</v>
      </c>
      <c r="AC907" s="72">
        <v>0</v>
      </c>
      <c r="AD907" s="72"/>
    </row>
    <row r="908" spans="1:30">
      <c r="A908" s="67" t="s">
        <v>418</v>
      </c>
      <c r="B908" s="43" t="s">
        <v>95</v>
      </c>
      <c r="C908" s="73">
        <v>0</v>
      </c>
      <c r="D908" s="73">
        <v>0</v>
      </c>
      <c r="E908" s="73">
        <v>11.55</v>
      </c>
      <c r="F908" s="73">
        <v>14.36875</v>
      </c>
      <c r="G908" s="73">
        <v>25.863199999999999</v>
      </c>
      <c r="H908" s="73">
        <v>20.0167</v>
      </c>
      <c r="I908" s="73">
        <v>30.847300000000001</v>
      </c>
      <c r="J908" s="73">
        <v>10.8262</v>
      </c>
      <c r="K908" s="73">
        <v>34.619750000000003</v>
      </c>
      <c r="L908" s="73">
        <v>44.724900000000005</v>
      </c>
      <c r="M908" s="73">
        <v>60.198550000000004</v>
      </c>
      <c r="N908" s="73">
        <v>48.829500000000003</v>
      </c>
      <c r="O908" s="73">
        <v>45.295299999999997</v>
      </c>
      <c r="P908" s="73">
        <v>96.822299999999998</v>
      </c>
      <c r="Q908" s="73">
        <f>(1279.9*0.055)+(646.1*0.11)</f>
        <v>141.46550000000002</v>
      </c>
      <c r="R908" s="50">
        <f>(920*0.055)+(585*0.11)+(121.15*0.065)</f>
        <v>122.82474999999999</v>
      </c>
      <c r="S908" s="50">
        <f>(1835*0.055)+(594*0.11)+(158*0.065)+(1.5*0.02)</f>
        <v>176.565</v>
      </c>
      <c r="T908" s="66">
        <f>(694.44*0.055)+(361*0.11)+(80.87*0.065)</f>
        <v>83.160750000000007</v>
      </c>
      <c r="U908" s="66">
        <f>(309.25*0.055)+(100*0.11)+(1*0.02)</f>
        <v>28.028749999999999</v>
      </c>
      <c r="V908" s="66">
        <f>(322.13*0.055)+(21.5*0.11)+(14.04*0.065)</f>
        <v>20.99475</v>
      </c>
      <c r="W908" s="66">
        <f>(494.26*0.055)+(150.2*0.11)+(46.73262*0.065)</f>
        <v>46.743920299999999</v>
      </c>
      <c r="X908" s="66">
        <f>(308.79*0.055)+(334.02*0.11)+(49.128*0.065)</f>
        <v>56.918970000000002</v>
      </c>
      <c r="Y908" s="66">
        <f>(560*0.055)+(588*0.11)+(45*0.065)</f>
        <v>98.405000000000001</v>
      </c>
      <c r="Z908" s="66">
        <f>(660*0.055)+(250*0.11)+(100*0.065)</f>
        <v>70.3</v>
      </c>
      <c r="AA908" s="66">
        <f>(550*0.055)+(300*0.11)+(120*0.065)</f>
        <v>71.05</v>
      </c>
      <c r="AB908" s="66">
        <f>(725*0.055)+(330*0.11)+(90*0.065)</f>
        <v>82.024999999999991</v>
      </c>
      <c r="AC908" s="66">
        <f>(600*0.055)+(265*0.11)+(50*0.065)</f>
        <v>65.400000000000006</v>
      </c>
    </row>
    <row r="909" spans="1:30">
      <c r="A909" s="67" t="s">
        <v>418</v>
      </c>
      <c r="B909" s="43" t="s">
        <v>825</v>
      </c>
      <c r="Q909" s="73">
        <f>88.6*0.11</f>
        <v>9.7459999999999987</v>
      </c>
      <c r="R909" s="50">
        <f>90*0.11</f>
        <v>9.9</v>
      </c>
      <c r="S909" s="50">
        <v>0</v>
      </c>
      <c r="T909" s="66">
        <v>0</v>
      </c>
      <c r="U909" s="66">
        <v>0</v>
      </c>
      <c r="V909" s="66">
        <v>0</v>
      </c>
      <c r="W909" s="66">
        <v>0</v>
      </c>
      <c r="X909" s="66">
        <v>0</v>
      </c>
      <c r="Y909" s="66">
        <v>0</v>
      </c>
      <c r="Z909" s="66">
        <v>0</v>
      </c>
      <c r="AA909" s="66">
        <v>0</v>
      </c>
      <c r="AB909" s="66">
        <v>0</v>
      </c>
      <c r="AC909" s="66">
        <v>0</v>
      </c>
    </row>
    <row r="910" spans="1:30">
      <c r="A910" s="67" t="s">
        <v>418</v>
      </c>
      <c r="B910" s="43" t="s">
        <v>574</v>
      </c>
      <c r="C910" s="72">
        <v>322.2</v>
      </c>
      <c r="D910" s="72">
        <v>90</v>
      </c>
      <c r="E910" s="72">
        <v>240</v>
      </c>
      <c r="F910" s="72">
        <v>72</v>
      </c>
      <c r="G910" s="72">
        <v>89.67</v>
      </c>
      <c r="H910" s="72">
        <v>112.5</v>
      </c>
      <c r="I910" s="72">
        <v>165.3</v>
      </c>
      <c r="J910" s="72">
        <v>153</v>
      </c>
      <c r="K910" s="72">
        <v>129</v>
      </c>
      <c r="L910" s="72">
        <v>113.58</v>
      </c>
      <c r="M910" s="72">
        <v>91.397999999999996</v>
      </c>
      <c r="N910" s="73">
        <v>64.8</v>
      </c>
      <c r="O910" s="73">
        <v>45</v>
      </c>
      <c r="P910" s="73">
        <v>27</v>
      </c>
      <c r="Q910" s="73">
        <v>0</v>
      </c>
      <c r="R910" s="50">
        <v>0</v>
      </c>
      <c r="S910" s="50">
        <v>0</v>
      </c>
      <c r="T910" s="66">
        <v>0</v>
      </c>
      <c r="U910" s="66">
        <v>0</v>
      </c>
      <c r="V910" s="66">
        <v>0</v>
      </c>
      <c r="W910" s="66">
        <v>0</v>
      </c>
      <c r="X910" s="66">
        <v>0</v>
      </c>
      <c r="Y910" s="66">
        <v>0</v>
      </c>
      <c r="Z910" s="66">
        <v>0</v>
      </c>
      <c r="AA910" s="66">
        <v>0</v>
      </c>
      <c r="AB910" s="66">
        <v>0</v>
      </c>
      <c r="AC910" s="66">
        <v>0</v>
      </c>
    </row>
    <row r="911" spans="1:30">
      <c r="A911" s="67" t="s">
        <v>418</v>
      </c>
      <c r="B911" s="43" t="s">
        <v>535</v>
      </c>
      <c r="C911" s="72">
        <v>0</v>
      </c>
      <c r="D911" s="72">
        <v>0</v>
      </c>
      <c r="E911" s="72">
        <v>0</v>
      </c>
      <c r="F911" s="72">
        <v>0</v>
      </c>
      <c r="G911" s="72">
        <v>0</v>
      </c>
      <c r="H911" s="72">
        <v>0</v>
      </c>
      <c r="I911" s="72">
        <v>0</v>
      </c>
      <c r="J911" s="72">
        <v>0</v>
      </c>
      <c r="K911" s="72">
        <v>0</v>
      </c>
      <c r="L911" s="72">
        <v>0</v>
      </c>
      <c r="M911" s="72">
        <v>0</v>
      </c>
      <c r="N911" s="73">
        <v>0</v>
      </c>
      <c r="O911" s="73">
        <v>0</v>
      </c>
      <c r="P911" s="73">
        <v>0</v>
      </c>
      <c r="Q911" s="73">
        <v>0</v>
      </c>
      <c r="R911" s="50">
        <v>0</v>
      </c>
      <c r="S911" s="50">
        <v>0</v>
      </c>
      <c r="T911" s="66">
        <v>0</v>
      </c>
      <c r="U911" s="66">
        <v>0</v>
      </c>
      <c r="V911" s="66">
        <v>0</v>
      </c>
      <c r="W911" s="66">
        <v>0</v>
      </c>
      <c r="X911" s="66">
        <v>0</v>
      </c>
      <c r="Y911" s="66">
        <v>0</v>
      </c>
      <c r="Z911" s="66">
        <v>0</v>
      </c>
      <c r="AA911" s="66">
        <v>0</v>
      </c>
      <c r="AB911" s="66">
        <v>0</v>
      </c>
      <c r="AC911" s="66">
        <v>0</v>
      </c>
    </row>
    <row r="912" spans="1:30">
      <c r="A912" s="43" t="s">
        <v>742</v>
      </c>
      <c r="B912" s="43" t="s">
        <v>752</v>
      </c>
      <c r="C912" s="72">
        <v>8248</v>
      </c>
      <c r="D912" s="72">
        <v>5550.2</v>
      </c>
      <c r="E912" s="72">
        <v>4296</v>
      </c>
      <c r="F912" s="72">
        <v>3783</v>
      </c>
      <c r="G912" s="72">
        <v>3610.6</v>
      </c>
      <c r="H912" s="72">
        <v>3568.24</v>
      </c>
      <c r="I912" s="72">
        <v>3375.1239999999998</v>
      </c>
      <c r="J912" s="72">
        <v>3063.12</v>
      </c>
      <c r="K912" s="72">
        <v>1857.01</v>
      </c>
      <c r="L912" s="72">
        <v>1358.32</v>
      </c>
      <c r="M912" s="72">
        <v>1259.8900000000001</v>
      </c>
      <c r="N912" s="73">
        <v>453.67</v>
      </c>
      <c r="O912" s="73">
        <v>321.56400000000002</v>
      </c>
      <c r="P912" s="73">
        <v>190.34200000000001</v>
      </c>
      <c r="Q912" s="73">
        <v>141.12799999999999</v>
      </c>
      <c r="R912" s="50">
        <v>0</v>
      </c>
      <c r="S912" s="50">
        <v>0</v>
      </c>
      <c r="T912" s="66" t="s">
        <v>685</v>
      </c>
      <c r="U912" s="66" t="s">
        <v>685</v>
      </c>
      <c r="V912" s="66" t="s">
        <v>685</v>
      </c>
      <c r="W912" s="66" t="s">
        <v>685</v>
      </c>
      <c r="X912" s="66" t="s">
        <v>685</v>
      </c>
      <c r="Y912" s="66" t="s">
        <v>685</v>
      </c>
      <c r="Z912" s="66" t="s">
        <v>685</v>
      </c>
      <c r="AA912" s="66">
        <v>0</v>
      </c>
      <c r="AB912" s="66">
        <v>0</v>
      </c>
      <c r="AC912" s="66">
        <v>0</v>
      </c>
    </row>
    <row r="913" spans="1:29">
      <c r="A913" s="43" t="s">
        <v>742</v>
      </c>
      <c r="B913" s="43" t="s">
        <v>663</v>
      </c>
      <c r="C913" s="72">
        <v>14.3</v>
      </c>
      <c r="D913" s="72">
        <v>6.6</v>
      </c>
      <c r="E913" s="72">
        <v>13.2</v>
      </c>
      <c r="F913" s="72">
        <v>8.8000000000000007</v>
      </c>
      <c r="G913" s="72">
        <v>6.6</v>
      </c>
      <c r="H913" s="72">
        <v>7.15</v>
      </c>
      <c r="I913" s="72">
        <v>7.15</v>
      </c>
      <c r="J913" s="72">
        <v>7.15</v>
      </c>
      <c r="K913" s="72">
        <v>0</v>
      </c>
      <c r="L913" s="72">
        <v>0</v>
      </c>
      <c r="M913" s="72">
        <v>0</v>
      </c>
      <c r="N913" s="73">
        <v>0</v>
      </c>
      <c r="O913" s="73">
        <v>0</v>
      </c>
      <c r="P913" s="73">
        <v>0</v>
      </c>
      <c r="Q913" s="73">
        <v>0</v>
      </c>
      <c r="R913" s="50">
        <v>0</v>
      </c>
      <c r="S913" s="50">
        <v>0</v>
      </c>
      <c r="T913" s="66" t="s">
        <v>685</v>
      </c>
      <c r="U913" s="66" t="s">
        <v>685</v>
      </c>
      <c r="V913" s="66" t="s">
        <v>685</v>
      </c>
      <c r="W913" s="66" t="s">
        <v>685</v>
      </c>
      <c r="X913" s="66" t="s">
        <v>685</v>
      </c>
      <c r="Y913" s="66" t="s">
        <v>685</v>
      </c>
      <c r="Z913" s="66" t="s">
        <v>685</v>
      </c>
      <c r="AA913" s="66">
        <v>0</v>
      </c>
      <c r="AB913" s="66">
        <v>0</v>
      </c>
      <c r="AC913" s="66">
        <v>0</v>
      </c>
    </row>
    <row r="914" spans="1:29">
      <c r="A914" s="43" t="s">
        <v>742</v>
      </c>
      <c r="B914" s="43" t="s">
        <v>243</v>
      </c>
      <c r="C914" s="72">
        <v>293</v>
      </c>
      <c r="D914" s="72">
        <v>368</v>
      </c>
      <c r="E914" s="72">
        <v>154</v>
      </c>
      <c r="F914" s="72">
        <v>154</v>
      </c>
      <c r="G914" s="72">
        <v>500</v>
      </c>
      <c r="H914" s="72">
        <v>500</v>
      </c>
      <c r="I914" s="72">
        <v>500</v>
      </c>
      <c r="J914" s="72" t="s">
        <v>685</v>
      </c>
      <c r="K914" s="72">
        <v>4.3</v>
      </c>
      <c r="L914" s="72">
        <v>0</v>
      </c>
      <c r="M914" s="72">
        <v>10.9</v>
      </c>
      <c r="N914" s="73">
        <v>0</v>
      </c>
      <c r="O914" s="73">
        <v>3.09</v>
      </c>
      <c r="P914" s="73">
        <v>0</v>
      </c>
      <c r="Q914" s="73">
        <v>0</v>
      </c>
      <c r="R914" s="50">
        <v>0</v>
      </c>
      <c r="S914" s="50">
        <v>0</v>
      </c>
      <c r="T914" s="66" t="s">
        <v>685</v>
      </c>
      <c r="U914" s="66" t="s">
        <v>685</v>
      </c>
      <c r="V914" s="66" t="s">
        <v>685</v>
      </c>
      <c r="W914" s="66" t="s">
        <v>685</v>
      </c>
      <c r="X914" s="66" t="s">
        <v>685</v>
      </c>
      <c r="Y914" s="66" t="s">
        <v>685</v>
      </c>
      <c r="Z914" s="66" t="s">
        <v>685</v>
      </c>
      <c r="AA914" s="66">
        <v>0</v>
      </c>
      <c r="AB914" s="66">
        <v>0</v>
      </c>
      <c r="AC914" s="66">
        <v>0</v>
      </c>
    </row>
    <row r="915" spans="1:29">
      <c r="A915" s="43" t="s">
        <v>742</v>
      </c>
      <c r="B915" s="43" t="s">
        <v>95</v>
      </c>
      <c r="C915" s="73">
        <v>348.05500000000001</v>
      </c>
      <c r="D915" s="73">
        <v>479.04500000000002</v>
      </c>
      <c r="E915" s="73">
        <v>546.36500000000001</v>
      </c>
      <c r="F915" s="73">
        <v>507.54585000000003</v>
      </c>
      <c r="G915" s="73">
        <v>636.77</v>
      </c>
      <c r="H915" s="73">
        <v>790.98</v>
      </c>
      <c r="I915" s="73">
        <v>997.68</v>
      </c>
      <c r="J915" s="73">
        <v>961.74599999999998</v>
      </c>
      <c r="K915" s="73">
        <v>1111.6289200000001</v>
      </c>
      <c r="L915" s="73">
        <v>1609.91516976</v>
      </c>
      <c r="M915" s="73">
        <v>902.47361000000001</v>
      </c>
      <c r="N915" s="73">
        <v>869.57304999999997</v>
      </c>
      <c r="O915" s="73">
        <v>872.96480800000006</v>
      </c>
      <c r="P915" s="73">
        <v>895.66890000000001</v>
      </c>
      <c r="Q915" s="73">
        <v>824.17886999999996</v>
      </c>
      <c r="R915" s="50">
        <f>((14864.56-83.84)*0.055)+(1921*0.11)+(140.16*0.02)+(6.8*0.022)</f>
        <v>1027.2023999999999</v>
      </c>
      <c r="S915" s="50">
        <f>((11586.3-140.54)*0.055)+(1620.23*0.11)+(4.62*0.065)+(134.53*0.02)+(2.99*0.022)+((12.89-0.03)*0.025)+(15.76*0.033)</f>
        <v>811.64035999999999</v>
      </c>
      <c r="T915" s="66">
        <f>((16923.59-102.4)*0.055)+(2028.98*0.11)+(198.88*0.02)+(2.99*0.022)+(21.89*0.07)+(10.81*0.025)+(13.21*0.033)</f>
        <v>1154.6351099999999</v>
      </c>
      <c r="U915" s="66">
        <f>((12061.94-73.08)*0.055)+((1886.49-69.12)*0.11)+(113.47*0.02)+(4.03*0.022)+(13.64*0.07)+(10.8*0.025)+(13.2*0.033)</f>
        <v>863.31646000000001</v>
      </c>
      <c r="V915" s="66">
        <f>((11825.83-61.48)*0.055)+(1589.75*0.11)+(136.06*0.02)+(4.41*0.022)+(39.35*0.07)</f>
        <v>827.48446999999999</v>
      </c>
      <c r="W915" s="66">
        <f>((10389.5-24.19)*0.055)+(1817.675*0.11)+(142.93*0.02)+(0.12*0.022)+(32.395*0.07)</f>
        <v>775.16519000000005</v>
      </c>
      <c r="X915" s="66">
        <f>((7922.02-1.28)*0.055)+(1352.92*0.11)+(134.66*0.02)+(27.73*0.07)</f>
        <v>589.09620000000007</v>
      </c>
      <c r="Y915" s="66">
        <f>((5922.73-63.25)*0.055)+(717.86*0.11)+(138.78*0.02)+(8.27*0.07)</f>
        <v>404.59049999999996</v>
      </c>
      <c r="Z915" s="66">
        <f>((5257.09-106.68)*0.055)+(582.41*0.11)+(184.79*0.02)+(30.25*0.07)</f>
        <v>353.15094999999997</v>
      </c>
      <c r="AA915" s="66">
        <f>(5469.2*0.055)+(543.88*0.11)+(51.18*0.02)+(13.92*0.07)+(10.8*0.025)+(13.2*0.033)</f>
        <v>363.33639999999997</v>
      </c>
      <c r="AB915" s="66">
        <f>((5329.316-14.96)*0.055)+(503.96*0.11)+(119.026*0.02)+(4*0.07)</f>
        <v>350.38569999999999</v>
      </c>
      <c r="AC915" s="66">
        <f>((4359.26-14.96)*0.055)+(347.29*0.11)+(91.24*0.02)</f>
        <v>278.96320000000003</v>
      </c>
    </row>
    <row r="916" spans="1:29">
      <c r="A916" s="43" t="s">
        <v>742</v>
      </c>
      <c r="B916" s="43" t="s">
        <v>825</v>
      </c>
      <c r="Q916" s="73">
        <v>0</v>
      </c>
      <c r="R916" s="50">
        <v>0</v>
      </c>
      <c r="S916" s="50">
        <f>160.53*0.11</f>
        <v>17.658300000000001</v>
      </c>
      <c r="T916" s="66">
        <v>0</v>
      </c>
      <c r="U916" s="66">
        <v>0</v>
      </c>
      <c r="V916" s="66">
        <f>101.73*0.11</f>
        <v>11.190300000000001</v>
      </c>
      <c r="W916" s="66">
        <f>(588.92-396.89)*0.11</f>
        <v>21.123299999999997</v>
      </c>
      <c r="X916" s="66">
        <f>(544-182.12)*0.11</f>
        <v>39.806800000000003</v>
      </c>
      <c r="Y916" s="66">
        <v>0</v>
      </c>
      <c r="Z916" s="66">
        <f>(87.78-61.6)*0.11</f>
        <v>2.8797999999999999</v>
      </c>
      <c r="AA916" s="66">
        <f>42.24*0.11</f>
        <v>4.6463999999999999</v>
      </c>
      <c r="AB916" s="66">
        <f>12.1*0.11</f>
        <v>1.331</v>
      </c>
      <c r="AC916" s="66">
        <f>20.13*0.11</f>
        <v>2.2142999999999997</v>
      </c>
    </row>
    <row r="917" spans="1:29">
      <c r="A917" s="43" t="s">
        <v>742</v>
      </c>
      <c r="B917" s="43" t="s">
        <v>574</v>
      </c>
      <c r="C917" s="72">
        <v>340.2</v>
      </c>
      <c r="D917" s="72">
        <v>385.2</v>
      </c>
      <c r="E917" s="72">
        <v>361.2</v>
      </c>
      <c r="F917" s="72">
        <v>353.4</v>
      </c>
      <c r="G917" s="72">
        <v>447</v>
      </c>
      <c r="H917" s="72" t="s">
        <v>685</v>
      </c>
      <c r="I917" s="72">
        <v>415.95</v>
      </c>
      <c r="J917" s="72" t="s">
        <v>685</v>
      </c>
      <c r="K917" s="72">
        <v>177.96</v>
      </c>
      <c r="L917" s="72">
        <v>181.44</v>
      </c>
      <c r="M917" s="72">
        <v>145.97999999999999</v>
      </c>
      <c r="N917" s="73">
        <v>141.066</v>
      </c>
      <c r="O917" s="73">
        <v>121.998</v>
      </c>
      <c r="P917" s="73">
        <v>106.69199999999999</v>
      </c>
      <c r="Q917" s="73">
        <v>44.311199999999999</v>
      </c>
      <c r="R917" s="50">
        <f>100.421*0.6</f>
        <v>60.252600000000001</v>
      </c>
      <c r="S917" s="50">
        <f>34.56*0.6</f>
        <v>20.736000000000001</v>
      </c>
      <c r="T917" s="66">
        <f>28.4*0.6</f>
        <v>17.04</v>
      </c>
      <c r="U917" s="66">
        <v>0</v>
      </c>
      <c r="V917" s="66">
        <v>0</v>
      </c>
      <c r="W917" s="66">
        <v>0</v>
      </c>
      <c r="X917" s="66">
        <v>0</v>
      </c>
      <c r="Y917" s="66">
        <v>0</v>
      </c>
      <c r="Z917" s="66">
        <v>0</v>
      </c>
      <c r="AA917" s="66">
        <v>0</v>
      </c>
      <c r="AB917" s="66">
        <v>0</v>
      </c>
      <c r="AC917" s="66">
        <v>0</v>
      </c>
    </row>
    <row r="918" spans="1:29">
      <c r="A918" s="43" t="s">
        <v>742</v>
      </c>
      <c r="B918" s="43" t="s">
        <v>535</v>
      </c>
      <c r="C918" s="72">
        <v>223.6</v>
      </c>
      <c r="D918" s="72">
        <v>114.1</v>
      </c>
      <c r="E918" s="72">
        <v>104.3</v>
      </c>
      <c r="F918" s="72">
        <v>84.7</v>
      </c>
      <c r="G918" s="72">
        <v>45.5</v>
      </c>
      <c r="H918" s="72">
        <v>33.5</v>
      </c>
      <c r="I918" s="72">
        <v>33.5</v>
      </c>
      <c r="J918" s="72">
        <v>33.5</v>
      </c>
      <c r="K918" s="72">
        <v>2.39</v>
      </c>
      <c r="L918" s="72">
        <v>-4.0000000000000001E-3</v>
      </c>
      <c r="M918" s="72">
        <v>0</v>
      </c>
      <c r="N918" s="73">
        <v>0</v>
      </c>
      <c r="O918" s="73">
        <v>0</v>
      </c>
      <c r="P918" s="73">
        <v>4.1875999999999998</v>
      </c>
      <c r="Q918" s="73">
        <v>0</v>
      </c>
      <c r="R918" s="50">
        <v>0</v>
      </c>
      <c r="S918" s="50">
        <v>0</v>
      </c>
      <c r="T918" s="66">
        <v>0</v>
      </c>
      <c r="U918" s="66">
        <v>0</v>
      </c>
      <c r="V918" s="66">
        <v>0</v>
      </c>
      <c r="W918" s="66">
        <v>0</v>
      </c>
      <c r="X918" s="66">
        <v>0</v>
      </c>
      <c r="Y918" s="66">
        <v>0</v>
      </c>
      <c r="Z918" s="66">
        <v>0</v>
      </c>
      <c r="AA918" s="66">
        <v>0</v>
      </c>
      <c r="AB918" s="66">
        <v>0</v>
      </c>
      <c r="AC918" s="66">
        <v>0</v>
      </c>
    </row>
    <row r="919" spans="1:29">
      <c r="A919" s="43" t="s">
        <v>278</v>
      </c>
      <c r="B919" s="43" t="s">
        <v>752</v>
      </c>
      <c r="R919" s="50">
        <v>0</v>
      </c>
      <c r="S919" s="50">
        <v>0</v>
      </c>
      <c r="T919" s="66">
        <v>0</v>
      </c>
      <c r="U919" s="66" t="s">
        <v>685</v>
      </c>
      <c r="V919" s="66" t="s">
        <v>685</v>
      </c>
      <c r="W919" s="66" t="s">
        <v>685</v>
      </c>
      <c r="X919" s="66" t="s">
        <v>685</v>
      </c>
      <c r="Y919" s="66" t="s">
        <v>685</v>
      </c>
      <c r="Z919" s="66" t="s">
        <v>685</v>
      </c>
      <c r="AA919" s="66">
        <v>0</v>
      </c>
      <c r="AB919" s="66">
        <v>0</v>
      </c>
      <c r="AC919" s="66">
        <v>0</v>
      </c>
    </row>
    <row r="920" spans="1:29">
      <c r="A920" s="43" t="s">
        <v>278</v>
      </c>
      <c r="B920" s="43" t="s">
        <v>663</v>
      </c>
      <c r="R920" s="50">
        <v>0</v>
      </c>
      <c r="S920" s="50">
        <v>0</v>
      </c>
      <c r="T920" s="66">
        <v>0</v>
      </c>
      <c r="U920" s="66" t="s">
        <v>685</v>
      </c>
      <c r="V920" s="66" t="s">
        <v>685</v>
      </c>
      <c r="W920" s="66" t="s">
        <v>685</v>
      </c>
      <c r="X920" s="66" t="s">
        <v>685</v>
      </c>
      <c r="Y920" s="66" t="s">
        <v>685</v>
      </c>
      <c r="Z920" s="66" t="s">
        <v>685</v>
      </c>
      <c r="AA920" s="66">
        <v>0</v>
      </c>
      <c r="AB920" s="66">
        <v>0</v>
      </c>
      <c r="AC920" s="66">
        <v>0</v>
      </c>
    </row>
    <row r="921" spans="1:29">
      <c r="A921" s="43" t="s">
        <v>278</v>
      </c>
      <c r="B921" s="43" t="s">
        <v>243</v>
      </c>
      <c r="R921" s="50">
        <v>0</v>
      </c>
      <c r="S921" s="50">
        <v>0</v>
      </c>
      <c r="T921" s="66">
        <v>0</v>
      </c>
      <c r="U921" s="66" t="s">
        <v>685</v>
      </c>
      <c r="V921" s="66" t="s">
        <v>685</v>
      </c>
      <c r="W921" s="66" t="s">
        <v>685</v>
      </c>
      <c r="X921" s="66" t="s">
        <v>685</v>
      </c>
      <c r="Y921" s="66" t="s">
        <v>685</v>
      </c>
      <c r="Z921" s="66" t="s">
        <v>685</v>
      </c>
      <c r="AA921" s="66">
        <v>0</v>
      </c>
      <c r="AB921" s="66">
        <v>0</v>
      </c>
      <c r="AC921" s="66">
        <v>0</v>
      </c>
    </row>
    <row r="922" spans="1:29">
      <c r="A922" s="43" t="s">
        <v>278</v>
      </c>
      <c r="B922" s="43" t="s">
        <v>95</v>
      </c>
      <c r="R922" s="50">
        <f>8.5*0.055</f>
        <v>0.46750000000000003</v>
      </c>
      <c r="S922" s="50">
        <f>2.81*0.055</f>
        <v>0.15454999999999999</v>
      </c>
      <c r="T922" s="66">
        <f>3.9*0.055</f>
        <v>0.2145</v>
      </c>
      <c r="U922" s="66">
        <f>5.24*0.055</f>
        <v>0.28820000000000001</v>
      </c>
      <c r="V922" s="66">
        <f>5.58*0.055</f>
        <v>0.30690000000000001</v>
      </c>
      <c r="W922" s="66">
        <f>7.5*0.055</f>
        <v>0.41249999999999998</v>
      </c>
      <c r="X922" s="66">
        <f>1.564*0.055</f>
        <v>8.6019999999999999E-2</v>
      </c>
      <c r="Y922" s="66">
        <f>5.427*0.055</f>
        <v>0.298485</v>
      </c>
      <c r="Z922" s="66">
        <f>3.195*0.055</f>
        <v>0.17572499999999999</v>
      </c>
      <c r="AA922" s="66">
        <f>5.434*0.055</f>
        <v>0.29887000000000002</v>
      </c>
      <c r="AB922" s="66">
        <f>3.095*0.055</f>
        <v>0.17022500000000002</v>
      </c>
      <c r="AC922" s="66">
        <f>4.27*0.055</f>
        <v>0.23484999999999998</v>
      </c>
    </row>
    <row r="923" spans="1:29">
      <c r="A923" s="43" t="s">
        <v>278</v>
      </c>
      <c r="B923" s="43" t="s">
        <v>825</v>
      </c>
      <c r="R923" s="50">
        <v>0</v>
      </c>
      <c r="S923" s="50">
        <v>0</v>
      </c>
      <c r="T923" s="66">
        <v>0</v>
      </c>
      <c r="U923" s="66">
        <v>0</v>
      </c>
      <c r="V923" s="66">
        <v>0</v>
      </c>
      <c r="W923" s="66">
        <v>0</v>
      </c>
      <c r="X923" s="66">
        <v>0</v>
      </c>
      <c r="Y923" s="66">
        <v>0</v>
      </c>
      <c r="Z923" s="66">
        <v>0</v>
      </c>
      <c r="AA923" s="66">
        <v>0</v>
      </c>
      <c r="AB923" s="66">
        <v>0</v>
      </c>
      <c r="AC923" s="66">
        <v>0</v>
      </c>
    </row>
    <row r="924" spans="1:29">
      <c r="A924" s="43" t="s">
        <v>278</v>
      </c>
      <c r="B924" s="43" t="s">
        <v>574</v>
      </c>
      <c r="R924" s="50">
        <v>0</v>
      </c>
      <c r="S924" s="50">
        <v>0</v>
      </c>
      <c r="T924" s="66">
        <v>0</v>
      </c>
      <c r="U924" s="66">
        <v>0</v>
      </c>
      <c r="V924" s="66">
        <v>0</v>
      </c>
      <c r="W924" s="66">
        <v>0</v>
      </c>
      <c r="X924" s="66">
        <v>0</v>
      </c>
      <c r="Y924" s="66">
        <v>0</v>
      </c>
      <c r="Z924" s="66">
        <v>0</v>
      </c>
      <c r="AA924" s="66">
        <v>0</v>
      </c>
      <c r="AB924" s="66">
        <v>0</v>
      </c>
      <c r="AC924" s="66">
        <v>0</v>
      </c>
    </row>
    <row r="925" spans="1:29">
      <c r="A925" s="43" t="s">
        <v>278</v>
      </c>
      <c r="B925" s="43" t="s">
        <v>535</v>
      </c>
      <c r="R925" s="50">
        <v>0</v>
      </c>
      <c r="S925" s="50">
        <v>0</v>
      </c>
      <c r="T925" s="66">
        <v>0</v>
      </c>
      <c r="U925" s="66">
        <v>0</v>
      </c>
      <c r="V925" s="66">
        <v>0</v>
      </c>
      <c r="W925" s="66">
        <v>0</v>
      </c>
      <c r="X925" s="66">
        <v>0</v>
      </c>
      <c r="Y925" s="66">
        <v>0</v>
      </c>
      <c r="Z925" s="66">
        <v>0</v>
      </c>
      <c r="AA925" s="66">
        <v>0</v>
      </c>
      <c r="AB925" s="66">
        <v>0</v>
      </c>
      <c r="AC925" s="66">
        <v>0</v>
      </c>
    </row>
    <row r="926" spans="1:29">
      <c r="A926" s="43" t="s">
        <v>743</v>
      </c>
      <c r="B926" s="43" t="s">
        <v>752</v>
      </c>
      <c r="C926" s="72">
        <v>50.356000000000002</v>
      </c>
      <c r="G926" s="72">
        <v>41.7</v>
      </c>
      <c r="H926" s="72">
        <v>37.47</v>
      </c>
      <c r="I926" s="72">
        <v>34.74</v>
      </c>
      <c r="J926" s="72">
        <v>35.28</v>
      </c>
      <c r="K926" s="72">
        <v>33.700000000000003</v>
      </c>
      <c r="L926" s="72">
        <v>26.367999999999999</v>
      </c>
      <c r="M926" s="72">
        <v>18.559999999999999</v>
      </c>
      <c r="N926" s="73">
        <v>10.08</v>
      </c>
      <c r="O926" s="73">
        <v>4.9619999999999997</v>
      </c>
      <c r="Q926" s="73">
        <v>1.01</v>
      </c>
      <c r="R926" s="50">
        <v>0</v>
      </c>
      <c r="S926" s="50">
        <v>0</v>
      </c>
      <c r="T926" s="66" t="s">
        <v>685</v>
      </c>
      <c r="U926" s="66" t="s">
        <v>685</v>
      </c>
      <c r="V926" s="66" t="s">
        <v>685</v>
      </c>
      <c r="W926" s="66" t="s">
        <v>685</v>
      </c>
      <c r="X926" s="66" t="s">
        <v>685</v>
      </c>
      <c r="Y926" s="66" t="s">
        <v>685</v>
      </c>
      <c r="Z926" s="66" t="s">
        <v>685</v>
      </c>
      <c r="AA926" s="66">
        <v>0</v>
      </c>
      <c r="AB926" s="66">
        <v>0</v>
      </c>
      <c r="AC926" s="66">
        <v>0</v>
      </c>
    </row>
    <row r="927" spans="1:29">
      <c r="A927" s="43" t="s">
        <v>743</v>
      </c>
      <c r="B927" s="43" t="s">
        <v>663</v>
      </c>
      <c r="C927" s="72">
        <v>0</v>
      </c>
      <c r="G927" s="72">
        <v>0</v>
      </c>
      <c r="H927" s="72">
        <v>0</v>
      </c>
      <c r="I927" s="72">
        <v>0</v>
      </c>
      <c r="J927" s="72">
        <v>0</v>
      </c>
      <c r="K927" s="72">
        <v>0</v>
      </c>
      <c r="L927" s="72">
        <v>0</v>
      </c>
      <c r="M927" s="72">
        <v>0</v>
      </c>
      <c r="N927" s="73">
        <v>0</v>
      </c>
      <c r="O927" s="73">
        <v>0</v>
      </c>
      <c r="Q927" s="73">
        <v>0</v>
      </c>
      <c r="R927" s="50">
        <v>0</v>
      </c>
      <c r="S927" s="50">
        <v>0</v>
      </c>
      <c r="T927" s="66" t="s">
        <v>685</v>
      </c>
      <c r="U927" s="66" t="s">
        <v>685</v>
      </c>
      <c r="V927" s="66" t="s">
        <v>685</v>
      </c>
      <c r="W927" s="66" t="s">
        <v>685</v>
      </c>
      <c r="X927" s="66" t="s">
        <v>685</v>
      </c>
      <c r="Y927" s="66" t="s">
        <v>685</v>
      </c>
      <c r="Z927" s="66" t="s">
        <v>685</v>
      </c>
      <c r="AA927" s="66">
        <v>0</v>
      </c>
      <c r="AB927" s="66">
        <v>0</v>
      </c>
      <c r="AC927" s="66">
        <v>0</v>
      </c>
    </row>
    <row r="928" spans="1:29">
      <c r="A928" s="43" t="s">
        <v>743</v>
      </c>
      <c r="B928" s="43" t="s">
        <v>243</v>
      </c>
      <c r="C928" s="72">
        <v>0</v>
      </c>
      <c r="G928" s="72">
        <v>0</v>
      </c>
      <c r="H928" s="72">
        <v>0</v>
      </c>
      <c r="I928" s="72">
        <v>0</v>
      </c>
      <c r="J928" s="72">
        <v>0</v>
      </c>
      <c r="K928" s="72">
        <v>0</v>
      </c>
      <c r="L928" s="72">
        <v>0</v>
      </c>
      <c r="M928" s="72">
        <v>0</v>
      </c>
      <c r="N928" s="73">
        <v>0</v>
      </c>
      <c r="O928" s="73">
        <v>0</v>
      </c>
      <c r="Q928" s="73">
        <v>0</v>
      </c>
      <c r="R928" s="50">
        <v>0</v>
      </c>
      <c r="S928" s="50">
        <v>0</v>
      </c>
      <c r="T928" s="66" t="s">
        <v>685</v>
      </c>
      <c r="U928" s="66" t="s">
        <v>685</v>
      </c>
      <c r="V928" s="66" t="s">
        <v>685</v>
      </c>
      <c r="W928" s="66" t="s">
        <v>685</v>
      </c>
      <c r="X928" s="66" t="s">
        <v>685</v>
      </c>
      <c r="Y928" s="66" t="s">
        <v>685</v>
      </c>
      <c r="Z928" s="66" t="s">
        <v>685</v>
      </c>
      <c r="AA928" s="66">
        <v>0</v>
      </c>
      <c r="AB928" s="66">
        <v>0</v>
      </c>
      <c r="AC928" s="66">
        <v>0</v>
      </c>
    </row>
    <row r="929" spans="1:29">
      <c r="A929" s="43" t="s">
        <v>743</v>
      </c>
      <c r="B929" s="43" t="s">
        <v>95</v>
      </c>
      <c r="C929" s="73">
        <v>0</v>
      </c>
      <c r="G929" s="73">
        <v>0</v>
      </c>
      <c r="H929" s="73">
        <v>0</v>
      </c>
      <c r="I929" s="73">
        <v>0</v>
      </c>
      <c r="J929" s="73">
        <v>0</v>
      </c>
      <c r="K929" s="73">
        <v>4.0230300000000003</v>
      </c>
      <c r="L929" s="73">
        <v>3.6970999999999998</v>
      </c>
      <c r="M929" s="73">
        <v>3.0954000000000002</v>
      </c>
      <c r="N929" s="73">
        <v>2.6377999999999999</v>
      </c>
      <c r="O929" s="73">
        <v>4.93405</v>
      </c>
      <c r="Q929" s="73">
        <f>372.89*0.055</f>
        <v>20.508949999999999</v>
      </c>
      <c r="R929" s="50">
        <f>375*0.055</f>
        <v>20.625</v>
      </c>
      <c r="S929" s="50">
        <f>348*0.055</f>
        <v>19.14</v>
      </c>
      <c r="T929" s="66">
        <f>360*0.055</f>
        <v>19.8</v>
      </c>
      <c r="U929" s="66">
        <f>345*0.055</f>
        <v>18.975000000000001</v>
      </c>
      <c r="V929" s="66">
        <f>325*0.055</f>
        <v>17.875</v>
      </c>
      <c r="W929" s="66">
        <f>302*0.055</f>
        <v>16.61</v>
      </c>
      <c r="X929" s="66">
        <f>280*0.055</f>
        <v>15.4</v>
      </c>
      <c r="Y929" s="66">
        <f>272*0.055</f>
        <v>14.96</v>
      </c>
      <c r="Z929" s="66">
        <f>258*0.055</f>
        <v>14.19</v>
      </c>
      <c r="AA929" s="66">
        <f>(248.255*0.055)+(6.191*0.065)</f>
        <v>14.056439999999998</v>
      </c>
      <c r="AB929" s="66">
        <f>(193.61*0.055)+(3.595*0.065)</f>
        <v>10.882225</v>
      </c>
      <c r="AC929" s="66">
        <f>((148.63+6.479)*0.055)+(4.8298*0.065)</f>
        <v>8.844932</v>
      </c>
    </row>
    <row r="930" spans="1:29">
      <c r="A930" s="43" t="s">
        <v>743</v>
      </c>
      <c r="B930" s="43" t="s">
        <v>825</v>
      </c>
      <c r="Q930" s="73">
        <v>0</v>
      </c>
      <c r="R930" s="50">
        <v>0</v>
      </c>
      <c r="S930" s="50">
        <v>0</v>
      </c>
      <c r="T930" s="66">
        <v>0</v>
      </c>
      <c r="U930" s="66">
        <v>0</v>
      </c>
      <c r="V930" s="66">
        <v>0</v>
      </c>
      <c r="W930" s="66">
        <v>0</v>
      </c>
      <c r="X930" s="66">
        <v>0</v>
      </c>
      <c r="Y930" s="66">
        <v>0</v>
      </c>
      <c r="Z930" s="66">
        <v>0</v>
      </c>
      <c r="AA930" s="66">
        <v>0</v>
      </c>
      <c r="AB930" s="66">
        <v>0</v>
      </c>
      <c r="AC930" s="66">
        <v>0</v>
      </c>
    </row>
    <row r="931" spans="1:29">
      <c r="A931" s="43" t="s">
        <v>743</v>
      </c>
      <c r="B931" s="43" t="s">
        <v>574</v>
      </c>
      <c r="C931" s="72">
        <v>0</v>
      </c>
      <c r="G931" s="72">
        <v>0</v>
      </c>
      <c r="H931" s="72">
        <v>0</v>
      </c>
      <c r="I931" s="72">
        <v>0</v>
      </c>
      <c r="J931" s="72">
        <v>0</v>
      </c>
      <c r="K931" s="72">
        <v>0</v>
      </c>
      <c r="L931" s="72">
        <v>0</v>
      </c>
      <c r="M931" s="72">
        <v>0</v>
      </c>
      <c r="N931" s="73">
        <v>0</v>
      </c>
      <c r="O931" s="73">
        <v>0</v>
      </c>
      <c r="Q931" s="73">
        <v>0</v>
      </c>
      <c r="R931" s="50">
        <v>0</v>
      </c>
      <c r="S931" s="50">
        <v>0</v>
      </c>
      <c r="T931" s="66">
        <v>0</v>
      </c>
      <c r="U931" s="66">
        <v>0</v>
      </c>
      <c r="V931" s="66">
        <v>0</v>
      </c>
      <c r="W931" s="66">
        <v>0</v>
      </c>
      <c r="X931" s="66">
        <v>0</v>
      </c>
      <c r="Y931" s="66">
        <v>0</v>
      </c>
      <c r="Z931" s="66">
        <v>0</v>
      </c>
      <c r="AA931" s="66">
        <v>0</v>
      </c>
      <c r="AB931" s="66">
        <v>0</v>
      </c>
      <c r="AC931" s="66">
        <v>0</v>
      </c>
    </row>
    <row r="932" spans="1:29">
      <c r="A932" s="43" t="s">
        <v>743</v>
      </c>
      <c r="B932" s="43" t="s">
        <v>535</v>
      </c>
      <c r="C932" s="72">
        <v>0</v>
      </c>
      <c r="G932" s="72">
        <v>0</v>
      </c>
      <c r="H932" s="72">
        <v>0</v>
      </c>
      <c r="I932" s="72">
        <v>0</v>
      </c>
      <c r="J932" s="72">
        <v>0</v>
      </c>
      <c r="K932" s="72">
        <v>0</v>
      </c>
      <c r="L932" s="72">
        <v>0</v>
      </c>
      <c r="M932" s="72">
        <v>0</v>
      </c>
      <c r="N932" s="73">
        <v>0</v>
      </c>
      <c r="O932" s="73">
        <v>0</v>
      </c>
      <c r="Q932" s="73">
        <v>0</v>
      </c>
      <c r="R932" s="50">
        <v>0</v>
      </c>
      <c r="S932" s="50">
        <v>0</v>
      </c>
      <c r="T932" s="66">
        <v>0</v>
      </c>
      <c r="U932" s="66">
        <v>0</v>
      </c>
      <c r="V932" s="66">
        <v>0</v>
      </c>
      <c r="W932" s="66">
        <v>0</v>
      </c>
      <c r="X932" s="66">
        <v>0</v>
      </c>
      <c r="Y932" s="66">
        <v>0</v>
      </c>
      <c r="Z932" s="66">
        <v>0</v>
      </c>
      <c r="AA932" s="66">
        <v>0</v>
      </c>
      <c r="AB932" s="66">
        <v>0</v>
      </c>
      <c r="AC932" s="66">
        <v>0</v>
      </c>
    </row>
    <row r="933" spans="1:29">
      <c r="A933" s="43" t="s">
        <v>682</v>
      </c>
      <c r="B933" s="43" t="s">
        <v>752</v>
      </c>
      <c r="J933" s="72">
        <v>0.79690000000000005</v>
      </c>
      <c r="L933" s="72">
        <v>0</v>
      </c>
      <c r="M933" s="72">
        <v>0</v>
      </c>
      <c r="N933" s="73">
        <v>0</v>
      </c>
      <c r="O933" s="73">
        <v>0</v>
      </c>
      <c r="P933" s="73">
        <v>0</v>
      </c>
      <c r="Q933" s="73">
        <v>0</v>
      </c>
      <c r="R933" s="50">
        <v>0</v>
      </c>
      <c r="S933" s="50">
        <v>0</v>
      </c>
      <c r="T933" s="66" t="s">
        <v>685</v>
      </c>
      <c r="U933" s="66" t="s">
        <v>685</v>
      </c>
      <c r="V933" s="66" t="s">
        <v>685</v>
      </c>
      <c r="W933" s="66" t="s">
        <v>685</v>
      </c>
      <c r="X933" s="66" t="s">
        <v>685</v>
      </c>
      <c r="Y933" s="66" t="s">
        <v>685</v>
      </c>
      <c r="Z933" s="66" t="s">
        <v>685</v>
      </c>
      <c r="AA933" s="66">
        <v>0</v>
      </c>
      <c r="AB933" s="66">
        <v>0</v>
      </c>
      <c r="AC933" s="66">
        <v>0</v>
      </c>
    </row>
    <row r="934" spans="1:29">
      <c r="A934" s="43" t="s">
        <v>682</v>
      </c>
      <c r="B934" s="43" t="s">
        <v>663</v>
      </c>
      <c r="J934" s="72">
        <v>0</v>
      </c>
      <c r="L934" s="72">
        <v>0</v>
      </c>
      <c r="M934" s="72">
        <v>0</v>
      </c>
      <c r="N934" s="73">
        <v>0</v>
      </c>
      <c r="O934" s="73">
        <v>0</v>
      </c>
      <c r="P934" s="73">
        <v>0</v>
      </c>
      <c r="Q934" s="73">
        <v>0</v>
      </c>
      <c r="R934" s="50">
        <v>0</v>
      </c>
      <c r="S934" s="50">
        <v>0</v>
      </c>
      <c r="T934" s="66" t="s">
        <v>685</v>
      </c>
      <c r="U934" s="66" t="s">
        <v>685</v>
      </c>
      <c r="V934" s="66" t="s">
        <v>685</v>
      </c>
      <c r="W934" s="66" t="s">
        <v>685</v>
      </c>
      <c r="X934" s="66" t="s">
        <v>685</v>
      </c>
      <c r="Y934" s="66" t="s">
        <v>685</v>
      </c>
      <c r="Z934" s="66" t="s">
        <v>685</v>
      </c>
      <c r="AA934" s="66">
        <v>0</v>
      </c>
      <c r="AB934" s="66">
        <v>0</v>
      </c>
      <c r="AC934" s="66">
        <v>0</v>
      </c>
    </row>
    <row r="935" spans="1:29">
      <c r="A935" s="43" t="s">
        <v>682</v>
      </c>
      <c r="B935" s="43" t="s">
        <v>243</v>
      </c>
      <c r="J935" s="72">
        <v>0</v>
      </c>
      <c r="L935" s="72">
        <v>0</v>
      </c>
      <c r="M935" s="72">
        <v>0</v>
      </c>
      <c r="N935" s="73">
        <v>0</v>
      </c>
      <c r="O935" s="73">
        <v>0</v>
      </c>
      <c r="P935" s="73">
        <v>0</v>
      </c>
      <c r="Q935" s="73">
        <v>0</v>
      </c>
      <c r="R935" s="50">
        <v>0</v>
      </c>
      <c r="S935" s="50">
        <v>0</v>
      </c>
      <c r="T935" s="66" t="s">
        <v>685</v>
      </c>
      <c r="U935" s="66" t="s">
        <v>685</v>
      </c>
      <c r="V935" s="66" t="s">
        <v>685</v>
      </c>
      <c r="W935" s="66" t="s">
        <v>685</v>
      </c>
      <c r="X935" s="66" t="s">
        <v>685</v>
      </c>
      <c r="Y935" s="66" t="s">
        <v>685</v>
      </c>
      <c r="Z935" s="66" t="s">
        <v>685</v>
      </c>
      <c r="AA935" s="66">
        <v>0</v>
      </c>
      <c r="AB935" s="66">
        <v>0</v>
      </c>
      <c r="AC935" s="66">
        <v>0</v>
      </c>
    </row>
    <row r="936" spans="1:29">
      <c r="A936" s="43" t="s">
        <v>682</v>
      </c>
      <c r="B936" s="43" t="s">
        <v>95</v>
      </c>
      <c r="J936" s="73">
        <v>0.17357312999999999</v>
      </c>
      <c r="L936" s="73">
        <v>6.0670000000000002E-2</v>
      </c>
      <c r="M936" s="73">
        <v>2.64E-2</v>
      </c>
      <c r="N936" s="75">
        <v>4.5099999999999994E-2</v>
      </c>
      <c r="O936" s="73">
        <v>5.0599999999999999E-2</v>
      </c>
      <c r="P936" s="73">
        <v>0.15235000000000001</v>
      </c>
      <c r="Q936" s="73">
        <f>0.01*0.055</f>
        <v>5.5000000000000003E-4</v>
      </c>
      <c r="R936" s="50">
        <f>2.67*0.055</f>
        <v>0.14685000000000001</v>
      </c>
      <c r="S936" s="50">
        <f>1.3*0.055</f>
        <v>7.1500000000000008E-2</v>
      </c>
      <c r="T936" s="66">
        <f>0.94*0.055</f>
        <v>5.1699999999999996E-2</v>
      </c>
      <c r="U936" s="66">
        <f>0.681*0.055</f>
        <v>3.7455000000000002E-2</v>
      </c>
      <c r="V936" s="66">
        <f>0.35*0.055</f>
        <v>1.925E-2</v>
      </c>
      <c r="W936" s="76">
        <f>0.045*0.055</f>
        <v>2.4749999999999998E-3</v>
      </c>
      <c r="X936" s="76">
        <f>0.041*0.055</f>
        <v>2.2550000000000001E-3</v>
      </c>
      <c r="Y936" s="76">
        <f>0.104*0.055</f>
        <v>5.7199999999999994E-3</v>
      </c>
      <c r="Z936" s="76">
        <f>0.085*0.055</f>
        <v>4.6750000000000003E-3</v>
      </c>
      <c r="AA936" s="76">
        <f>0.0227*0.055</f>
        <v>1.2485E-3</v>
      </c>
      <c r="AB936" s="76">
        <f>0.0227*0.055</f>
        <v>1.2485E-3</v>
      </c>
      <c r="AC936" s="66">
        <f>0.15*0.055</f>
        <v>8.2500000000000004E-3</v>
      </c>
    </row>
    <row r="937" spans="1:29">
      <c r="A937" s="43" t="s">
        <v>682</v>
      </c>
      <c r="B937" s="43" t="s">
        <v>825</v>
      </c>
      <c r="Q937" s="73">
        <v>0</v>
      </c>
      <c r="R937" s="50">
        <v>0</v>
      </c>
      <c r="S937" s="50">
        <v>0</v>
      </c>
      <c r="T937" s="66">
        <v>0</v>
      </c>
      <c r="U937" s="66">
        <v>0</v>
      </c>
      <c r="V937" s="66">
        <v>0</v>
      </c>
      <c r="W937" s="66">
        <v>0</v>
      </c>
      <c r="X937" s="66">
        <v>0</v>
      </c>
      <c r="Y937" s="66">
        <v>0</v>
      </c>
      <c r="Z937" s="66">
        <v>0</v>
      </c>
      <c r="AA937" s="66">
        <v>0</v>
      </c>
      <c r="AB937" s="66">
        <v>0</v>
      </c>
      <c r="AC937" s="66">
        <v>0</v>
      </c>
    </row>
    <row r="938" spans="1:29">
      <c r="A938" s="43" t="s">
        <v>682</v>
      </c>
      <c r="B938" s="43" t="s">
        <v>574</v>
      </c>
      <c r="J938" s="72">
        <v>0</v>
      </c>
      <c r="L938" s="72">
        <v>0</v>
      </c>
      <c r="M938" s="72">
        <v>0</v>
      </c>
      <c r="N938" s="73">
        <v>0</v>
      </c>
      <c r="O938" s="73">
        <v>0</v>
      </c>
      <c r="P938" s="73">
        <v>0</v>
      </c>
      <c r="Q938" s="73">
        <v>0</v>
      </c>
      <c r="R938" s="50">
        <v>0</v>
      </c>
      <c r="S938" s="50">
        <v>0</v>
      </c>
      <c r="T938" s="66">
        <v>0</v>
      </c>
      <c r="U938" s="66">
        <v>0</v>
      </c>
      <c r="V938" s="66">
        <v>0</v>
      </c>
      <c r="W938" s="66">
        <v>0</v>
      </c>
      <c r="X938" s="66">
        <v>0</v>
      </c>
      <c r="Y938" s="66">
        <v>0</v>
      </c>
      <c r="Z938" s="66">
        <v>0</v>
      </c>
      <c r="AA938" s="66">
        <v>0</v>
      </c>
      <c r="AB938" s="66">
        <v>0</v>
      </c>
      <c r="AC938" s="66">
        <v>0</v>
      </c>
    </row>
    <row r="939" spans="1:29">
      <c r="A939" s="43" t="s">
        <v>682</v>
      </c>
      <c r="B939" s="43" t="s">
        <v>535</v>
      </c>
      <c r="J939" s="72">
        <v>0</v>
      </c>
      <c r="L939" s="72">
        <v>0</v>
      </c>
      <c r="M939" s="72">
        <v>0</v>
      </c>
      <c r="N939" s="73">
        <v>0</v>
      </c>
      <c r="O939" s="73">
        <v>0</v>
      </c>
      <c r="P939" s="73">
        <v>0</v>
      </c>
      <c r="Q939" s="73">
        <v>0</v>
      </c>
      <c r="R939" s="50">
        <v>0</v>
      </c>
      <c r="S939" s="50">
        <v>0</v>
      </c>
      <c r="T939" s="66">
        <v>0</v>
      </c>
      <c r="U939" s="66">
        <v>0</v>
      </c>
      <c r="V939" s="66">
        <v>0</v>
      </c>
      <c r="W939" s="66">
        <v>0</v>
      </c>
      <c r="X939" s="66">
        <v>0</v>
      </c>
      <c r="Y939" s="66">
        <v>0</v>
      </c>
      <c r="Z939" s="66">
        <v>0</v>
      </c>
      <c r="AA939" s="66">
        <v>0</v>
      </c>
      <c r="AB939" s="66">
        <v>0</v>
      </c>
      <c r="AC939" s="66">
        <v>0</v>
      </c>
    </row>
    <row r="940" spans="1:29">
      <c r="A940" s="43" t="s">
        <v>744</v>
      </c>
      <c r="B940" s="43" t="s">
        <v>752</v>
      </c>
      <c r="C940" s="72">
        <v>111.31</v>
      </c>
      <c r="D940" s="72">
        <v>114.09</v>
      </c>
      <c r="E940" s="72">
        <v>134.6</v>
      </c>
      <c r="F940" s="72">
        <v>155.6</v>
      </c>
      <c r="G940" s="72">
        <v>81.680000000000007</v>
      </c>
      <c r="H940" s="72">
        <v>101.28</v>
      </c>
      <c r="I940" s="72">
        <v>79.180000000000007</v>
      </c>
      <c r="J940" s="72">
        <v>63.59</v>
      </c>
      <c r="K940" s="72">
        <v>62.52</v>
      </c>
      <c r="L940" s="72">
        <v>35.002000000000002</v>
      </c>
      <c r="M940" s="72">
        <v>18.314</v>
      </c>
      <c r="N940" s="73">
        <v>2.9040000000000004</v>
      </c>
      <c r="O940" s="73">
        <v>0</v>
      </c>
      <c r="P940" s="73">
        <v>0</v>
      </c>
      <c r="Q940" s="73">
        <v>0</v>
      </c>
      <c r="R940" s="50">
        <v>0</v>
      </c>
      <c r="S940" s="50">
        <v>0</v>
      </c>
      <c r="T940" s="66" t="s">
        <v>685</v>
      </c>
      <c r="U940" s="66" t="s">
        <v>685</v>
      </c>
      <c r="V940" s="66" t="s">
        <v>685</v>
      </c>
      <c r="W940" s="66" t="s">
        <v>685</v>
      </c>
      <c r="X940" s="66" t="s">
        <v>685</v>
      </c>
      <c r="Y940" s="66" t="s">
        <v>685</v>
      </c>
      <c r="Z940" s="66" t="s">
        <v>685</v>
      </c>
      <c r="AA940" s="66">
        <v>0</v>
      </c>
      <c r="AB940" s="66">
        <v>0</v>
      </c>
      <c r="AC940" s="66">
        <v>0</v>
      </c>
    </row>
    <row r="941" spans="1:29">
      <c r="A941" s="43" t="s">
        <v>744</v>
      </c>
      <c r="B941" s="43" t="s">
        <v>663</v>
      </c>
      <c r="C941" s="72">
        <v>0</v>
      </c>
      <c r="D941" s="72">
        <v>0</v>
      </c>
      <c r="E941" s="72">
        <v>0</v>
      </c>
      <c r="F941" s="72">
        <v>0</v>
      </c>
      <c r="G941" s="72">
        <v>0</v>
      </c>
      <c r="H941" s="72">
        <v>0</v>
      </c>
      <c r="I941" s="72">
        <v>0</v>
      </c>
      <c r="J941" s="72">
        <v>0</v>
      </c>
      <c r="K941" s="72">
        <v>0</v>
      </c>
      <c r="L941" s="72">
        <v>0</v>
      </c>
      <c r="M941" s="72">
        <v>0</v>
      </c>
      <c r="N941" s="73">
        <v>0</v>
      </c>
      <c r="O941" s="73">
        <v>0</v>
      </c>
      <c r="P941" s="73">
        <v>0</v>
      </c>
      <c r="Q941" s="73">
        <v>0</v>
      </c>
      <c r="R941" s="50">
        <v>0</v>
      </c>
      <c r="S941" s="50">
        <v>0</v>
      </c>
      <c r="T941" s="66" t="s">
        <v>685</v>
      </c>
      <c r="U941" s="66" t="s">
        <v>685</v>
      </c>
      <c r="V941" s="66" t="s">
        <v>685</v>
      </c>
      <c r="W941" s="66" t="s">
        <v>685</v>
      </c>
      <c r="X941" s="66" t="s">
        <v>685</v>
      </c>
      <c r="Y941" s="66" t="s">
        <v>685</v>
      </c>
      <c r="Z941" s="66" t="s">
        <v>685</v>
      </c>
      <c r="AA941" s="66">
        <v>0</v>
      </c>
      <c r="AB941" s="66">
        <v>0</v>
      </c>
      <c r="AC941" s="66">
        <v>0</v>
      </c>
    </row>
    <row r="942" spans="1:29">
      <c r="A942" s="43" t="s">
        <v>744</v>
      </c>
      <c r="B942" s="43" t="s">
        <v>243</v>
      </c>
      <c r="C942" s="72">
        <v>46</v>
      </c>
      <c r="D942" s="72">
        <v>46.88</v>
      </c>
      <c r="E942" s="72">
        <v>46.88</v>
      </c>
      <c r="F942" s="72">
        <v>46.88</v>
      </c>
      <c r="G942" s="72">
        <v>5</v>
      </c>
      <c r="H942" s="72">
        <v>0</v>
      </c>
      <c r="I942" s="72">
        <v>0</v>
      </c>
      <c r="J942" s="72">
        <v>1.1000000000000001</v>
      </c>
      <c r="K942" s="72">
        <v>0</v>
      </c>
      <c r="L942" s="72">
        <v>0</v>
      </c>
      <c r="M942" s="72">
        <v>0</v>
      </c>
      <c r="N942" s="73">
        <v>0</v>
      </c>
      <c r="O942" s="73">
        <v>0</v>
      </c>
      <c r="P942" s="73">
        <v>0</v>
      </c>
      <c r="Q942" s="73">
        <f>0.01*3</f>
        <v>0.03</v>
      </c>
      <c r="R942" s="50">
        <v>0</v>
      </c>
      <c r="S942" s="50">
        <v>0</v>
      </c>
      <c r="T942" s="66" t="s">
        <v>685</v>
      </c>
      <c r="U942" s="66" t="s">
        <v>685</v>
      </c>
      <c r="V942" s="66" t="s">
        <v>685</v>
      </c>
      <c r="W942" s="66" t="s">
        <v>685</v>
      </c>
      <c r="X942" s="66" t="s">
        <v>685</v>
      </c>
      <c r="Y942" s="66" t="s">
        <v>685</v>
      </c>
      <c r="Z942" s="66" t="s">
        <v>685</v>
      </c>
      <c r="AA942" s="66">
        <f>0.24*10</f>
        <v>2.4</v>
      </c>
      <c r="AB942" s="66">
        <f>(0.01*3)+(0.29*10)</f>
        <v>2.9299999999999997</v>
      </c>
      <c r="AC942" s="66">
        <f>0.73*10</f>
        <v>7.3</v>
      </c>
    </row>
    <row r="943" spans="1:29">
      <c r="A943" s="43" t="s">
        <v>744</v>
      </c>
      <c r="B943" s="43" t="s">
        <v>95</v>
      </c>
      <c r="C943" s="73">
        <v>4.0881499999999997</v>
      </c>
      <c r="D943" s="73">
        <v>6.6654499999999999</v>
      </c>
      <c r="E943" s="73">
        <v>6.875</v>
      </c>
      <c r="F943" s="73">
        <v>7.92</v>
      </c>
      <c r="G943" s="73">
        <v>10.4236</v>
      </c>
      <c r="H943" s="73">
        <v>7.0070000000000006</v>
      </c>
      <c r="I943" s="73">
        <v>10.30865</v>
      </c>
      <c r="J943" s="73">
        <v>28.233150000000002</v>
      </c>
      <c r="K943" s="73">
        <v>11.4961</v>
      </c>
      <c r="L943" s="73">
        <v>19.663599999999999</v>
      </c>
      <c r="M943" s="73">
        <v>33.654499999999999</v>
      </c>
      <c r="N943" s="73">
        <v>70.522649999999999</v>
      </c>
      <c r="O943" s="73">
        <v>45.704900000000002</v>
      </c>
      <c r="P943" s="73">
        <v>57.154000000000003</v>
      </c>
      <c r="Q943" s="73">
        <v>38.005999999999993</v>
      </c>
      <c r="R943" s="50">
        <f>((892.17-10.36)*0.055)+(65.72*0.11)+(43*0.022)</f>
        <v>56.674749999999996</v>
      </c>
      <c r="S943" s="50">
        <f>((607.7-9.6)*0.055)+(-0.05*0.022)</f>
        <v>32.894399999999997</v>
      </c>
      <c r="T943" s="66">
        <f>((1525.2-15.806)*0.055)+((84.1-0.12)*0.065)+((1.39-0.204)*0.022)</f>
        <v>88.501462000000004</v>
      </c>
      <c r="U943" s="66">
        <f>-2.44*0.055</f>
        <v>-0.13419999999999999</v>
      </c>
      <c r="V943" s="66">
        <f>((474.1-0.626)*0.055)+(1.361*0.11)+(3*0.065)+(1.27*0.02)+(6.37*0.022)</f>
        <v>26.55132</v>
      </c>
      <c r="W943" s="66">
        <f>((234.6-5.445)*0.055)+(0.4*0.065)+(0.7*0.02)</f>
        <v>12.643524999999999</v>
      </c>
      <c r="X943" s="66">
        <f>((381.569-4.473)*0.055)+(2.779*0.02)</f>
        <v>20.795860000000001</v>
      </c>
      <c r="Y943" s="66">
        <f>((215.22-0.9)*0.055)+(0.87*0.02)</f>
        <v>11.805</v>
      </c>
      <c r="Z943" s="66">
        <f>((288.67-4.15)*0.055)+(0.25*0.02)</f>
        <v>15.653600000000003</v>
      </c>
      <c r="AA943" s="66">
        <f>((388.08-9.01)*0.055)+(0.25*0.02)</f>
        <v>20.853849999999998</v>
      </c>
      <c r="AB943" s="66">
        <f>((265.52-3.33)*0.055)+(1.37*0.02)</f>
        <v>14.447850000000001</v>
      </c>
      <c r="AC943" s="66">
        <f>((161.82-2.28)*0.055)+(1.33*0.02)</f>
        <v>8.8012999999999995</v>
      </c>
    </row>
    <row r="944" spans="1:29">
      <c r="A944" s="43" t="s">
        <v>744</v>
      </c>
      <c r="B944" s="43" t="s">
        <v>825</v>
      </c>
      <c r="Q944" s="73">
        <v>0</v>
      </c>
      <c r="R944" s="50">
        <v>0</v>
      </c>
      <c r="S944" s="50">
        <v>0</v>
      </c>
      <c r="T944" s="66">
        <v>0</v>
      </c>
      <c r="U944" s="66">
        <v>0</v>
      </c>
      <c r="V944" s="66">
        <v>0</v>
      </c>
      <c r="W944" s="66">
        <v>0</v>
      </c>
      <c r="X944" s="66">
        <v>0</v>
      </c>
      <c r="Y944" s="66">
        <f>3.57*0.11</f>
        <v>0.39269999999999999</v>
      </c>
      <c r="Z944" s="66">
        <v>0</v>
      </c>
      <c r="AA944" s="66">
        <v>0</v>
      </c>
      <c r="AB944" s="66">
        <v>0</v>
      </c>
      <c r="AC944" s="66">
        <v>0</v>
      </c>
    </row>
    <row r="945" spans="1:29">
      <c r="A945" s="43" t="s">
        <v>744</v>
      </c>
      <c r="B945" s="43" t="s">
        <v>574</v>
      </c>
      <c r="C945" s="72">
        <v>1.1759999999999999</v>
      </c>
      <c r="D945" s="72">
        <v>1.1759999999999999</v>
      </c>
      <c r="E945" s="72">
        <v>1.1759999999999999</v>
      </c>
      <c r="F945" s="72">
        <v>3.3</v>
      </c>
      <c r="G945" s="72">
        <v>2.1240000000000001</v>
      </c>
      <c r="H945" s="72">
        <v>0.84</v>
      </c>
      <c r="I945" s="72">
        <v>1.1399999999999999</v>
      </c>
      <c r="J945" s="72">
        <v>0.70799999999999996</v>
      </c>
      <c r="K945" s="72">
        <v>0.78600000000000003</v>
      </c>
      <c r="L945" s="72">
        <v>0.15</v>
      </c>
      <c r="M945" s="72">
        <v>0.09</v>
      </c>
      <c r="N945" s="73">
        <v>0.39</v>
      </c>
      <c r="O945" s="73">
        <v>0.39</v>
      </c>
      <c r="P945" s="73">
        <v>0</v>
      </c>
      <c r="Q945" s="73">
        <f>0.82*0.6</f>
        <v>0.49199999999999994</v>
      </c>
      <c r="R945" s="50">
        <v>0</v>
      </c>
      <c r="S945" s="50">
        <v>0</v>
      </c>
      <c r="T945" s="66">
        <v>0</v>
      </c>
      <c r="U945" s="66">
        <v>0</v>
      </c>
      <c r="V945" s="66">
        <v>0</v>
      </c>
      <c r="W945" s="66">
        <v>0</v>
      </c>
      <c r="X945" s="66">
        <v>0</v>
      </c>
      <c r="Y945" s="66">
        <v>0</v>
      </c>
      <c r="Z945" s="66">
        <v>0</v>
      </c>
      <c r="AA945" s="66">
        <v>0</v>
      </c>
      <c r="AB945" s="66">
        <v>0</v>
      </c>
      <c r="AC945" s="66">
        <v>0</v>
      </c>
    </row>
    <row r="946" spans="1:29">
      <c r="A946" s="43" t="s">
        <v>744</v>
      </c>
      <c r="B946" s="43" t="s">
        <v>535</v>
      </c>
      <c r="C946" s="72">
        <v>1.123</v>
      </c>
      <c r="D946" s="72">
        <v>1.145</v>
      </c>
      <c r="E946" s="72">
        <v>1.145</v>
      </c>
      <c r="F946" s="72">
        <v>1.145</v>
      </c>
      <c r="G946" s="72">
        <v>1.0089999999999999</v>
      </c>
      <c r="H946" s="72">
        <v>2.5999999999999999E-2</v>
      </c>
      <c r="I946" s="72">
        <v>0</v>
      </c>
      <c r="J946" s="72">
        <v>0.33500000000000002</v>
      </c>
      <c r="K946" s="72">
        <v>0</v>
      </c>
      <c r="L946" s="72">
        <v>0</v>
      </c>
      <c r="M946" s="72">
        <v>0</v>
      </c>
      <c r="N946" s="73">
        <v>0</v>
      </c>
      <c r="O946" s="73">
        <v>0</v>
      </c>
      <c r="P946" s="73">
        <v>0</v>
      </c>
      <c r="Q946" s="73">
        <v>0</v>
      </c>
      <c r="R946" s="50">
        <v>0</v>
      </c>
      <c r="S946" s="50">
        <v>0</v>
      </c>
      <c r="T946" s="66">
        <v>0</v>
      </c>
      <c r="U946" s="66">
        <v>0</v>
      </c>
      <c r="V946" s="66">
        <v>0</v>
      </c>
      <c r="W946" s="66">
        <v>0</v>
      </c>
      <c r="X946" s="66">
        <v>0</v>
      </c>
      <c r="Y946" s="66">
        <v>0</v>
      </c>
      <c r="Z946" s="66">
        <v>0</v>
      </c>
      <c r="AA946" s="66">
        <v>0</v>
      </c>
      <c r="AB946" s="66">
        <v>0</v>
      </c>
      <c r="AC946" s="66">
        <v>0</v>
      </c>
    </row>
    <row r="947" spans="1:29">
      <c r="A947" s="43" t="s">
        <v>745</v>
      </c>
      <c r="B947" s="43" t="s">
        <v>752</v>
      </c>
      <c r="C947" s="72">
        <v>758</v>
      </c>
      <c r="D947" s="72">
        <v>882</v>
      </c>
      <c r="E947" s="72">
        <v>970.2</v>
      </c>
      <c r="F947" s="72">
        <v>790.6</v>
      </c>
      <c r="G947" s="72">
        <v>566</v>
      </c>
      <c r="H947" s="72">
        <v>555</v>
      </c>
      <c r="I947" s="72">
        <v>570</v>
      </c>
      <c r="J947" s="72">
        <v>465.8</v>
      </c>
      <c r="K947" s="72">
        <v>362.5</v>
      </c>
      <c r="L947" s="72">
        <v>271</v>
      </c>
      <c r="M947" s="72">
        <v>205</v>
      </c>
      <c r="N947" s="73">
        <v>59.006</v>
      </c>
      <c r="O947" s="73">
        <v>17.71</v>
      </c>
      <c r="P947" s="73">
        <v>12.19</v>
      </c>
      <c r="Q947" s="73">
        <v>16.62</v>
      </c>
      <c r="R947" s="50">
        <v>0</v>
      </c>
      <c r="S947" s="50">
        <v>0</v>
      </c>
      <c r="T947" s="66">
        <v>0</v>
      </c>
      <c r="U947" s="66">
        <v>0</v>
      </c>
      <c r="V947" s="66" t="s">
        <v>685</v>
      </c>
      <c r="W947" s="66" t="s">
        <v>685</v>
      </c>
      <c r="X947" s="66" t="s">
        <v>685</v>
      </c>
      <c r="Y947" s="66" t="s">
        <v>685</v>
      </c>
      <c r="Z947" s="66" t="s">
        <v>685</v>
      </c>
      <c r="AA947" s="66">
        <v>0</v>
      </c>
      <c r="AB947" s="66">
        <v>0</v>
      </c>
      <c r="AC947" s="66">
        <v>0</v>
      </c>
    </row>
    <row r="948" spans="1:29">
      <c r="A948" s="43" t="s">
        <v>745</v>
      </c>
      <c r="B948" s="43" t="s">
        <v>663</v>
      </c>
      <c r="C948" s="72">
        <v>0</v>
      </c>
      <c r="D948" s="72">
        <v>0</v>
      </c>
      <c r="E948" s="72">
        <v>2.2000000000000002</v>
      </c>
      <c r="F948" s="72">
        <v>4.4000000000000004</v>
      </c>
      <c r="G948" s="72">
        <v>3.3</v>
      </c>
      <c r="H948" s="72">
        <v>1.1000000000000001</v>
      </c>
      <c r="I948" s="72">
        <v>1.1000000000000001</v>
      </c>
      <c r="J948" s="72">
        <v>1.1000000000000001</v>
      </c>
      <c r="K948" s="72">
        <v>0.88</v>
      </c>
      <c r="L948" s="72">
        <v>0.44</v>
      </c>
      <c r="M948" s="72">
        <v>0.33</v>
      </c>
      <c r="N948" s="73">
        <v>0</v>
      </c>
      <c r="O948" s="73">
        <v>0</v>
      </c>
      <c r="P948" s="73">
        <v>0</v>
      </c>
      <c r="Q948" s="73">
        <v>0</v>
      </c>
      <c r="R948" s="50">
        <v>0</v>
      </c>
      <c r="S948" s="50">
        <v>0</v>
      </c>
      <c r="T948" s="66">
        <v>0</v>
      </c>
      <c r="U948" s="66">
        <v>0</v>
      </c>
      <c r="V948" s="66" t="s">
        <v>685</v>
      </c>
      <c r="W948" s="66" t="s">
        <v>685</v>
      </c>
      <c r="X948" s="66" t="s">
        <v>685</v>
      </c>
      <c r="Y948" s="66" t="s">
        <v>685</v>
      </c>
      <c r="Z948" s="66" t="s">
        <v>685</v>
      </c>
      <c r="AA948" s="66">
        <v>0</v>
      </c>
      <c r="AB948" s="66">
        <v>0</v>
      </c>
      <c r="AC948" s="66">
        <v>0</v>
      </c>
    </row>
    <row r="949" spans="1:29">
      <c r="A949" s="43" t="s">
        <v>745</v>
      </c>
      <c r="B949" s="43" t="s">
        <v>243</v>
      </c>
      <c r="C949" s="72">
        <v>32</v>
      </c>
      <c r="D949" s="72">
        <v>116</v>
      </c>
      <c r="E949" s="72">
        <v>165</v>
      </c>
      <c r="F949" s="72">
        <v>160</v>
      </c>
      <c r="G949" s="72">
        <v>150</v>
      </c>
      <c r="H949" s="72">
        <v>42</v>
      </c>
      <c r="I949" s="72">
        <v>45</v>
      </c>
      <c r="J949" s="72">
        <v>45</v>
      </c>
      <c r="K949" s="72">
        <v>42</v>
      </c>
      <c r="L949" s="72">
        <v>42</v>
      </c>
      <c r="M949" s="72">
        <v>39</v>
      </c>
      <c r="N949" s="73">
        <v>0</v>
      </c>
      <c r="O949" s="73">
        <v>0</v>
      </c>
      <c r="P949" s="73">
        <v>0</v>
      </c>
      <c r="Q949" s="73">
        <v>0</v>
      </c>
      <c r="R949" s="50">
        <v>0</v>
      </c>
      <c r="S949" s="50">
        <v>0</v>
      </c>
      <c r="T949" s="66">
        <v>0</v>
      </c>
      <c r="U949" s="66">
        <v>0</v>
      </c>
      <c r="V949" s="66" t="s">
        <v>685</v>
      </c>
      <c r="W949" s="66" t="s">
        <v>685</v>
      </c>
      <c r="X949" s="66" t="s">
        <v>685</v>
      </c>
      <c r="Y949" s="66" t="s">
        <v>685</v>
      </c>
      <c r="Z949" s="66" t="s">
        <v>685</v>
      </c>
      <c r="AA949" s="66">
        <v>0</v>
      </c>
      <c r="AB949" s="66">
        <v>0</v>
      </c>
      <c r="AC949" s="66">
        <v>0</v>
      </c>
    </row>
    <row r="950" spans="1:29">
      <c r="A950" s="43" t="s">
        <v>745</v>
      </c>
      <c r="B950" s="43" t="s">
        <v>95</v>
      </c>
      <c r="C950" s="73">
        <v>0</v>
      </c>
      <c r="D950" s="73">
        <v>0</v>
      </c>
      <c r="E950" s="73">
        <v>9.0749999999999993</v>
      </c>
      <c r="F950" s="73">
        <v>12.43</v>
      </c>
      <c r="G950" s="73">
        <v>12.18</v>
      </c>
      <c r="H950" s="73">
        <v>16.637499999999999</v>
      </c>
      <c r="I950" s="73">
        <v>28.6</v>
      </c>
      <c r="J950" s="73">
        <v>29.81</v>
      </c>
      <c r="K950" s="73">
        <v>24.716999999999999</v>
      </c>
      <c r="L950" s="73">
        <v>31.851520000000001</v>
      </c>
      <c r="M950" s="73">
        <v>30.262999999999998</v>
      </c>
      <c r="N950" s="73">
        <v>36.248080000000002</v>
      </c>
      <c r="O950" s="73">
        <v>31.325029999999998</v>
      </c>
      <c r="P950" s="73">
        <v>40.439080000000004</v>
      </c>
      <c r="Q950" s="73">
        <v>44.283299999999997</v>
      </c>
      <c r="R950" s="50">
        <f>(624.84*0.055)+(23.5*0.11)+(1.1*0.065)</f>
        <v>37.0227</v>
      </c>
      <c r="S950" s="50">
        <f>(599.53*0.055)+(8.46*0.11)</f>
        <v>33.90475</v>
      </c>
      <c r="T950" s="66">
        <f>(577.25*0.055)+(8.46*0.11)</f>
        <v>32.679349999999999</v>
      </c>
      <c r="U950" s="66">
        <f>(566.85*0.055)+(8.46*0.11)</f>
        <v>32.107350000000004</v>
      </c>
      <c r="V950" s="66">
        <f>(610.43*0.055)+(8.46*0.11)</f>
        <v>34.504249999999999</v>
      </c>
      <c r="W950" s="66">
        <f>(629.75*0.055)+(8.46*0.11)</f>
        <v>35.566849999999995</v>
      </c>
      <c r="X950" s="66">
        <f>(463.56*0.055)+(0.5*0.02)</f>
        <v>25.505800000000001</v>
      </c>
      <c r="Y950" s="66">
        <f>(501.54*0.055)+(8.25*0.11)</f>
        <v>28.4922</v>
      </c>
      <c r="Z950" s="66">
        <f>(471.13*0.055)+(0.5*0.02)</f>
        <v>25.922150000000002</v>
      </c>
      <c r="AA950" s="66">
        <f>(443.95*0.055)+(8.46*0.11)+(0.5*0.02)</f>
        <v>25.357850000000003</v>
      </c>
      <c r="AB950" s="66">
        <f>(422.302*0.055)+(0.5*0.02)</f>
        <v>23.236610000000002</v>
      </c>
      <c r="AC950" s="66">
        <f>376.175*0.055</f>
        <v>20.689624999999999</v>
      </c>
    </row>
    <row r="951" spans="1:29">
      <c r="A951" s="43" t="s">
        <v>745</v>
      </c>
      <c r="B951" s="43" t="s">
        <v>825</v>
      </c>
      <c r="Q951" s="73">
        <v>0</v>
      </c>
      <c r="R951" s="50">
        <v>0</v>
      </c>
      <c r="S951" s="50">
        <v>0</v>
      </c>
      <c r="T951" s="66">
        <v>0</v>
      </c>
      <c r="U951" s="66">
        <v>0</v>
      </c>
      <c r="V951" s="66">
        <v>0</v>
      </c>
      <c r="W951" s="66">
        <v>0</v>
      </c>
      <c r="X951" s="66">
        <v>0</v>
      </c>
      <c r="Y951" s="66">
        <v>0</v>
      </c>
      <c r="Z951" s="66">
        <f>65*0.11</f>
        <v>7.15</v>
      </c>
      <c r="AA951" s="66">
        <f>94.35*0.11</f>
        <v>10.378499999999999</v>
      </c>
      <c r="AB951" s="66">
        <v>0</v>
      </c>
      <c r="AC951" s="66">
        <f>14.5*0.11</f>
        <v>1.595</v>
      </c>
    </row>
    <row r="952" spans="1:29">
      <c r="A952" s="43" t="s">
        <v>745</v>
      </c>
      <c r="B952" s="43" t="s">
        <v>574</v>
      </c>
      <c r="C952" s="72">
        <v>12</v>
      </c>
      <c r="D952" s="72">
        <v>4.8</v>
      </c>
      <c r="E952" s="72">
        <v>9</v>
      </c>
      <c r="F952" s="72">
        <v>7.2</v>
      </c>
      <c r="G952" s="72">
        <v>7.8</v>
      </c>
      <c r="H952" s="72">
        <v>10.8</v>
      </c>
      <c r="I952" s="72">
        <v>11.4</v>
      </c>
      <c r="J952" s="72">
        <v>10.8</v>
      </c>
      <c r="K952" s="72">
        <v>10.199999999999999</v>
      </c>
      <c r="L952" s="72">
        <v>10.199999999999999</v>
      </c>
      <c r="M952" s="72">
        <v>9.9</v>
      </c>
      <c r="N952" s="73">
        <v>5.28</v>
      </c>
      <c r="O952" s="73">
        <v>6.6</v>
      </c>
      <c r="P952" s="73">
        <v>0</v>
      </c>
      <c r="Q952" s="73">
        <f>11*0.6</f>
        <v>6.6</v>
      </c>
      <c r="R952" s="50">
        <f>11*0.6</f>
        <v>6.6</v>
      </c>
      <c r="S952" s="50">
        <v>0</v>
      </c>
      <c r="T952" s="66">
        <v>0</v>
      </c>
      <c r="U952" s="66">
        <v>0</v>
      </c>
      <c r="V952" s="66">
        <f>11*0.6</f>
        <v>6.6</v>
      </c>
      <c r="W952" s="66">
        <v>0</v>
      </c>
      <c r="X952" s="66">
        <v>0</v>
      </c>
      <c r="Y952" s="66">
        <v>0</v>
      </c>
      <c r="Z952" s="66">
        <v>0</v>
      </c>
      <c r="AA952" s="66">
        <v>0</v>
      </c>
      <c r="AB952" s="66">
        <v>0</v>
      </c>
      <c r="AC952" s="66">
        <v>0</v>
      </c>
    </row>
    <row r="953" spans="1:29">
      <c r="A953" s="43" t="s">
        <v>745</v>
      </c>
      <c r="B953" s="43" t="s">
        <v>535</v>
      </c>
      <c r="C953" s="72">
        <v>0</v>
      </c>
      <c r="D953" s="72">
        <v>0</v>
      </c>
      <c r="E953" s="72">
        <v>0.1</v>
      </c>
      <c r="F953" s="72">
        <v>0.1</v>
      </c>
      <c r="G953" s="72">
        <v>0.1</v>
      </c>
      <c r="H953" s="72">
        <v>0.05</v>
      </c>
      <c r="I953" s="72">
        <v>0</v>
      </c>
      <c r="J953" s="72">
        <v>0</v>
      </c>
      <c r="K953" s="72">
        <v>0</v>
      </c>
      <c r="L953" s="72">
        <v>0</v>
      </c>
      <c r="M953" s="72">
        <v>0</v>
      </c>
      <c r="N953" s="73">
        <v>0</v>
      </c>
      <c r="O953" s="73">
        <v>0</v>
      </c>
      <c r="P953" s="73">
        <v>0</v>
      </c>
      <c r="Q953" s="73">
        <v>0</v>
      </c>
      <c r="R953" s="50">
        <v>0</v>
      </c>
      <c r="S953" s="50">
        <v>0</v>
      </c>
      <c r="T953" s="66">
        <v>0</v>
      </c>
      <c r="U953" s="66">
        <v>0</v>
      </c>
      <c r="V953" s="66">
        <v>0</v>
      </c>
      <c r="W953" s="66">
        <v>0</v>
      </c>
      <c r="X953" s="66">
        <v>0</v>
      </c>
      <c r="Y953" s="66">
        <v>0</v>
      </c>
      <c r="Z953" s="66">
        <v>0</v>
      </c>
      <c r="AA953" s="66">
        <v>0</v>
      </c>
      <c r="AB953" s="66">
        <v>0</v>
      </c>
      <c r="AC953" s="66">
        <v>0</v>
      </c>
    </row>
    <row r="954" spans="1:29">
      <c r="A954" s="43" t="s">
        <v>565</v>
      </c>
      <c r="B954" s="43" t="s">
        <v>825</v>
      </c>
      <c r="Q954" s="73">
        <v>0</v>
      </c>
      <c r="R954" s="50">
        <v>0</v>
      </c>
      <c r="S954" s="50">
        <v>0</v>
      </c>
      <c r="T954" s="66">
        <v>0</v>
      </c>
      <c r="U954" s="66">
        <v>0</v>
      </c>
      <c r="V954" s="66">
        <v>0</v>
      </c>
      <c r="W954" s="66">
        <v>0</v>
      </c>
      <c r="X954" s="66">
        <v>0</v>
      </c>
      <c r="Y954" s="66">
        <v>0</v>
      </c>
      <c r="Z954" s="66">
        <v>0</v>
      </c>
      <c r="AA954" s="66">
        <v>0</v>
      </c>
      <c r="AB954" s="66">
        <v>0</v>
      </c>
      <c r="AC954" s="66">
        <v>0</v>
      </c>
    </row>
    <row r="955" spans="1:29">
      <c r="A955" s="74" t="s">
        <v>1091</v>
      </c>
      <c r="B955" s="43" t="s">
        <v>752</v>
      </c>
      <c r="C955" s="72">
        <v>3788.8</v>
      </c>
      <c r="D955" s="72">
        <v>3760.2</v>
      </c>
      <c r="E955" s="72">
        <v>3871.6</v>
      </c>
      <c r="F955" s="72">
        <v>4018.2</v>
      </c>
      <c r="G955" s="72">
        <v>1791.2</v>
      </c>
      <c r="H955" s="72">
        <v>819.8</v>
      </c>
      <c r="I955" s="72">
        <v>732.8</v>
      </c>
      <c r="J955" s="72">
        <v>698.8</v>
      </c>
      <c r="K955" s="72">
        <v>441</v>
      </c>
      <c r="L955" s="72">
        <v>257.63400000000001</v>
      </c>
      <c r="M955" s="72">
        <v>132.80000000000001</v>
      </c>
      <c r="N955" s="73">
        <v>0.26719999999999999</v>
      </c>
      <c r="O955" s="73">
        <v>0</v>
      </c>
      <c r="P955" s="73">
        <v>-7.3999999999999996E-2</v>
      </c>
      <c r="Q955" s="73">
        <v>0</v>
      </c>
      <c r="R955" s="50">
        <v>0</v>
      </c>
      <c r="S955" s="50">
        <v>0</v>
      </c>
      <c r="T955" s="66">
        <v>0</v>
      </c>
      <c r="U955" s="66" t="s">
        <v>685</v>
      </c>
      <c r="V955" s="66" t="s">
        <v>685</v>
      </c>
      <c r="W955" s="66" t="s">
        <v>685</v>
      </c>
      <c r="X955" s="66" t="s">
        <v>685</v>
      </c>
      <c r="Y955" s="66" t="s">
        <v>685</v>
      </c>
      <c r="Z955" s="66" t="s">
        <v>685</v>
      </c>
      <c r="AA955" s="66">
        <v>0</v>
      </c>
      <c r="AB955" s="66">
        <v>0</v>
      </c>
      <c r="AC955" s="66">
        <v>0</v>
      </c>
    </row>
    <row r="956" spans="1:29">
      <c r="A956" s="74" t="s">
        <v>1091</v>
      </c>
      <c r="B956" s="43" t="s">
        <v>663</v>
      </c>
      <c r="C956" s="72">
        <v>134.19999999999999</v>
      </c>
      <c r="D956" s="72">
        <v>198</v>
      </c>
      <c r="E956" s="72">
        <v>70.400000000000006</v>
      </c>
      <c r="F956" s="72">
        <v>168.3</v>
      </c>
      <c r="G956" s="72">
        <v>90.2</v>
      </c>
      <c r="I956" s="72">
        <v>16.5</v>
      </c>
      <c r="J956" s="72">
        <v>13.2</v>
      </c>
      <c r="K956" s="72">
        <v>13.2</v>
      </c>
      <c r="L956" s="72">
        <v>11</v>
      </c>
      <c r="M956" s="72">
        <v>2.2000000000000002</v>
      </c>
      <c r="N956" s="73">
        <v>0.93830000000000002</v>
      </c>
      <c r="O956" s="73">
        <v>0</v>
      </c>
      <c r="P956" s="73">
        <v>0</v>
      </c>
      <c r="Q956" s="73">
        <v>0</v>
      </c>
      <c r="R956" s="50">
        <v>0</v>
      </c>
      <c r="S956" s="50">
        <v>0</v>
      </c>
      <c r="T956" s="66">
        <v>0</v>
      </c>
      <c r="U956" s="66" t="s">
        <v>685</v>
      </c>
      <c r="V956" s="66" t="s">
        <v>685</v>
      </c>
      <c r="W956" s="66" t="s">
        <v>685</v>
      </c>
      <c r="X956" s="66" t="s">
        <v>685</v>
      </c>
      <c r="Y956" s="66" t="s">
        <v>685</v>
      </c>
      <c r="Z956" s="66" t="s">
        <v>685</v>
      </c>
      <c r="AA956" s="66">
        <v>0</v>
      </c>
      <c r="AB956" s="66">
        <v>0</v>
      </c>
      <c r="AC956" s="66">
        <v>0</v>
      </c>
    </row>
    <row r="957" spans="1:29">
      <c r="A957" s="74" t="s">
        <v>1091</v>
      </c>
      <c r="B957" s="43" t="s">
        <v>243</v>
      </c>
      <c r="C957" s="72">
        <v>88</v>
      </c>
      <c r="D957" s="72">
        <v>226</v>
      </c>
      <c r="E957" s="72">
        <v>109</v>
      </c>
      <c r="F957" s="72">
        <v>203</v>
      </c>
      <c r="G957" s="72">
        <v>0</v>
      </c>
      <c r="H957" s="72">
        <v>10</v>
      </c>
      <c r="I957" s="72">
        <v>147</v>
      </c>
      <c r="J957" s="72">
        <v>13</v>
      </c>
      <c r="K957" s="72">
        <v>40</v>
      </c>
      <c r="L957" s="72">
        <v>22</v>
      </c>
      <c r="M957" s="72">
        <v>30</v>
      </c>
      <c r="N957" s="73">
        <v>30</v>
      </c>
      <c r="O957" s="73">
        <v>14.34</v>
      </c>
      <c r="P957" s="73">
        <v>0</v>
      </c>
      <c r="Q957" s="73">
        <v>0</v>
      </c>
      <c r="R957" s="50">
        <v>0</v>
      </c>
      <c r="S957" s="50">
        <v>0</v>
      </c>
      <c r="T957" s="66">
        <v>0</v>
      </c>
      <c r="U957" s="66" t="s">
        <v>685</v>
      </c>
      <c r="V957" s="66" t="s">
        <v>685</v>
      </c>
      <c r="W957" s="66" t="s">
        <v>685</v>
      </c>
      <c r="X957" s="66" t="s">
        <v>685</v>
      </c>
      <c r="Y957" s="66" t="s">
        <v>685</v>
      </c>
      <c r="Z957" s="66" t="s">
        <v>685</v>
      </c>
      <c r="AA957" s="66">
        <v>0</v>
      </c>
      <c r="AB957" s="66">
        <v>0</v>
      </c>
      <c r="AC957" s="66">
        <v>0</v>
      </c>
    </row>
    <row r="958" spans="1:29">
      <c r="A958" s="74" t="s">
        <v>1091</v>
      </c>
      <c r="B958" s="43" t="s">
        <v>95</v>
      </c>
      <c r="C958" s="73">
        <v>61.134999999999998</v>
      </c>
      <c r="D958" s="73">
        <v>58.805</v>
      </c>
      <c r="E958" s="73">
        <v>92.99</v>
      </c>
      <c r="F958" s="73">
        <v>140.215</v>
      </c>
      <c r="G958" s="73">
        <v>171.17</v>
      </c>
      <c r="H958" s="73">
        <v>339.72</v>
      </c>
      <c r="I958" s="73">
        <v>205.36</v>
      </c>
      <c r="J958" s="73">
        <v>275.14499999999998</v>
      </c>
      <c r="K958" s="73">
        <v>357.65</v>
      </c>
      <c r="L958" s="73">
        <v>493.71305000000001</v>
      </c>
      <c r="M958" s="73">
        <v>574.88499999999999</v>
      </c>
      <c r="N958" s="73">
        <v>851.17765000000009</v>
      </c>
      <c r="O958" s="73">
        <v>922.93984</v>
      </c>
      <c r="P958" s="73">
        <v>744.35277000000008</v>
      </c>
      <c r="Q958" s="73">
        <f>((5316.03-73.24)*0.055)+(1792.08*0.11)+(1791.38*0.065)+(1.23*0.02)</f>
        <v>601.94655</v>
      </c>
      <c r="R958" s="50">
        <f>((4230.9-33.96)*0.055)+(1719.51*0.11)+(1123.43*0.065)+(0.88*0.02)+(0.31*0.022)</f>
        <v>493.02517000000006</v>
      </c>
      <c r="S958" s="50">
        <f>((3786.74-53.66)*0.055)+(1962*0.11)+(100.8*0.065)+(1.1*0.02)</f>
        <v>427.71340000000004</v>
      </c>
      <c r="T958" s="66">
        <f>((2995-6.17)*0.055)+(1.4*0.11)+(6.4*0.02)</f>
        <v>164.66764999999998</v>
      </c>
      <c r="U958" s="66">
        <f>(2673-0.741)*0.055</f>
        <v>146.974245</v>
      </c>
      <c r="V958" s="66">
        <f>2261*0.055</f>
        <v>124.355</v>
      </c>
      <c r="W958" s="66">
        <f>(603.136-0.317)*0.055</f>
        <v>33.155045000000001</v>
      </c>
      <c r="X958" s="66">
        <f>(500-0.301)*0.055</f>
        <v>27.483445</v>
      </c>
      <c r="Y958" s="66">
        <f>333.242*0.055</f>
        <v>18.328310000000002</v>
      </c>
      <c r="Z958" s="66">
        <f>192.092*0.055</f>
        <v>10.565060000000001</v>
      </c>
      <c r="AA958" s="66">
        <f>155.227*0.055</f>
        <v>8.5374850000000002</v>
      </c>
      <c r="AB958" s="66">
        <f>(33.645-0.503)*0.055</f>
        <v>1.8228100000000003</v>
      </c>
      <c r="AC958" s="66">
        <f>63.955*0.055</f>
        <v>3.517525</v>
      </c>
    </row>
    <row r="959" spans="1:29">
      <c r="A959" s="74" t="s">
        <v>1091</v>
      </c>
      <c r="B959" s="43" t="s">
        <v>574</v>
      </c>
      <c r="C959" s="72">
        <v>421.2</v>
      </c>
      <c r="D959" s="72">
        <v>578.4</v>
      </c>
      <c r="E959" s="72">
        <v>504</v>
      </c>
      <c r="F959" s="72">
        <v>791.4</v>
      </c>
      <c r="G959" s="72">
        <v>361.8</v>
      </c>
      <c r="I959" s="72">
        <v>231</v>
      </c>
      <c r="J959" s="72">
        <v>286.8</v>
      </c>
      <c r="K959" s="72">
        <v>185.4</v>
      </c>
      <c r="L959" s="72">
        <v>90.6</v>
      </c>
      <c r="M959" s="72">
        <v>78.599999999999994</v>
      </c>
      <c r="N959" s="73">
        <v>20.399999999999999</v>
      </c>
      <c r="O959" s="73">
        <v>0</v>
      </c>
      <c r="P959" s="73">
        <v>0</v>
      </c>
      <c r="Q959" s="73">
        <v>0</v>
      </c>
      <c r="R959" s="50">
        <v>0</v>
      </c>
      <c r="S959" s="50">
        <v>0</v>
      </c>
      <c r="T959" s="66">
        <v>0</v>
      </c>
      <c r="U959" s="66">
        <v>0</v>
      </c>
      <c r="V959" s="66">
        <v>0</v>
      </c>
      <c r="W959" s="66">
        <v>0</v>
      </c>
      <c r="X959" s="66">
        <v>0</v>
      </c>
      <c r="Y959" s="66">
        <v>0</v>
      </c>
      <c r="Z959" s="66">
        <v>0</v>
      </c>
      <c r="AA959" s="66">
        <v>0</v>
      </c>
      <c r="AB959" s="66">
        <v>0</v>
      </c>
      <c r="AC959" s="66">
        <v>0</v>
      </c>
    </row>
    <row r="960" spans="1:29">
      <c r="A960" s="74" t="s">
        <v>1091</v>
      </c>
      <c r="B960" s="43" t="s">
        <v>535</v>
      </c>
      <c r="C960" s="72">
        <v>113.6</v>
      </c>
      <c r="D960" s="72">
        <v>172.2</v>
      </c>
      <c r="E960" s="72">
        <v>22.4</v>
      </c>
      <c r="F960" s="72">
        <v>52.7</v>
      </c>
      <c r="G960" s="72">
        <v>44</v>
      </c>
      <c r="I960" s="72">
        <v>11.4</v>
      </c>
      <c r="J960" s="72">
        <v>10.8</v>
      </c>
      <c r="K960" s="72">
        <v>10.8</v>
      </c>
      <c r="L960" s="72">
        <v>3</v>
      </c>
      <c r="M960" s="72">
        <v>5.9</v>
      </c>
      <c r="N960" s="73">
        <v>0</v>
      </c>
      <c r="O960" s="73">
        <v>0</v>
      </c>
      <c r="P960" s="73">
        <v>0</v>
      </c>
      <c r="Q960" s="73">
        <v>0</v>
      </c>
      <c r="R960" s="50">
        <v>0</v>
      </c>
      <c r="S960" s="50">
        <v>0</v>
      </c>
      <c r="T960" s="66">
        <v>0</v>
      </c>
      <c r="U960" s="66">
        <v>0</v>
      </c>
      <c r="V960" s="66">
        <v>0</v>
      </c>
      <c r="W960" s="66">
        <v>0</v>
      </c>
      <c r="X960" s="66">
        <v>0</v>
      </c>
      <c r="Y960" s="66">
        <v>0</v>
      </c>
      <c r="Z960" s="66">
        <v>0</v>
      </c>
      <c r="AA960" s="66">
        <v>0</v>
      </c>
      <c r="AB960" s="66">
        <v>0</v>
      </c>
      <c r="AC960" s="66">
        <v>0</v>
      </c>
    </row>
    <row r="961" spans="1:29">
      <c r="A961" s="43" t="s">
        <v>202</v>
      </c>
      <c r="B961" s="43" t="s">
        <v>752</v>
      </c>
      <c r="N961" s="73">
        <v>16.791</v>
      </c>
      <c r="O961" s="73">
        <v>5.5759999999999996</v>
      </c>
      <c r="P961" s="73">
        <v>1.2</v>
      </c>
      <c r="Q961" s="73">
        <v>3.33</v>
      </c>
      <c r="R961" s="50">
        <f>554.8*0.6</f>
        <v>332.87999999999994</v>
      </c>
      <c r="S961" s="50">
        <v>0</v>
      </c>
      <c r="T961" s="66" t="s">
        <v>685</v>
      </c>
      <c r="U961" s="66">
        <v>0</v>
      </c>
      <c r="V961" s="66" t="s">
        <v>685</v>
      </c>
      <c r="W961" s="66" t="s">
        <v>685</v>
      </c>
      <c r="X961" s="66" t="s">
        <v>685</v>
      </c>
      <c r="Y961" s="66" t="s">
        <v>685</v>
      </c>
      <c r="Z961" s="66" t="s">
        <v>685</v>
      </c>
      <c r="AA961" s="66">
        <v>0</v>
      </c>
      <c r="AB961" s="66">
        <v>0</v>
      </c>
      <c r="AC961" s="66">
        <v>0</v>
      </c>
    </row>
    <row r="962" spans="1:29">
      <c r="A962" s="43" t="s">
        <v>202</v>
      </c>
      <c r="B962" s="43" t="s">
        <v>663</v>
      </c>
      <c r="N962" s="73">
        <v>0</v>
      </c>
      <c r="O962" s="73">
        <v>0</v>
      </c>
      <c r="P962" s="73">
        <v>0.29480000000000001</v>
      </c>
      <c r="Q962" s="73">
        <v>2.1999999999999999E-2</v>
      </c>
      <c r="R962" s="50">
        <v>0</v>
      </c>
      <c r="S962" s="50">
        <v>0</v>
      </c>
      <c r="T962" s="66" t="s">
        <v>685</v>
      </c>
      <c r="U962" s="66">
        <v>0</v>
      </c>
      <c r="V962" s="66" t="s">
        <v>685</v>
      </c>
      <c r="W962" s="66" t="s">
        <v>685</v>
      </c>
      <c r="X962" s="66" t="s">
        <v>685</v>
      </c>
      <c r="Y962" s="66" t="s">
        <v>685</v>
      </c>
      <c r="Z962" s="66" t="s">
        <v>685</v>
      </c>
      <c r="AA962" s="66">
        <v>0</v>
      </c>
      <c r="AB962" s="66">
        <v>0</v>
      </c>
      <c r="AC962" s="66">
        <v>0</v>
      </c>
    </row>
    <row r="963" spans="1:29">
      <c r="A963" s="43" t="s">
        <v>202</v>
      </c>
      <c r="B963" s="43" t="s">
        <v>243</v>
      </c>
      <c r="N963" s="73">
        <v>0</v>
      </c>
      <c r="O963" s="73">
        <v>0</v>
      </c>
      <c r="P963" s="73">
        <v>0</v>
      </c>
      <c r="Q963" s="73">
        <v>0</v>
      </c>
      <c r="R963" s="50">
        <v>0</v>
      </c>
      <c r="S963" s="50">
        <v>0</v>
      </c>
      <c r="T963" s="66" t="s">
        <v>685</v>
      </c>
      <c r="U963" s="66">
        <v>0</v>
      </c>
      <c r="V963" s="66" t="s">
        <v>685</v>
      </c>
      <c r="W963" s="66" t="s">
        <v>685</v>
      </c>
      <c r="X963" s="66" t="s">
        <v>685</v>
      </c>
      <c r="Y963" s="66" t="s">
        <v>685</v>
      </c>
      <c r="Z963" s="66" t="s">
        <v>685</v>
      </c>
      <c r="AA963" s="66">
        <v>0</v>
      </c>
      <c r="AB963" s="66">
        <v>0</v>
      </c>
      <c r="AC963" s="66">
        <v>0</v>
      </c>
    </row>
    <row r="964" spans="1:29">
      <c r="A964" s="43" t="s">
        <v>202</v>
      </c>
      <c r="B964" s="43" t="s">
        <v>95</v>
      </c>
      <c r="N964" s="73">
        <v>5.5762299999999998</v>
      </c>
      <c r="O964" s="73">
        <v>2.6755849999999999</v>
      </c>
      <c r="P964" s="73">
        <v>8.6288400000000003</v>
      </c>
      <c r="Q964" s="73">
        <v>6.9266999999999994</v>
      </c>
      <c r="R964" s="50">
        <f>122.826*0.055</f>
        <v>6.7554299999999996</v>
      </c>
      <c r="S964" s="50">
        <f>105.99*0.055</f>
        <v>5.8294499999999996</v>
      </c>
      <c r="T964" s="66">
        <f>141*0.055</f>
        <v>7.7549999999999999</v>
      </c>
      <c r="U964" s="66">
        <f>75.59*0.055</f>
        <v>4.1574499999999999</v>
      </c>
      <c r="V964" s="66">
        <f>2.7*0.055</f>
        <v>0.14850000000000002</v>
      </c>
      <c r="W964" s="66">
        <f>76.9*0.055</f>
        <v>4.2295000000000007</v>
      </c>
      <c r="X964" s="66">
        <f>93.26*0.055</f>
        <v>5.1293000000000006</v>
      </c>
      <c r="Y964" s="66">
        <f>46.81*0.055</f>
        <v>2.5745500000000003</v>
      </c>
      <c r="Z964" s="66">
        <f>104.856*0.055</f>
        <v>5.76708</v>
      </c>
      <c r="AA964" s="66">
        <f>79.34*0.055</f>
        <v>4.3637000000000006</v>
      </c>
      <c r="AB964" s="66">
        <f>68.54*0.055</f>
        <v>3.7697000000000003</v>
      </c>
      <c r="AC964" s="66">
        <f>79.36*0.055</f>
        <v>4.3647999999999998</v>
      </c>
    </row>
    <row r="965" spans="1:29">
      <c r="A965" s="43" t="s">
        <v>202</v>
      </c>
      <c r="B965" s="43" t="s">
        <v>825</v>
      </c>
      <c r="Q965" s="73">
        <v>0</v>
      </c>
      <c r="R965" s="50">
        <v>0</v>
      </c>
      <c r="S965" s="50">
        <v>0</v>
      </c>
      <c r="T965" s="66">
        <v>0</v>
      </c>
      <c r="U965" s="66">
        <v>0</v>
      </c>
      <c r="V965" s="66">
        <v>0</v>
      </c>
      <c r="W965" s="66">
        <v>0</v>
      </c>
      <c r="X965" s="66">
        <v>0</v>
      </c>
      <c r="Y965" s="66">
        <v>0</v>
      </c>
      <c r="Z965" s="66">
        <v>0</v>
      </c>
      <c r="AA965" s="66">
        <v>0</v>
      </c>
      <c r="AB965" s="66">
        <v>0</v>
      </c>
      <c r="AC965" s="66">
        <v>0</v>
      </c>
    </row>
    <row r="966" spans="1:29">
      <c r="A966" s="43" t="s">
        <v>202</v>
      </c>
      <c r="B966" s="43" t="s">
        <v>574</v>
      </c>
      <c r="N966" s="73">
        <v>0</v>
      </c>
      <c r="O966" s="73">
        <v>0</v>
      </c>
      <c r="P966" s="73">
        <v>9</v>
      </c>
      <c r="Q966" s="73">
        <v>2.8559999999999999</v>
      </c>
      <c r="R966" s="50">
        <f>3.7*0.6</f>
        <v>2.2200000000000002</v>
      </c>
      <c r="S966" s="50">
        <v>0</v>
      </c>
      <c r="T966" s="66">
        <v>0</v>
      </c>
      <c r="U966" s="66">
        <v>0</v>
      </c>
      <c r="V966" s="66">
        <v>0</v>
      </c>
      <c r="W966" s="66">
        <v>0</v>
      </c>
      <c r="X966" s="66">
        <v>0</v>
      </c>
      <c r="Y966" s="66">
        <v>0</v>
      </c>
      <c r="Z966" s="66">
        <v>0</v>
      </c>
      <c r="AA966" s="66">
        <v>0</v>
      </c>
      <c r="AB966" s="66">
        <v>0</v>
      </c>
      <c r="AC966" s="66">
        <v>0</v>
      </c>
    </row>
    <row r="967" spans="1:29">
      <c r="A967" s="43" t="s">
        <v>202</v>
      </c>
      <c r="B967" s="43" t="s">
        <v>535</v>
      </c>
      <c r="N967" s="73">
        <v>0</v>
      </c>
      <c r="O967" s="73">
        <v>0</v>
      </c>
      <c r="P967" s="73">
        <v>0</v>
      </c>
      <c r="Q967" s="73">
        <v>0</v>
      </c>
      <c r="R967" s="50">
        <v>0</v>
      </c>
      <c r="S967" s="50">
        <v>0</v>
      </c>
      <c r="T967" s="66">
        <v>0</v>
      </c>
      <c r="U967" s="66">
        <v>0</v>
      </c>
      <c r="V967" s="66">
        <v>0</v>
      </c>
      <c r="W967" s="66">
        <v>0</v>
      </c>
      <c r="X967" s="66">
        <v>0</v>
      </c>
      <c r="Y967" s="66">
        <v>0</v>
      </c>
      <c r="Z967" s="66">
        <v>0</v>
      </c>
      <c r="AA967" s="66">
        <v>0</v>
      </c>
      <c r="AB967" s="66">
        <v>0</v>
      </c>
      <c r="AC967" s="66">
        <v>0</v>
      </c>
    </row>
    <row r="968" spans="1:29">
      <c r="A968" s="43" t="s">
        <v>566</v>
      </c>
      <c r="B968" s="43" t="s">
        <v>752</v>
      </c>
      <c r="M968" s="72">
        <v>0</v>
      </c>
      <c r="N968" s="73">
        <v>4.2000000000000003E-2</v>
      </c>
      <c r="O968" s="73">
        <v>0</v>
      </c>
      <c r="P968" s="73">
        <v>0</v>
      </c>
      <c r="Q968" s="73">
        <v>0</v>
      </c>
      <c r="R968" s="50">
        <v>0</v>
      </c>
      <c r="S968" s="50">
        <v>0</v>
      </c>
      <c r="T968" s="66" t="s">
        <v>685</v>
      </c>
      <c r="U968" s="66" t="s">
        <v>685</v>
      </c>
      <c r="V968" s="66" t="s">
        <v>685</v>
      </c>
      <c r="W968" s="66" t="s">
        <v>685</v>
      </c>
      <c r="X968" s="66" t="s">
        <v>685</v>
      </c>
      <c r="Y968" s="66" t="s">
        <v>685</v>
      </c>
      <c r="Z968" s="66" t="s">
        <v>685</v>
      </c>
      <c r="AA968" s="66">
        <v>0</v>
      </c>
      <c r="AB968" s="66">
        <v>0</v>
      </c>
      <c r="AC968" s="66">
        <v>0</v>
      </c>
    </row>
    <row r="969" spans="1:29">
      <c r="A969" s="43" t="s">
        <v>566</v>
      </c>
      <c r="B969" s="43" t="s">
        <v>663</v>
      </c>
      <c r="M969" s="72">
        <v>0</v>
      </c>
      <c r="N969" s="73">
        <v>0</v>
      </c>
      <c r="O969" s="73">
        <v>0</v>
      </c>
      <c r="P969" s="73">
        <v>0</v>
      </c>
      <c r="Q969" s="73">
        <v>0</v>
      </c>
      <c r="R969" s="50">
        <v>0</v>
      </c>
      <c r="S969" s="50">
        <v>0</v>
      </c>
      <c r="T969" s="66" t="s">
        <v>685</v>
      </c>
      <c r="U969" s="66" t="s">
        <v>685</v>
      </c>
      <c r="V969" s="66" t="s">
        <v>685</v>
      </c>
      <c r="W969" s="66" t="s">
        <v>685</v>
      </c>
      <c r="X969" s="66" t="s">
        <v>685</v>
      </c>
      <c r="Y969" s="66" t="s">
        <v>685</v>
      </c>
      <c r="Z969" s="66" t="s">
        <v>685</v>
      </c>
      <c r="AA969" s="66">
        <v>0</v>
      </c>
      <c r="AB969" s="66">
        <v>0</v>
      </c>
      <c r="AC969" s="66">
        <v>0</v>
      </c>
    </row>
    <row r="970" spans="1:29">
      <c r="A970" s="43" t="s">
        <v>566</v>
      </c>
      <c r="B970" s="43" t="s">
        <v>243</v>
      </c>
      <c r="M970" s="72">
        <v>0</v>
      </c>
      <c r="N970" s="73">
        <v>0</v>
      </c>
      <c r="O970" s="73">
        <v>0</v>
      </c>
      <c r="P970" s="73">
        <v>0</v>
      </c>
      <c r="Q970" s="73">
        <v>0</v>
      </c>
      <c r="R970" s="50">
        <v>0</v>
      </c>
      <c r="S970" s="50">
        <v>0</v>
      </c>
      <c r="T970" s="66" t="s">
        <v>685</v>
      </c>
      <c r="U970" s="66" t="s">
        <v>685</v>
      </c>
      <c r="V970" s="66" t="s">
        <v>685</v>
      </c>
      <c r="W970" s="66" t="s">
        <v>685</v>
      </c>
      <c r="X970" s="66" t="s">
        <v>685</v>
      </c>
      <c r="Y970" s="66" t="s">
        <v>685</v>
      </c>
      <c r="Z970" s="66" t="s">
        <v>685</v>
      </c>
      <c r="AA970" s="66">
        <v>0</v>
      </c>
      <c r="AB970" s="66">
        <v>0</v>
      </c>
      <c r="AC970" s="66">
        <v>0</v>
      </c>
    </row>
    <row r="971" spans="1:29">
      <c r="A971" s="43" t="s">
        <v>566</v>
      </c>
      <c r="B971" s="43" t="s">
        <v>95</v>
      </c>
      <c r="M971" s="73">
        <v>1.2540000000000001E-2</v>
      </c>
      <c r="N971" s="73">
        <v>2.9700000000000001E-2</v>
      </c>
      <c r="O971" s="73">
        <v>3.465E-2</v>
      </c>
      <c r="P971" s="73">
        <v>1.8149999999999999E-2</v>
      </c>
      <c r="Q971" s="73">
        <v>8.9399999999999993E-2</v>
      </c>
      <c r="R971" s="50">
        <f>(1.62*0.055)+(0.03*0.065)</f>
        <v>9.1050000000000006E-2</v>
      </c>
      <c r="S971" s="50">
        <f>(0.19*0.055)+(0.01*0.065)</f>
        <v>1.11E-2</v>
      </c>
      <c r="T971" s="66">
        <f>0.37*0.055</f>
        <v>2.035E-2</v>
      </c>
      <c r="U971" s="66">
        <f>0.0136*0.055</f>
        <v>7.4799999999999997E-4</v>
      </c>
      <c r="V971" s="66">
        <f>0.0454*0.055</f>
        <v>2.4970000000000001E-3</v>
      </c>
      <c r="W971" s="76">
        <f>0.2951*0.055</f>
        <v>1.6230499999999998E-2</v>
      </c>
      <c r="X971" s="76">
        <f>0.1179*0.055</f>
        <v>6.4845000000000007E-3</v>
      </c>
      <c r="Y971" s="76">
        <f>0.204*0.055</f>
        <v>1.1219999999999999E-2</v>
      </c>
      <c r="Z971" s="76">
        <f>0.0272*0.055</f>
        <v>1.4959999999999999E-3</v>
      </c>
      <c r="AA971" s="76">
        <v>0</v>
      </c>
      <c r="AB971" s="76">
        <f>0.03*0.055</f>
        <v>1.65E-3</v>
      </c>
      <c r="AC971" s="66">
        <v>0</v>
      </c>
    </row>
    <row r="972" spans="1:29">
      <c r="A972" s="43" t="s">
        <v>566</v>
      </c>
      <c r="B972" s="43" t="s">
        <v>825</v>
      </c>
      <c r="Q972" s="73">
        <v>0</v>
      </c>
      <c r="R972" s="50">
        <v>0</v>
      </c>
      <c r="S972" s="50">
        <v>0</v>
      </c>
      <c r="T972" s="66">
        <v>0</v>
      </c>
      <c r="U972" s="66">
        <v>0</v>
      </c>
      <c r="V972" s="66">
        <v>0</v>
      </c>
      <c r="W972" s="66">
        <v>0</v>
      </c>
      <c r="X972" s="66">
        <v>0</v>
      </c>
      <c r="Y972" s="66">
        <v>0</v>
      </c>
      <c r="Z972" s="66">
        <v>0</v>
      </c>
      <c r="AA972" s="66">
        <v>0</v>
      </c>
      <c r="AB972" s="66">
        <v>0</v>
      </c>
      <c r="AC972" s="66">
        <v>0</v>
      </c>
    </row>
    <row r="973" spans="1:29">
      <c r="A973" s="43" t="s">
        <v>566</v>
      </c>
      <c r="B973" s="43" t="s">
        <v>574</v>
      </c>
      <c r="M973" s="72">
        <v>0</v>
      </c>
      <c r="N973" s="73">
        <v>0</v>
      </c>
      <c r="O973" s="73">
        <v>0</v>
      </c>
      <c r="P973" s="73">
        <v>0</v>
      </c>
      <c r="Q973" s="73">
        <v>0</v>
      </c>
      <c r="R973" s="50">
        <v>0</v>
      </c>
      <c r="S973" s="50">
        <v>0</v>
      </c>
      <c r="T973" s="66">
        <v>0</v>
      </c>
      <c r="U973" s="66">
        <v>0</v>
      </c>
      <c r="V973" s="66">
        <v>0</v>
      </c>
      <c r="W973" s="66">
        <v>0</v>
      </c>
      <c r="X973" s="66">
        <v>0</v>
      </c>
      <c r="Y973" s="66">
        <v>0</v>
      </c>
      <c r="Z973" s="66">
        <v>0</v>
      </c>
      <c r="AA973" s="66">
        <v>0</v>
      </c>
      <c r="AB973" s="66">
        <v>0</v>
      </c>
      <c r="AC973" s="66">
        <v>0</v>
      </c>
    </row>
    <row r="974" spans="1:29">
      <c r="A974" s="43" t="s">
        <v>566</v>
      </c>
      <c r="B974" s="43" t="s">
        <v>535</v>
      </c>
      <c r="M974" s="72">
        <v>0</v>
      </c>
      <c r="N974" s="73">
        <v>0</v>
      </c>
      <c r="O974" s="73">
        <v>0</v>
      </c>
      <c r="P974" s="73">
        <v>0</v>
      </c>
      <c r="Q974" s="73">
        <v>0</v>
      </c>
      <c r="R974" s="50">
        <v>0</v>
      </c>
      <c r="S974" s="50">
        <v>0</v>
      </c>
      <c r="T974" s="66">
        <v>0</v>
      </c>
      <c r="U974" s="66">
        <v>0</v>
      </c>
      <c r="V974" s="66">
        <v>0</v>
      </c>
      <c r="W974" s="66">
        <v>0</v>
      </c>
      <c r="X974" s="66">
        <v>0</v>
      </c>
      <c r="Y974" s="66">
        <v>0</v>
      </c>
      <c r="Z974" s="66">
        <v>0</v>
      </c>
      <c r="AA974" s="66">
        <v>0</v>
      </c>
      <c r="AB974" s="66">
        <v>0</v>
      </c>
      <c r="AC974" s="66">
        <v>0</v>
      </c>
    </row>
    <row r="975" spans="1:29">
      <c r="A975" s="43" t="s">
        <v>567</v>
      </c>
      <c r="B975" s="43" t="s">
        <v>752</v>
      </c>
      <c r="C975" s="72">
        <v>11.78</v>
      </c>
      <c r="D975" s="72">
        <v>12.83</v>
      </c>
      <c r="E975" s="72">
        <v>10.62</v>
      </c>
      <c r="F975" s="72">
        <v>11.35</v>
      </c>
      <c r="G975" s="72">
        <v>12.15</v>
      </c>
      <c r="H975" s="72">
        <v>12.74</v>
      </c>
      <c r="I975" s="72">
        <v>13.4</v>
      </c>
      <c r="J975" s="72">
        <v>12.69</v>
      </c>
      <c r="K975" s="72">
        <v>4.04</v>
      </c>
      <c r="L975" s="72">
        <v>0.155</v>
      </c>
      <c r="M975" s="72">
        <v>0.23</v>
      </c>
      <c r="N975" s="50">
        <v>0.02</v>
      </c>
      <c r="O975" s="73">
        <v>0</v>
      </c>
      <c r="P975" s="73">
        <v>0</v>
      </c>
      <c r="Q975" s="73">
        <v>0</v>
      </c>
      <c r="R975" s="50">
        <v>0</v>
      </c>
      <c r="S975" s="50">
        <v>0</v>
      </c>
      <c r="T975" s="66" t="s">
        <v>685</v>
      </c>
      <c r="U975" s="66" t="s">
        <v>685</v>
      </c>
      <c r="V975" s="66" t="s">
        <v>685</v>
      </c>
      <c r="W975" s="66" t="s">
        <v>685</v>
      </c>
      <c r="X975" s="66" t="s">
        <v>685</v>
      </c>
      <c r="Y975" s="66" t="s">
        <v>685</v>
      </c>
      <c r="Z975" s="66" t="s">
        <v>685</v>
      </c>
      <c r="AA975" s="66">
        <v>0</v>
      </c>
      <c r="AB975" s="66">
        <v>0</v>
      </c>
      <c r="AC975" s="66">
        <v>0</v>
      </c>
    </row>
    <row r="976" spans="1:29">
      <c r="A976" s="43" t="s">
        <v>567</v>
      </c>
      <c r="B976" s="43" t="s">
        <v>663</v>
      </c>
      <c r="C976" s="72">
        <v>1.6500000000000001E-2</v>
      </c>
      <c r="D976" s="72">
        <v>3.4099999999999998E-2</v>
      </c>
      <c r="E976" s="72">
        <v>0.374</v>
      </c>
      <c r="F976" s="72">
        <v>0.39600000000000002</v>
      </c>
      <c r="G976" s="72">
        <v>0.42899999999999999</v>
      </c>
      <c r="H976" s="72">
        <v>0.42899999999999999</v>
      </c>
      <c r="I976" s="72">
        <v>0.44</v>
      </c>
      <c r="J976" s="72">
        <v>0.44</v>
      </c>
      <c r="K976" s="72">
        <v>0.33</v>
      </c>
      <c r="L976" s="72">
        <v>0</v>
      </c>
      <c r="M976" s="72">
        <v>3.3000000000000002E-2</v>
      </c>
      <c r="N976" s="73">
        <v>0</v>
      </c>
      <c r="O976" s="73">
        <v>0</v>
      </c>
      <c r="P976" s="73">
        <v>0</v>
      </c>
      <c r="Q976" s="73">
        <v>0</v>
      </c>
      <c r="R976" s="50">
        <v>0</v>
      </c>
      <c r="S976" s="50">
        <v>0</v>
      </c>
      <c r="T976" s="66" t="s">
        <v>685</v>
      </c>
      <c r="U976" s="66" t="s">
        <v>685</v>
      </c>
      <c r="V976" s="66" t="s">
        <v>685</v>
      </c>
      <c r="W976" s="66" t="s">
        <v>685</v>
      </c>
      <c r="X976" s="66" t="s">
        <v>685</v>
      </c>
      <c r="Y976" s="66" t="s">
        <v>685</v>
      </c>
      <c r="Z976" s="66" t="s">
        <v>685</v>
      </c>
      <c r="AA976" s="66">
        <v>0</v>
      </c>
      <c r="AB976" s="66">
        <v>0</v>
      </c>
      <c r="AC976" s="66">
        <v>0</v>
      </c>
    </row>
    <row r="977" spans="1:29">
      <c r="A977" s="43" t="s">
        <v>567</v>
      </c>
      <c r="B977" s="43" t="s">
        <v>243</v>
      </c>
      <c r="C977" s="72">
        <v>0</v>
      </c>
      <c r="D977" s="72">
        <v>0</v>
      </c>
      <c r="E977" s="72">
        <v>0</v>
      </c>
      <c r="F977" s="72">
        <v>0</v>
      </c>
      <c r="G977" s="72">
        <v>0</v>
      </c>
      <c r="H977" s="72">
        <v>0</v>
      </c>
      <c r="I977" s="72">
        <v>0</v>
      </c>
      <c r="J977" s="72">
        <v>0</v>
      </c>
      <c r="K977" s="72">
        <v>0</v>
      </c>
      <c r="L977" s="72">
        <v>0</v>
      </c>
      <c r="M977" s="72">
        <v>0</v>
      </c>
      <c r="N977" s="73">
        <v>0</v>
      </c>
      <c r="O977" s="73">
        <v>0</v>
      </c>
      <c r="P977" s="73">
        <v>0</v>
      </c>
      <c r="Q977" s="73">
        <v>0</v>
      </c>
      <c r="R977" s="50">
        <v>0</v>
      </c>
      <c r="S977" s="50">
        <v>0</v>
      </c>
      <c r="T977" s="66" t="s">
        <v>685</v>
      </c>
      <c r="U977" s="66" t="s">
        <v>685</v>
      </c>
      <c r="V977" s="66" t="s">
        <v>685</v>
      </c>
      <c r="W977" s="66" t="s">
        <v>685</v>
      </c>
      <c r="X977" s="66" t="s">
        <v>685</v>
      </c>
      <c r="Y977" s="66" t="s">
        <v>685</v>
      </c>
      <c r="Z977" s="66" t="s">
        <v>685</v>
      </c>
      <c r="AA977" s="66">
        <v>0</v>
      </c>
      <c r="AB977" s="66">
        <v>0</v>
      </c>
      <c r="AC977" s="66">
        <v>0</v>
      </c>
    </row>
    <row r="978" spans="1:29">
      <c r="A978" s="43" t="s">
        <v>567</v>
      </c>
      <c r="B978" s="43" t="s">
        <v>95</v>
      </c>
      <c r="C978" s="73">
        <v>0.94050000000000011</v>
      </c>
      <c r="D978" s="73">
        <v>1.0615000000000001</v>
      </c>
      <c r="E978" s="73">
        <v>1.1676500000000001</v>
      </c>
      <c r="F978" s="73">
        <v>1.2496</v>
      </c>
      <c r="G978" s="73">
        <v>1.3618000000000001</v>
      </c>
      <c r="H978" s="73">
        <v>1.474</v>
      </c>
      <c r="I978" s="73">
        <v>1.5619999999999998</v>
      </c>
      <c r="J978" s="73">
        <v>1.6665000000000001</v>
      </c>
      <c r="K978" s="73">
        <v>0.20130000000000001</v>
      </c>
      <c r="L978" s="73">
        <v>0.11164999999999999</v>
      </c>
      <c r="M978" s="73">
        <v>0</v>
      </c>
      <c r="N978" s="75">
        <v>1.6500000000000001E-2</v>
      </c>
      <c r="O978" s="73">
        <v>0</v>
      </c>
      <c r="P978" s="50">
        <v>3.4099999999999998E-2</v>
      </c>
      <c r="Q978" s="73">
        <f>0.11*0.055</f>
        <v>6.0499999999999998E-3</v>
      </c>
      <c r="R978" s="50">
        <f>5.232*0.055</f>
        <v>0.28776000000000002</v>
      </c>
      <c r="S978" s="50">
        <f>2.239*0.055</f>
        <v>0.12314499999999999</v>
      </c>
      <c r="T978" s="66">
        <f>0.887*0.055</f>
        <v>4.8785000000000002E-2</v>
      </c>
      <c r="U978" s="66">
        <v>0</v>
      </c>
      <c r="V978" s="66">
        <v>0</v>
      </c>
      <c r="W978" s="66">
        <v>0</v>
      </c>
      <c r="X978" s="66">
        <v>0</v>
      </c>
      <c r="Y978" s="66">
        <v>0</v>
      </c>
      <c r="Z978" s="66">
        <f>1.39*0.055</f>
        <v>7.644999999999999E-2</v>
      </c>
      <c r="AA978" s="66">
        <f>1.27*0.055</f>
        <v>6.9849999999999995E-2</v>
      </c>
      <c r="AB978" s="66">
        <f>1.04*0.055</f>
        <v>5.7200000000000001E-2</v>
      </c>
      <c r="AC978" s="66">
        <f>1.157*0.055</f>
        <v>6.3634999999999997E-2</v>
      </c>
    </row>
    <row r="979" spans="1:29">
      <c r="A979" s="43" t="s">
        <v>567</v>
      </c>
      <c r="B979" s="43" t="s">
        <v>825</v>
      </c>
      <c r="Q979" s="73">
        <v>0</v>
      </c>
      <c r="R979" s="50">
        <v>0</v>
      </c>
      <c r="S979" s="50">
        <v>0</v>
      </c>
      <c r="T979" s="66">
        <v>0</v>
      </c>
      <c r="U979" s="66">
        <v>0</v>
      </c>
      <c r="V979" s="66">
        <v>0</v>
      </c>
      <c r="W979" s="66">
        <v>0</v>
      </c>
      <c r="X979" s="66">
        <v>0</v>
      </c>
      <c r="Y979" s="66">
        <v>0</v>
      </c>
      <c r="Z979" s="66">
        <v>0</v>
      </c>
      <c r="AA979" s="66">
        <v>0</v>
      </c>
      <c r="AB979" s="66">
        <v>0</v>
      </c>
      <c r="AC979" s="66">
        <v>0</v>
      </c>
    </row>
    <row r="980" spans="1:29">
      <c r="A980" s="43" t="s">
        <v>567</v>
      </c>
      <c r="B980" s="43" t="s">
        <v>574</v>
      </c>
      <c r="C980" s="72">
        <v>1.47</v>
      </c>
      <c r="D980" s="72">
        <v>1.83</v>
      </c>
      <c r="E980" s="72">
        <v>2.016</v>
      </c>
      <c r="F980" s="72">
        <v>2.16</v>
      </c>
      <c r="G980" s="72">
        <v>10.5</v>
      </c>
      <c r="H980" s="72">
        <v>15.9</v>
      </c>
      <c r="I980" s="72">
        <v>22.2</v>
      </c>
      <c r="J980" s="72">
        <v>30</v>
      </c>
      <c r="K980" s="72">
        <v>24</v>
      </c>
      <c r="L980" s="72">
        <v>24</v>
      </c>
      <c r="M980" s="72">
        <v>6</v>
      </c>
      <c r="N980" s="73">
        <v>0</v>
      </c>
      <c r="O980" s="73">
        <v>0</v>
      </c>
      <c r="P980" s="73">
        <v>0</v>
      </c>
      <c r="Q980" s="73">
        <v>0</v>
      </c>
      <c r="R980" s="50">
        <v>0</v>
      </c>
      <c r="S980" s="50">
        <v>0</v>
      </c>
      <c r="T980" s="66">
        <v>0</v>
      </c>
      <c r="U980" s="66">
        <v>0</v>
      </c>
      <c r="V980" s="66">
        <v>0</v>
      </c>
      <c r="W980" s="66">
        <v>0</v>
      </c>
      <c r="X980" s="66">
        <v>0</v>
      </c>
      <c r="Y980" s="66">
        <v>0</v>
      </c>
      <c r="Z980" s="66">
        <v>0</v>
      </c>
      <c r="AA980" s="66">
        <v>0</v>
      </c>
      <c r="AB980" s="66">
        <v>0</v>
      </c>
      <c r="AC980" s="66">
        <v>0</v>
      </c>
    </row>
    <row r="981" spans="1:29">
      <c r="A981" s="43" t="s">
        <v>567</v>
      </c>
      <c r="B981" s="43" t="s">
        <v>535</v>
      </c>
      <c r="C981" s="72">
        <v>2E-3</v>
      </c>
      <c r="D981" s="72">
        <v>1.7999999999999999E-2</v>
      </c>
      <c r="E981" s="72">
        <v>0.02</v>
      </c>
      <c r="F981" s="72">
        <v>2.5000000000000001E-2</v>
      </c>
      <c r="G981" s="72">
        <v>2.7E-2</v>
      </c>
      <c r="H981" s="72">
        <v>2.9000000000000001E-2</v>
      </c>
      <c r="I981" s="72">
        <v>3.0000000000000001E-3</v>
      </c>
      <c r="J981" s="72">
        <v>0.03</v>
      </c>
      <c r="K981" s="72">
        <v>0</v>
      </c>
      <c r="L981" s="72">
        <v>1E-3</v>
      </c>
      <c r="M981" s="72">
        <v>0</v>
      </c>
      <c r="N981" s="73">
        <v>0</v>
      </c>
      <c r="O981" s="73">
        <v>0</v>
      </c>
      <c r="P981" s="73">
        <v>0</v>
      </c>
      <c r="Q981" s="73">
        <v>0</v>
      </c>
      <c r="R981" s="50">
        <v>0</v>
      </c>
      <c r="S981" s="50">
        <v>0</v>
      </c>
      <c r="T981" s="66">
        <v>0</v>
      </c>
      <c r="U981" s="66">
        <v>0</v>
      </c>
      <c r="V981" s="66">
        <v>0</v>
      </c>
      <c r="W981" s="66">
        <v>0</v>
      </c>
      <c r="X981" s="66">
        <v>0</v>
      </c>
      <c r="Y981" s="66">
        <v>0</v>
      </c>
      <c r="Z981" s="66">
        <v>0</v>
      </c>
      <c r="AA981" s="66">
        <v>0</v>
      </c>
      <c r="AB981" s="66">
        <v>0</v>
      </c>
      <c r="AC981" s="66">
        <v>0</v>
      </c>
    </row>
    <row r="982" spans="1:29">
      <c r="A982" s="43" t="s">
        <v>683</v>
      </c>
      <c r="B982" s="43" t="s">
        <v>752</v>
      </c>
    </row>
    <row r="983" spans="1:29">
      <c r="A983" s="43" t="s">
        <v>683</v>
      </c>
      <c r="B983" s="43" t="s">
        <v>663</v>
      </c>
    </row>
    <row r="984" spans="1:29">
      <c r="A984" s="43" t="s">
        <v>683</v>
      </c>
      <c r="B984" s="43" t="s">
        <v>243</v>
      </c>
    </row>
    <row r="985" spans="1:29">
      <c r="A985" s="43" t="s">
        <v>683</v>
      </c>
      <c r="B985" s="43" t="s">
        <v>95</v>
      </c>
    </row>
    <row r="986" spans="1:29">
      <c r="A986" s="43" t="s">
        <v>683</v>
      </c>
      <c r="B986" s="43" t="s">
        <v>825</v>
      </c>
    </row>
    <row r="987" spans="1:29">
      <c r="A987" s="43" t="s">
        <v>683</v>
      </c>
      <c r="B987" s="43" t="s">
        <v>574</v>
      </c>
    </row>
    <row r="988" spans="1:29">
      <c r="A988" s="43" t="s">
        <v>683</v>
      </c>
      <c r="B988" s="43" t="s">
        <v>535</v>
      </c>
    </row>
    <row r="989" spans="1:29">
      <c r="A989" s="67" t="s">
        <v>644</v>
      </c>
      <c r="B989" s="43" t="s">
        <v>752</v>
      </c>
      <c r="C989" s="72">
        <v>280.36</v>
      </c>
      <c r="D989" s="72">
        <v>293.56</v>
      </c>
      <c r="E989" s="72">
        <v>187.7</v>
      </c>
      <c r="F989" s="72">
        <v>131.5</v>
      </c>
      <c r="G989" s="72">
        <v>88.94</v>
      </c>
      <c r="H989" s="72">
        <v>215.49</v>
      </c>
      <c r="I989" s="72">
        <v>131.19999999999999</v>
      </c>
      <c r="J989" s="72">
        <v>71.459999999999994</v>
      </c>
      <c r="K989" s="72">
        <v>148.648</v>
      </c>
      <c r="L989" s="72">
        <v>98.82</v>
      </c>
      <c r="M989" s="72">
        <v>98.896000000000001</v>
      </c>
      <c r="N989" s="73">
        <v>54.03</v>
      </c>
      <c r="O989" s="73">
        <v>26.507999999999999</v>
      </c>
      <c r="P989" s="73">
        <v>13.9</v>
      </c>
      <c r="R989" s="50">
        <v>0</v>
      </c>
      <c r="S989" s="50">
        <v>0</v>
      </c>
      <c r="T989" s="66" t="s">
        <v>685</v>
      </c>
      <c r="U989" s="66">
        <v>0</v>
      </c>
      <c r="V989" s="66" t="s">
        <v>685</v>
      </c>
      <c r="W989" s="66" t="s">
        <v>685</v>
      </c>
      <c r="X989" s="66" t="s">
        <v>685</v>
      </c>
      <c r="Y989" s="66" t="s">
        <v>685</v>
      </c>
      <c r="Z989" s="72" t="s">
        <v>685</v>
      </c>
      <c r="AA989" s="66">
        <v>0</v>
      </c>
      <c r="AB989" s="66">
        <v>0</v>
      </c>
      <c r="AC989" s="66">
        <v>0</v>
      </c>
    </row>
    <row r="990" spans="1:29">
      <c r="A990" s="67" t="s">
        <v>644</v>
      </c>
      <c r="B990" s="43" t="s">
        <v>663</v>
      </c>
      <c r="C990" s="72">
        <v>0.99</v>
      </c>
      <c r="D990" s="72">
        <v>1.1000000000000001</v>
      </c>
      <c r="E990" s="72">
        <v>37.07</v>
      </c>
      <c r="F990" s="72">
        <v>0.35</v>
      </c>
      <c r="G990" s="72">
        <v>1.0999999999999999E-2</v>
      </c>
      <c r="H990" s="72">
        <v>0</v>
      </c>
      <c r="I990" s="72">
        <v>0</v>
      </c>
      <c r="J990" s="72">
        <v>0.154</v>
      </c>
      <c r="K990" s="72">
        <v>0</v>
      </c>
      <c r="L990" s="72">
        <v>0</v>
      </c>
      <c r="M990" s="72">
        <v>0</v>
      </c>
      <c r="N990" s="73">
        <v>0</v>
      </c>
      <c r="O990" s="73">
        <v>0</v>
      </c>
      <c r="P990" s="73">
        <v>0</v>
      </c>
      <c r="R990" s="50">
        <v>0</v>
      </c>
      <c r="S990" s="50">
        <v>0</v>
      </c>
      <c r="T990" s="66" t="s">
        <v>685</v>
      </c>
      <c r="U990" s="66">
        <v>0</v>
      </c>
      <c r="V990" s="66" t="s">
        <v>685</v>
      </c>
      <c r="W990" s="66" t="s">
        <v>685</v>
      </c>
      <c r="X990" s="66" t="s">
        <v>685</v>
      </c>
      <c r="Y990" s="66" t="s">
        <v>685</v>
      </c>
      <c r="Z990" s="72" t="s">
        <v>685</v>
      </c>
      <c r="AA990" s="66">
        <v>0</v>
      </c>
      <c r="AB990" s="66">
        <v>0</v>
      </c>
      <c r="AC990" s="66">
        <v>0</v>
      </c>
    </row>
    <row r="991" spans="1:29">
      <c r="A991" s="67" t="s">
        <v>644</v>
      </c>
      <c r="B991" s="43" t="s">
        <v>243</v>
      </c>
      <c r="C991" s="72">
        <v>0.5</v>
      </c>
      <c r="D991" s="72">
        <v>0.5</v>
      </c>
      <c r="E991" s="72">
        <v>0</v>
      </c>
      <c r="F991" s="72">
        <v>0</v>
      </c>
      <c r="G991" s="72">
        <v>10.7</v>
      </c>
      <c r="H991" s="72">
        <v>0</v>
      </c>
      <c r="I991" s="72">
        <v>0</v>
      </c>
      <c r="J991" s="72">
        <v>0</v>
      </c>
      <c r="K991" s="72">
        <v>0</v>
      </c>
      <c r="L991" s="72">
        <v>0</v>
      </c>
      <c r="M991" s="72">
        <v>0</v>
      </c>
      <c r="N991" s="73">
        <v>0</v>
      </c>
      <c r="O991" s="73">
        <v>0</v>
      </c>
      <c r="P991" s="73">
        <v>0</v>
      </c>
      <c r="R991" s="50">
        <v>0</v>
      </c>
      <c r="S991" s="50">
        <v>0</v>
      </c>
      <c r="T991" s="66" t="s">
        <v>685</v>
      </c>
      <c r="U991" s="66">
        <v>0</v>
      </c>
      <c r="V991" s="66" t="s">
        <v>685</v>
      </c>
      <c r="W991" s="66" t="s">
        <v>685</v>
      </c>
      <c r="X991" s="66" t="s">
        <v>685</v>
      </c>
      <c r="Y991" s="66" t="s">
        <v>685</v>
      </c>
      <c r="Z991" s="72" t="s">
        <v>685</v>
      </c>
      <c r="AA991" s="66">
        <v>0</v>
      </c>
      <c r="AB991" s="66">
        <v>0</v>
      </c>
      <c r="AC991" s="66">
        <v>0</v>
      </c>
    </row>
    <row r="992" spans="1:29">
      <c r="A992" s="67" t="s">
        <v>644</v>
      </c>
      <c r="B992" s="43" t="s">
        <v>95</v>
      </c>
      <c r="C992" s="73">
        <v>2.2000000000000002</v>
      </c>
      <c r="D992" s="73">
        <v>2.3374999999999999</v>
      </c>
      <c r="E992" s="73">
        <v>0.3916</v>
      </c>
      <c r="F992" s="73">
        <v>0</v>
      </c>
      <c r="G992" s="73">
        <v>0</v>
      </c>
      <c r="H992" s="73">
        <v>0</v>
      </c>
      <c r="I992" s="73">
        <v>0</v>
      </c>
      <c r="J992" s="73">
        <v>0</v>
      </c>
      <c r="K992" s="73">
        <v>0</v>
      </c>
      <c r="L992" s="73">
        <v>0</v>
      </c>
      <c r="M992" s="73">
        <v>6.3E-2</v>
      </c>
      <c r="N992" s="73">
        <v>0</v>
      </c>
      <c r="O992" s="73">
        <v>2.0454499999999998</v>
      </c>
      <c r="P992" s="73">
        <v>1.4795</v>
      </c>
      <c r="R992" s="50">
        <f>(36.04*0.055)+(0.16*0.02)</f>
        <v>1.9854000000000001</v>
      </c>
      <c r="S992" s="50">
        <f>181.23*0.055</f>
        <v>9.967649999999999</v>
      </c>
      <c r="T992" s="66">
        <f>(171.65*0.055)+(0.27*0.02)</f>
        <v>9.4461499999999994</v>
      </c>
      <c r="U992" s="66">
        <f>(29.69*0.055)+(0.27*0.02)</f>
        <v>1.6383500000000002</v>
      </c>
      <c r="V992" s="66">
        <f>(29.69*0.055)+(0.27*0.02)</f>
        <v>1.6383500000000002</v>
      </c>
      <c r="W992" s="66">
        <f>21.49*0.055</f>
        <v>1.1819499999999998</v>
      </c>
      <c r="X992" s="66">
        <f>20.99*0.055</f>
        <v>1.15445</v>
      </c>
      <c r="Y992" s="66">
        <f>20.89*0.055</f>
        <v>1.1489500000000001</v>
      </c>
      <c r="Z992" s="66">
        <f>20.8*0.055</f>
        <v>1.1440000000000001</v>
      </c>
      <c r="AA992" s="66">
        <f>20.73*0.055</f>
        <v>1.14015</v>
      </c>
      <c r="AB992" s="66">
        <f>18.67*0.055</f>
        <v>1.02685</v>
      </c>
      <c r="AC992" s="66">
        <f>16.44*0.055</f>
        <v>0.90420000000000011</v>
      </c>
    </row>
    <row r="993" spans="1:30">
      <c r="A993" s="67" t="s">
        <v>644</v>
      </c>
      <c r="B993" s="43" t="s">
        <v>825</v>
      </c>
      <c r="R993" s="50">
        <v>0</v>
      </c>
      <c r="S993" s="50">
        <v>0</v>
      </c>
      <c r="T993" s="66">
        <v>0</v>
      </c>
      <c r="U993" s="66">
        <v>0</v>
      </c>
      <c r="V993" s="66">
        <v>0</v>
      </c>
      <c r="W993" s="66">
        <v>0</v>
      </c>
      <c r="X993" s="66">
        <v>0</v>
      </c>
      <c r="Y993" s="66">
        <v>0</v>
      </c>
      <c r="Z993" s="66">
        <v>0</v>
      </c>
      <c r="AA993" s="66">
        <v>0</v>
      </c>
      <c r="AB993" s="66">
        <v>0</v>
      </c>
      <c r="AC993" s="66">
        <v>0</v>
      </c>
    </row>
    <row r="994" spans="1:30">
      <c r="A994" s="67" t="s">
        <v>644</v>
      </c>
      <c r="B994" s="43" t="s">
        <v>574</v>
      </c>
      <c r="C994" s="72">
        <v>5.82</v>
      </c>
      <c r="D994" s="72">
        <v>6.48</v>
      </c>
      <c r="E994" s="72">
        <v>1.58</v>
      </c>
      <c r="F994" s="72">
        <v>6.0000000000000001E-3</v>
      </c>
      <c r="G994" s="72">
        <v>3.05</v>
      </c>
      <c r="H994" s="72">
        <v>0</v>
      </c>
      <c r="I994" s="72">
        <v>0</v>
      </c>
      <c r="J994" s="72">
        <v>0</v>
      </c>
      <c r="K994" s="72">
        <v>0</v>
      </c>
      <c r="L994" s="72">
        <v>0</v>
      </c>
      <c r="M994" s="72">
        <v>0</v>
      </c>
      <c r="N994" s="73">
        <v>0</v>
      </c>
      <c r="O994" s="73">
        <v>0</v>
      </c>
      <c r="P994" s="73">
        <v>0</v>
      </c>
      <c r="R994" s="50">
        <v>0</v>
      </c>
      <c r="S994" s="50">
        <v>0</v>
      </c>
      <c r="T994" s="66">
        <v>0</v>
      </c>
      <c r="U994" s="66">
        <v>0</v>
      </c>
      <c r="V994" s="66">
        <v>0</v>
      </c>
      <c r="W994" s="66">
        <v>0</v>
      </c>
      <c r="X994" s="66">
        <v>0</v>
      </c>
      <c r="Y994" s="66">
        <v>0</v>
      </c>
      <c r="Z994" s="66">
        <v>0</v>
      </c>
      <c r="AA994" s="66">
        <v>0</v>
      </c>
      <c r="AB994" s="66">
        <v>0</v>
      </c>
      <c r="AC994" s="66">
        <v>0</v>
      </c>
    </row>
    <row r="995" spans="1:30">
      <c r="A995" s="67" t="s">
        <v>644</v>
      </c>
      <c r="B995" s="43" t="s">
        <v>535</v>
      </c>
      <c r="C995" s="72">
        <v>0</v>
      </c>
      <c r="D995" s="72">
        <v>0</v>
      </c>
      <c r="E995" s="72">
        <v>0</v>
      </c>
      <c r="F995" s="72">
        <v>0</v>
      </c>
      <c r="G995" s="72">
        <v>0</v>
      </c>
      <c r="H995" s="72">
        <v>0</v>
      </c>
      <c r="I995" s="72">
        <v>0</v>
      </c>
      <c r="J995" s="72">
        <v>0</v>
      </c>
      <c r="K995" s="72">
        <v>0</v>
      </c>
      <c r="L995" s="72">
        <v>0</v>
      </c>
      <c r="M995" s="72">
        <v>0</v>
      </c>
      <c r="N995" s="73">
        <v>0</v>
      </c>
      <c r="O995" s="73">
        <v>0</v>
      </c>
      <c r="P995" s="73">
        <v>0</v>
      </c>
      <c r="R995" s="50">
        <v>0</v>
      </c>
      <c r="S995" s="50">
        <f>0.44*0.1</f>
        <v>4.4000000000000004E-2</v>
      </c>
      <c r="T995" s="66">
        <f>0.49*0.1</f>
        <v>4.9000000000000002E-2</v>
      </c>
      <c r="U995" s="66">
        <f>0.37*0.1</f>
        <v>3.6999999999999998E-2</v>
      </c>
      <c r="V995" s="66">
        <f>0.37*0.1</f>
        <v>3.6999999999999998E-2</v>
      </c>
      <c r="W995" s="66">
        <v>0</v>
      </c>
      <c r="X995" s="66">
        <v>0</v>
      </c>
      <c r="Y995" s="66">
        <v>0</v>
      </c>
      <c r="Z995" s="66">
        <v>0</v>
      </c>
      <c r="AA995" s="66">
        <v>0</v>
      </c>
      <c r="AB995" s="66">
        <v>0</v>
      </c>
      <c r="AC995" s="66">
        <v>0</v>
      </c>
    </row>
    <row r="996" spans="1:30" ht="12.6" customHeight="1">
      <c r="A996" s="43" t="s">
        <v>568</v>
      </c>
      <c r="B996" s="43" t="s">
        <v>752</v>
      </c>
      <c r="C996" s="72">
        <v>231.95</v>
      </c>
      <c r="D996" s="72">
        <v>175.15799999999999</v>
      </c>
      <c r="E996" s="72">
        <v>193.12</v>
      </c>
      <c r="F996" s="72">
        <v>193.95400000000001</v>
      </c>
      <c r="G996" s="72">
        <v>111.36</v>
      </c>
      <c r="H996" s="72">
        <v>111.01</v>
      </c>
      <c r="I996" s="72">
        <v>105.962</v>
      </c>
      <c r="J996" s="72">
        <v>75.17</v>
      </c>
      <c r="K996" s="72">
        <v>111.38</v>
      </c>
      <c r="L996" s="72">
        <v>90.88</v>
      </c>
      <c r="M996" s="72">
        <v>97.56</v>
      </c>
      <c r="N996" s="73">
        <v>81.91</v>
      </c>
      <c r="O996" s="73">
        <v>29.3</v>
      </c>
      <c r="P996" s="73">
        <v>26.35</v>
      </c>
      <c r="Q996" s="73">
        <v>6.39</v>
      </c>
      <c r="R996" s="50">
        <v>0</v>
      </c>
      <c r="S996" s="50">
        <v>0</v>
      </c>
      <c r="T996" s="66" t="s">
        <v>685</v>
      </c>
      <c r="U996" s="66" t="s">
        <v>685</v>
      </c>
      <c r="V996" s="66" t="s">
        <v>685</v>
      </c>
      <c r="W996" s="66" t="s">
        <v>685</v>
      </c>
      <c r="X996" s="66" t="s">
        <v>685</v>
      </c>
      <c r="Y996" s="66" t="s">
        <v>685</v>
      </c>
      <c r="Z996" s="72" t="s">
        <v>685</v>
      </c>
      <c r="AA996" s="72">
        <v>0</v>
      </c>
      <c r="AB996" s="72">
        <v>0</v>
      </c>
      <c r="AC996" s="72">
        <v>0</v>
      </c>
      <c r="AD996" s="72"/>
    </row>
    <row r="997" spans="1:30">
      <c r="A997" s="43" t="s">
        <v>568</v>
      </c>
      <c r="B997" s="43" t="s">
        <v>663</v>
      </c>
      <c r="C997" s="72">
        <v>9.1630000000000003</v>
      </c>
      <c r="D997" s="72">
        <v>0</v>
      </c>
      <c r="E997" s="72">
        <v>0.41799999999999998</v>
      </c>
      <c r="F997" s="72">
        <v>0.26400000000000001</v>
      </c>
      <c r="G997" s="72">
        <v>0.20899999999999999</v>
      </c>
      <c r="H997" s="72">
        <v>0.65</v>
      </c>
      <c r="I997" s="72">
        <v>0.26400000000000001</v>
      </c>
      <c r="J997" s="72">
        <v>0.42899999999999999</v>
      </c>
      <c r="K997" s="72">
        <v>0.27500000000000002</v>
      </c>
      <c r="L997" s="72">
        <v>0.34100000000000003</v>
      </c>
      <c r="M997" s="72">
        <v>0</v>
      </c>
      <c r="N997" s="73">
        <v>0</v>
      </c>
      <c r="O997" s="73">
        <v>0</v>
      </c>
      <c r="P997" s="73">
        <v>0</v>
      </c>
      <c r="Q997" s="73">
        <v>0</v>
      </c>
      <c r="R997" s="50">
        <v>0</v>
      </c>
      <c r="S997" s="50">
        <v>0</v>
      </c>
      <c r="T997" s="66" t="s">
        <v>685</v>
      </c>
      <c r="U997" s="66" t="s">
        <v>685</v>
      </c>
      <c r="V997" s="66" t="s">
        <v>685</v>
      </c>
      <c r="W997" s="66" t="s">
        <v>685</v>
      </c>
      <c r="X997" s="66" t="s">
        <v>685</v>
      </c>
      <c r="Y997" s="66" t="s">
        <v>685</v>
      </c>
      <c r="Z997" s="72" t="s">
        <v>685</v>
      </c>
      <c r="AA997" s="72">
        <v>0</v>
      </c>
      <c r="AB997" s="72">
        <v>0</v>
      </c>
      <c r="AC997" s="72">
        <v>0</v>
      </c>
      <c r="AD997" s="72"/>
    </row>
    <row r="998" spans="1:30">
      <c r="A998" s="43" t="s">
        <v>568</v>
      </c>
      <c r="B998" s="43" t="s">
        <v>243</v>
      </c>
      <c r="C998" s="72">
        <v>0</v>
      </c>
      <c r="D998" s="72">
        <v>0</v>
      </c>
      <c r="E998" s="72">
        <v>0</v>
      </c>
      <c r="F998" s="72">
        <v>0</v>
      </c>
      <c r="G998" s="72">
        <v>0</v>
      </c>
      <c r="H998" s="72">
        <v>0</v>
      </c>
      <c r="I998" s="72">
        <v>0</v>
      </c>
      <c r="J998" s="72">
        <v>0</v>
      </c>
      <c r="K998" s="72">
        <v>0</v>
      </c>
      <c r="L998" s="72">
        <v>0</v>
      </c>
      <c r="M998" s="72">
        <v>0</v>
      </c>
      <c r="N998" s="73">
        <v>0</v>
      </c>
      <c r="O998" s="73">
        <v>0</v>
      </c>
      <c r="P998" s="73">
        <v>0</v>
      </c>
      <c r="Q998" s="73">
        <v>0</v>
      </c>
      <c r="R998" s="50">
        <v>0</v>
      </c>
      <c r="S998" s="50">
        <v>0</v>
      </c>
      <c r="T998" s="66" t="s">
        <v>685</v>
      </c>
      <c r="U998" s="66" t="s">
        <v>685</v>
      </c>
      <c r="V998" s="66" t="s">
        <v>685</v>
      </c>
      <c r="W998" s="66" t="s">
        <v>685</v>
      </c>
      <c r="X998" s="66" t="s">
        <v>685</v>
      </c>
      <c r="Y998" s="66" t="s">
        <v>685</v>
      </c>
      <c r="Z998" s="72" t="s">
        <v>685</v>
      </c>
      <c r="AA998" s="72">
        <v>0</v>
      </c>
      <c r="AB998" s="72">
        <v>0</v>
      </c>
      <c r="AC998" s="72">
        <v>0</v>
      </c>
      <c r="AD998" s="72"/>
    </row>
    <row r="999" spans="1:30">
      <c r="A999" s="43" t="s">
        <v>568</v>
      </c>
      <c r="B999" s="43" t="s">
        <v>95</v>
      </c>
      <c r="C999" s="73">
        <v>2.3149500000000001</v>
      </c>
      <c r="D999" s="73">
        <v>11.9284</v>
      </c>
      <c r="E999" s="73">
        <v>13.636150000000001</v>
      </c>
      <c r="F999" s="73">
        <v>10.45055</v>
      </c>
      <c r="G999" s="73">
        <v>9.8037500000000009</v>
      </c>
      <c r="H999" s="73">
        <v>10.292150000000001</v>
      </c>
      <c r="I999" s="73">
        <v>13.613600000000002</v>
      </c>
      <c r="J999" s="73">
        <v>7.6213500000000005</v>
      </c>
      <c r="K999" s="73">
        <v>8.9903000000000013</v>
      </c>
      <c r="L999" s="73">
        <v>13.04105</v>
      </c>
      <c r="M999" s="73">
        <v>12.925550000000001</v>
      </c>
      <c r="N999" s="73">
        <v>15.692799999999998</v>
      </c>
      <c r="O999" s="73">
        <v>18.016000000000002</v>
      </c>
      <c r="P999" s="73">
        <v>19.139500000000002</v>
      </c>
      <c r="Q999" s="73">
        <f>(378.26*0.055)+(15.54*0.11)+(11.88*0.065)+(1.59*0.02)+(2.46*0.022)</f>
        <v>23.371820000000003</v>
      </c>
      <c r="R999" s="50">
        <f>(397.05*0.055)+(20.12*0.11)+(7.47*0.065)+(2.12*0.02)+(5.82*0.022)</f>
        <v>24.706939999999999</v>
      </c>
      <c r="S999" s="50">
        <f>(294.26*0.055)+(8.38*0.11)+(6.36*0.065)+(0.57*0.02)+(4.03*0.022)</f>
        <v>17.61956</v>
      </c>
      <c r="T999" s="66">
        <f>455.58*0.055</f>
        <v>25.056899999999999</v>
      </c>
      <c r="U999" s="66">
        <f>(261.89*0.055)+(6.38*0.11)+(3.02*0.065)+(0.74*0.02)+(7.14*0.022)</f>
        <v>15.473930000000001</v>
      </c>
      <c r="V999" s="66">
        <f>(2.65*0.065)+(1.54*0.02)+(6.22*0.022)</f>
        <v>0.33988999999999997</v>
      </c>
      <c r="W999" s="66">
        <f>(14.81*0.11)+(0.98*0.065)+(1.6*0.02)+(3.36*0.022)</f>
        <v>1.7987200000000001</v>
      </c>
      <c r="X999" s="66">
        <f>(295.35*0.055)+(1.35*0.065)+(2.02*0.02)+(2.42*0.022)</f>
        <v>16.425640000000001</v>
      </c>
      <c r="Y999" s="66">
        <f>(273.04*0.055)+(13.42*0.11)+(0.84*0.065)+(1.3*0.02)+(5.45*0.022)</f>
        <v>16.693900000000003</v>
      </c>
      <c r="Z999" s="66">
        <f>(139.06*0.055)+(12.11*0.11)+(0.31*0.065)+(1.51*0.02)+(0.52*0.022)</f>
        <v>9.0421899999999997</v>
      </c>
      <c r="AA999" s="66">
        <f>(246.57*0.055)+(4.08*0.11)+(0.33*0.065)+(1.11*0.02)+(1.31*0.022)</f>
        <v>14.082619999999999</v>
      </c>
      <c r="AB999" s="66">
        <f>(183.7*0.055)+(8.68*0.11)+(0.45*0.065)+(2.55*0.02)+(0.44*0.022)</f>
        <v>11.148229999999998</v>
      </c>
      <c r="AC999" s="66">
        <f>(203.25*0.055)+(2.54*0.11)+(1.28*0.02)+(0.78*0.022)</f>
        <v>11.500910000000003</v>
      </c>
    </row>
    <row r="1000" spans="1:30">
      <c r="A1000" s="43" t="s">
        <v>568</v>
      </c>
      <c r="B1000" s="43" t="s">
        <v>825</v>
      </c>
      <c r="Q1000" s="73">
        <f>48.58*0.11</f>
        <v>5.3437999999999999</v>
      </c>
      <c r="R1000" s="50">
        <f>52.32*0.11</f>
        <v>5.7552000000000003</v>
      </c>
      <c r="S1000" s="50">
        <f>41.95*0.11</f>
        <v>4.6145000000000005</v>
      </c>
      <c r="T1000" s="66">
        <v>0</v>
      </c>
      <c r="U1000" s="50">
        <f>60.88*0.11</f>
        <v>6.6968000000000005</v>
      </c>
      <c r="V1000" s="66">
        <f>51.62*0.11</f>
        <v>5.6781999999999995</v>
      </c>
      <c r="W1000" s="66">
        <f>35.69*0.11</f>
        <v>3.9258999999999999</v>
      </c>
      <c r="X1000" s="66">
        <f>42.85*0.11</f>
        <v>4.7134999999999998</v>
      </c>
      <c r="Y1000" s="66">
        <f>49.75*0.11</f>
        <v>5.4725000000000001</v>
      </c>
      <c r="Z1000" s="66">
        <f>58.89*0.11</f>
        <v>6.4779</v>
      </c>
      <c r="AA1000" s="66">
        <f>51.47*0.11</f>
        <v>5.6616999999999997</v>
      </c>
      <c r="AB1000" s="66">
        <f>46.07*0.11</f>
        <v>5.0677000000000003</v>
      </c>
      <c r="AC1000" s="66">
        <f>33.19*0.11</f>
        <v>3.6508999999999996</v>
      </c>
    </row>
    <row r="1001" spans="1:30">
      <c r="A1001" s="43" t="s">
        <v>568</v>
      </c>
      <c r="B1001" s="43" t="s">
        <v>574</v>
      </c>
      <c r="C1001" s="72">
        <v>14.9</v>
      </c>
      <c r="D1001" s="72">
        <v>6.08</v>
      </c>
      <c r="E1001" s="72">
        <v>16.43</v>
      </c>
      <c r="F1001" s="72">
        <v>13.08</v>
      </c>
      <c r="G1001" s="72">
        <v>19.62</v>
      </c>
      <c r="H1001" s="72">
        <v>23.78</v>
      </c>
      <c r="I1001" s="72">
        <v>37.76</v>
      </c>
      <c r="J1001" s="72">
        <v>12.75</v>
      </c>
      <c r="K1001" s="72">
        <v>8.7100000000000009</v>
      </c>
      <c r="L1001" s="72">
        <v>11.1</v>
      </c>
      <c r="M1001" s="72">
        <v>8.64</v>
      </c>
      <c r="N1001" s="73">
        <v>8.5019999999999989</v>
      </c>
      <c r="O1001" s="73">
        <v>8.4</v>
      </c>
      <c r="P1001" s="73">
        <v>8.4</v>
      </c>
      <c r="Q1001" s="73">
        <f>14*0.6</f>
        <v>8.4</v>
      </c>
      <c r="R1001" s="50">
        <f>9.75*0.6</f>
        <v>5.85</v>
      </c>
      <c r="S1001" s="50">
        <f>10*0.6</f>
        <v>6</v>
      </c>
      <c r="T1001" s="66">
        <v>0</v>
      </c>
      <c r="U1001" s="66">
        <v>0</v>
      </c>
      <c r="V1001" s="66">
        <v>0</v>
      </c>
      <c r="W1001" s="66">
        <v>0</v>
      </c>
      <c r="X1001" s="66">
        <v>0</v>
      </c>
      <c r="Y1001" s="66">
        <v>0</v>
      </c>
      <c r="Z1001" s="66">
        <v>0</v>
      </c>
      <c r="AA1001" s="66">
        <v>0</v>
      </c>
      <c r="AB1001" s="66">
        <v>0</v>
      </c>
      <c r="AC1001" s="66">
        <v>0</v>
      </c>
    </row>
    <row r="1002" spans="1:30">
      <c r="A1002" s="43" t="s">
        <v>568</v>
      </c>
      <c r="B1002" s="43" t="s">
        <v>535</v>
      </c>
      <c r="C1002" s="72">
        <v>0</v>
      </c>
      <c r="D1002" s="72">
        <v>0</v>
      </c>
      <c r="E1002" s="72">
        <v>0</v>
      </c>
      <c r="F1002" s="72">
        <v>0</v>
      </c>
      <c r="G1002" s="72">
        <v>0</v>
      </c>
      <c r="H1002" s="72">
        <v>0</v>
      </c>
      <c r="I1002" s="72">
        <v>1.0999999999999999E-2</v>
      </c>
      <c r="J1002" s="72">
        <v>0</v>
      </c>
      <c r="K1002" s="72">
        <v>0</v>
      </c>
      <c r="L1002" s="72">
        <v>0</v>
      </c>
      <c r="M1002" s="72">
        <v>0</v>
      </c>
      <c r="N1002" s="73">
        <v>0</v>
      </c>
      <c r="O1002" s="73">
        <v>0</v>
      </c>
      <c r="P1002" s="73">
        <v>0</v>
      </c>
      <c r="Q1002" s="73">
        <v>0</v>
      </c>
      <c r="R1002" s="50">
        <v>0</v>
      </c>
      <c r="S1002" s="50">
        <v>0</v>
      </c>
      <c r="T1002" s="66">
        <v>0</v>
      </c>
      <c r="U1002" s="66">
        <v>0</v>
      </c>
      <c r="V1002" s="66">
        <v>0</v>
      </c>
      <c r="W1002" s="66">
        <v>0</v>
      </c>
      <c r="X1002" s="66">
        <v>0</v>
      </c>
      <c r="Y1002" s="66">
        <v>0</v>
      </c>
      <c r="Z1002" s="66">
        <v>0</v>
      </c>
      <c r="AA1002" s="66">
        <v>0</v>
      </c>
      <c r="AB1002" s="66">
        <v>0</v>
      </c>
      <c r="AC1002" s="66">
        <v>0</v>
      </c>
    </row>
    <row r="1003" spans="1:30">
      <c r="A1003" s="67" t="s">
        <v>569</v>
      </c>
      <c r="B1003" s="67" t="s">
        <v>752</v>
      </c>
      <c r="N1003" s="73">
        <v>4.2000000000000003E-2</v>
      </c>
      <c r="O1003" s="73">
        <v>0.34</v>
      </c>
      <c r="P1003" s="73">
        <v>0.68</v>
      </c>
      <c r="Q1003" s="73">
        <v>0</v>
      </c>
      <c r="R1003" s="50">
        <v>0</v>
      </c>
      <c r="S1003" s="50">
        <v>0</v>
      </c>
      <c r="T1003" s="66">
        <v>0</v>
      </c>
      <c r="U1003" s="66" t="s">
        <v>685</v>
      </c>
      <c r="V1003" s="66" t="s">
        <v>685</v>
      </c>
      <c r="W1003" s="66" t="s">
        <v>685</v>
      </c>
      <c r="X1003" s="66" t="s">
        <v>685</v>
      </c>
      <c r="Y1003" s="66" t="s">
        <v>685</v>
      </c>
      <c r="Z1003" s="72" t="s">
        <v>685</v>
      </c>
      <c r="AA1003" s="72">
        <v>0</v>
      </c>
      <c r="AB1003" s="66">
        <v>0</v>
      </c>
      <c r="AC1003" s="66">
        <v>0</v>
      </c>
    </row>
    <row r="1004" spans="1:30">
      <c r="A1004" s="67" t="s">
        <v>569</v>
      </c>
      <c r="B1004" s="67" t="s">
        <v>663</v>
      </c>
      <c r="N1004" s="73">
        <v>0</v>
      </c>
      <c r="O1004" s="73">
        <v>0</v>
      </c>
      <c r="P1004" s="73">
        <v>0</v>
      </c>
      <c r="Q1004" s="73">
        <v>0</v>
      </c>
      <c r="R1004" s="50">
        <v>0</v>
      </c>
      <c r="S1004" s="50">
        <v>0</v>
      </c>
      <c r="T1004" s="66">
        <v>0</v>
      </c>
      <c r="U1004" s="66" t="s">
        <v>685</v>
      </c>
      <c r="V1004" s="66" t="s">
        <v>685</v>
      </c>
      <c r="W1004" s="66" t="s">
        <v>685</v>
      </c>
      <c r="X1004" s="66" t="s">
        <v>685</v>
      </c>
      <c r="Y1004" s="66" t="s">
        <v>685</v>
      </c>
      <c r="Z1004" s="72" t="s">
        <v>685</v>
      </c>
      <c r="AA1004" s="72">
        <v>0</v>
      </c>
      <c r="AB1004" s="66">
        <v>0</v>
      </c>
      <c r="AC1004" s="66">
        <v>0</v>
      </c>
    </row>
    <row r="1005" spans="1:30">
      <c r="A1005" s="67" t="s">
        <v>569</v>
      </c>
      <c r="B1005" s="43" t="s">
        <v>243</v>
      </c>
      <c r="N1005" s="73">
        <v>0</v>
      </c>
      <c r="O1005" s="73">
        <v>0</v>
      </c>
      <c r="P1005" s="73">
        <v>0</v>
      </c>
      <c r="Q1005" s="73">
        <v>0</v>
      </c>
      <c r="R1005" s="50">
        <v>0</v>
      </c>
      <c r="S1005" s="50">
        <v>0</v>
      </c>
      <c r="T1005" s="66">
        <v>0</v>
      </c>
      <c r="U1005" s="66" t="s">
        <v>685</v>
      </c>
      <c r="V1005" s="66" t="s">
        <v>685</v>
      </c>
      <c r="W1005" s="66" t="s">
        <v>685</v>
      </c>
      <c r="X1005" s="66" t="s">
        <v>685</v>
      </c>
      <c r="Y1005" s="66" t="s">
        <v>685</v>
      </c>
      <c r="Z1005" s="72" t="s">
        <v>685</v>
      </c>
      <c r="AA1005" s="72">
        <v>0</v>
      </c>
      <c r="AB1005" s="66">
        <v>0</v>
      </c>
      <c r="AC1005" s="66">
        <v>0</v>
      </c>
    </row>
    <row r="1006" spans="1:30">
      <c r="A1006" s="67" t="s">
        <v>569</v>
      </c>
      <c r="B1006" s="43" t="s">
        <v>95</v>
      </c>
      <c r="N1006" s="73">
        <v>0.14710000000000001</v>
      </c>
      <c r="O1006" s="73">
        <v>0.25640000000000002</v>
      </c>
      <c r="P1006" s="73">
        <v>0.26150000000000001</v>
      </c>
      <c r="Q1006" s="73">
        <f>(1.46*0.055)+(0.09*0.065)</f>
        <v>8.614999999999999E-2</v>
      </c>
      <c r="R1006" s="50">
        <f>(8*0.055)+(0.33*0.065)</f>
        <v>0.46145000000000003</v>
      </c>
      <c r="S1006" s="50">
        <f>(1.35*0.055)+(0.05*0.065)</f>
        <v>7.7500000000000013E-2</v>
      </c>
      <c r="T1006" s="66">
        <f>1.09*0.055</f>
        <v>5.9950000000000003E-2</v>
      </c>
      <c r="U1006" s="66">
        <f>1.09*0.055</f>
        <v>5.9950000000000003E-2</v>
      </c>
      <c r="V1006" s="66">
        <f>0.65*0.055</f>
        <v>3.5750000000000004E-2</v>
      </c>
      <c r="W1006" s="66">
        <f>0.35*0.055</f>
        <v>1.925E-2</v>
      </c>
      <c r="X1006" s="66">
        <v>0</v>
      </c>
      <c r="Y1006" s="66">
        <f>0.222*0.055</f>
        <v>1.221E-2</v>
      </c>
      <c r="Z1006" s="66">
        <f>0.2856*0.055</f>
        <v>1.5708E-2</v>
      </c>
      <c r="AA1006" s="66">
        <f>(0.212*0.055)+(0.002*0.065)+(0.0034*0.022)</f>
        <v>1.18648E-2</v>
      </c>
      <c r="AB1006" s="66">
        <v>0</v>
      </c>
      <c r="AC1006" s="66">
        <f>0.1496*0.055</f>
        <v>8.2280000000000009E-3</v>
      </c>
    </row>
    <row r="1007" spans="1:30">
      <c r="A1007" s="67" t="s">
        <v>569</v>
      </c>
      <c r="B1007" s="43" t="s">
        <v>825</v>
      </c>
      <c r="Q1007" s="73">
        <v>0</v>
      </c>
      <c r="R1007" s="50">
        <v>0</v>
      </c>
      <c r="S1007" s="50">
        <v>0</v>
      </c>
      <c r="T1007" s="66">
        <v>0</v>
      </c>
      <c r="U1007" s="66">
        <v>0</v>
      </c>
      <c r="V1007" s="66">
        <v>0</v>
      </c>
      <c r="W1007" s="66">
        <v>0</v>
      </c>
      <c r="X1007" s="66">
        <v>0</v>
      </c>
      <c r="Y1007" s="66">
        <v>0</v>
      </c>
      <c r="Z1007" s="66">
        <v>0</v>
      </c>
      <c r="AA1007" s="66">
        <v>0</v>
      </c>
      <c r="AB1007" s="66">
        <v>0</v>
      </c>
      <c r="AC1007" s="66">
        <v>0</v>
      </c>
    </row>
    <row r="1008" spans="1:30">
      <c r="A1008" s="67" t="s">
        <v>569</v>
      </c>
      <c r="B1008" s="43" t="s">
        <v>574</v>
      </c>
      <c r="N1008" s="73">
        <v>0</v>
      </c>
      <c r="O1008" s="73">
        <v>0</v>
      </c>
      <c r="P1008" s="73">
        <v>0</v>
      </c>
      <c r="Q1008" s="73">
        <v>0</v>
      </c>
      <c r="R1008" s="50">
        <v>0</v>
      </c>
      <c r="S1008" s="50">
        <v>0</v>
      </c>
      <c r="T1008" s="66">
        <v>0</v>
      </c>
      <c r="U1008" s="66">
        <v>0</v>
      </c>
      <c r="V1008" s="66">
        <v>0</v>
      </c>
      <c r="W1008" s="66">
        <v>0</v>
      </c>
      <c r="X1008" s="66">
        <v>0</v>
      </c>
      <c r="Y1008" s="66">
        <v>0</v>
      </c>
      <c r="Z1008" s="66">
        <v>0</v>
      </c>
      <c r="AA1008" s="66">
        <v>0</v>
      </c>
      <c r="AB1008" s="66">
        <v>0</v>
      </c>
      <c r="AC1008" s="66">
        <v>0</v>
      </c>
    </row>
    <row r="1009" spans="1:30">
      <c r="A1009" s="67" t="s">
        <v>569</v>
      </c>
      <c r="B1009" s="67" t="s">
        <v>535</v>
      </c>
      <c r="N1009" s="73">
        <v>0</v>
      </c>
      <c r="O1009" s="73">
        <v>0</v>
      </c>
      <c r="P1009" s="73">
        <v>0</v>
      </c>
      <c r="Q1009" s="73">
        <v>0</v>
      </c>
      <c r="R1009" s="50">
        <v>0</v>
      </c>
      <c r="S1009" s="50">
        <v>0</v>
      </c>
      <c r="T1009" s="66">
        <v>0</v>
      </c>
      <c r="U1009" s="66">
        <v>0</v>
      </c>
      <c r="V1009" s="66">
        <v>0</v>
      </c>
      <c r="W1009" s="66">
        <v>0</v>
      </c>
      <c r="X1009" s="66">
        <v>0</v>
      </c>
      <c r="Y1009" s="66">
        <v>0</v>
      </c>
      <c r="Z1009" s="66">
        <v>0</v>
      </c>
      <c r="AA1009" s="66">
        <v>0</v>
      </c>
      <c r="AB1009" s="66">
        <v>0</v>
      </c>
      <c r="AC1009" s="66">
        <v>0</v>
      </c>
    </row>
    <row r="1010" spans="1:30">
      <c r="A1010" s="43" t="s">
        <v>645</v>
      </c>
      <c r="B1010" s="43" t="s">
        <v>752</v>
      </c>
      <c r="C1010" s="72">
        <v>3212.54</v>
      </c>
      <c r="D1010" s="72">
        <v>3043.06</v>
      </c>
      <c r="E1010" s="72">
        <v>3703.86</v>
      </c>
      <c r="F1010" s="72">
        <v>3213.44</v>
      </c>
      <c r="G1010" s="72">
        <v>1920.58</v>
      </c>
      <c r="H1010" s="72">
        <v>2705.5</v>
      </c>
      <c r="I1010" s="72">
        <v>2546.19</v>
      </c>
      <c r="J1010" s="72">
        <v>1550.62</v>
      </c>
      <c r="K1010" s="72">
        <v>1386.33</v>
      </c>
      <c r="L1010" s="72">
        <v>2944.6419999999998</v>
      </c>
      <c r="M1010" s="72">
        <v>1658.482</v>
      </c>
      <c r="N1010" s="73">
        <v>2641.8</v>
      </c>
      <c r="O1010" s="73">
        <v>-114.42</v>
      </c>
      <c r="P1010" s="73">
        <v>-14.92</v>
      </c>
      <c r="Q1010" s="73">
        <v>-50.89</v>
      </c>
      <c r="R1010" s="50">
        <v>0</v>
      </c>
      <c r="S1010" s="50">
        <v>0</v>
      </c>
      <c r="T1010" s="66" t="s">
        <v>685</v>
      </c>
      <c r="U1010" s="66" t="s">
        <v>685</v>
      </c>
      <c r="V1010" s="66" t="s">
        <v>685</v>
      </c>
      <c r="W1010" s="66" t="s">
        <v>685</v>
      </c>
      <c r="X1010" s="66" t="s">
        <v>685</v>
      </c>
      <c r="Y1010" s="66" t="s">
        <v>685</v>
      </c>
      <c r="Z1010" s="72" t="s">
        <v>685</v>
      </c>
      <c r="AA1010" s="72">
        <v>0</v>
      </c>
      <c r="AB1010" s="72">
        <v>0</v>
      </c>
      <c r="AC1010" s="66">
        <v>0</v>
      </c>
    </row>
    <row r="1011" spans="1:30">
      <c r="A1011" s="43" t="s">
        <v>645</v>
      </c>
      <c r="B1011" s="43" t="s">
        <v>663</v>
      </c>
      <c r="C1011" s="72">
        <v>0</v>
      </c>
      <c r="D1011" s="72">
        <v>2.86</v>
      </c>
      <c r="E1011" s="72">
        <v>0.11</v>
      </c>
      <c r="F1011" s="72">
        <v>9.9</v>
      </c>
      <c r="G1011" s="72">
        <v>0</v>
      </c>
      <c r="H1011" s="72">
        <v>-3382.24</v>
      </c>
      <c r="I1011" s="72">
        <v>0</v>
      </c>
      <c r="J1011" s="72">
        <v>-1731.4</v>
      </c>
      <c r="K1011" s="72">
        <v>-4443.84</v>
      </c>
      <c r="L1011" s="72">
        <v>0</v>
      </c>
      <c r="M1011" s="72">
        <v>0</v>
      </c>
      <c r="N1011" s="73">
        <v>-140.21700000000001</v>
      </c>
      <c r="O1011" s="73">
        <v>0</v>
      </c>
      <c r="P1011" s="73">
        <v>0</v>
      </c>
      <c r="Q1011" s="73">
        <v>0</v>
      </c>
      <c r="R1011" s="50">
        <v>0</v>
      </c>
      <c r="S1011" s="50">
        <v>0</v>
      </c>
      <c r="T1011" s="66" t="s">
        <v>685</v>
      </c>
      <c r="U1011" s="66" t="s">
        <v>685</v>
      </c>
      <c r="V1011" s="66" t="s">
        <v>685</v>
      </c>
      <c r="W1011" s="66" t="s">
        <v>685</v>
      </c>
      <c r="X1011" s="66" t="s">
        <v>685</v>
      </c>
      <c r="Y1011" s="66" t="s">
        <v>685</v>
      </c>
      <c r="Z1011" s="72" t="s">
        <v>685</v>
      </c>
      <c r="AA1011" s="72">
        <v>0</v>
      </c>
      <c r="AB1011" s="72">
        <v>0</v>
      </c>
      <c r="AC1011" s="66">
        <v>0</v>
      </c>
    </row>
    <row r="1012" spans="1:30">
      <c r="A1012" s="43" t="s">
        <v>645</v>
      </c>
      <c r="B1012" s="43" t="s">
        <v>243</v>
      </c>
      <c r="C1012" s="72">
        <v>0</v>
      </c>
      <c r="D1012" s="72">
        <v>0</v>
      </c>
      <c r="E1012" s="72">
        <v>0</v>
      </c>
      <c r="F1012" s="72">
        <v>0</v>
      </c>
      <c r="G1012" s="72">
        <v>0</v>
      </c>
      <c r="H1012" s="72">
        <v>0</v>
      </c>
      <c r="I1012" s="72">
        <v>0</v>
      </c>
      <c r="J1012" s="72">
        <v>0</v>
      </c>
      <c r="K1012" s="72">
        <v>0</v>
      </c>
      <c r="L1012" s="72">
        <v>0</v>
      </c>
      <c r="M1012" s="72">
        <v>0</v>
      </c>
      <c r="N1012" s="73">
        <v>0</v>
      </c>
      <c r="O1012" s="73">
        <v>0</v>
      </c>
      <c r="P1012" s="73">
        <v>0</v>
      </c>
      <c r="Q1012" s="73">
        <v>0</v>
      </c>
      <c r="R1012" s="50">
        <v>0</v>
      </c>
      <c r="S1012" s="50">
        <v>0</v>
      </c>
      <c r="T1012" s="66" t="s">
        <v>685</v>
      </c>
      <c r="U1012" s="66" t="s">
        <v>685</v>
      </c>
      <c r="V1012" s="66" t="s">
        <v>685</v>
      </c>
      <c r="W1012" s="66" t="s">
        <v>685</v>
      </c>
      <c r="X1012" s="66" t="s">
        <v>685</v>
      </c>
      <c r="Y1012" s="66" t="s">
        <v>685</v>
      </c>
      <c r="Z1012" s="72" t="s">
        <v>685</v>
      </c>
      <c r="AA1012" s="72">
        <v>0</v>
      </c>
      <c r="AB1012" s="72">
        <v>0</v>
      </c>
      <c r="AC1012" s="66">
        <v>0</v>
      </c>
    </row>
    <row r="1013" spans="1:30">
      <c r="A1013" s="43" t="s">
        <v>645</v>
      </c>
      <c r="B1013" s="43" t="s">
        <v>95</v>
      </c>
      <c r="C1013" s="73">
        <v>109.12549999999999</v>
      </c>
      <c r="D1013" s="73">
        <v>75.3</v>
      </c>
      <c r="E1013" s="73">
        <v>110.4385</v>
      </c>
      <c r="F1013" s="73">
        <v>202.36900000000003</v>
      </c>
      <c r="G1013" s="73">
        <v>69.491500000000002</v>
      </c>
      <c r="H1013" s="73">
        <v>97.743470000000002</v>
      </c>
      <c r="I1013" s="73">
        <v>242.42921999999999</v>
      </c>
      <c r="J1013" s="73">
        <v>98.45911000000001</v>
      </c>
      <c r="K1013" s="73">
        <v>78.22220999999999</v>
      </c>
      <c r="L1013" s="73">
        <v>224.92147999999997</v>
      </c>
      <c r="M1013" s="73">
        <v>307.20371999999998</v>
      </c>
      <c r="N1013" s="73">
        <v>166.81451999999996</v>
      </c>
      <c r="O1013" s="73">
        <v>256.44101000000001</v>
      </c>
      <c r="P1013" s="73">
        <v>148.51542000000001</v>
      </c>
      <c r="Q1013" s="73">
        <f>((800.84+2306.93)*0.055)+(342.81*0.11)+(115.21*0.065)+(5*0.02)</f>
        <v>216.2251</v>
      </c>
      <c r="R1013" s="50">
        <f>((602.73+2166.92)*0.055)+(376.56*0.11)+(59.68*0.065)+(1.63*0.02)</f>
        <v>197.66414999999998</v>
      </c>
      <c r="S1013" s="50">
        <f>((200.76+2442.55)*0.055)+(176.8*0.11)+(12.03*0.02)</f>
        <v>165.07065000000003</v>
      </c>
      <c r="T1013" s="66">
        <f>((604.87+2914.09)*0.055)+(469.12*0.11)+(10*0.065)+(10.49*0.02)+(6.01*0.022)</f>
        <v>246.13802000000001</v>
      </c>
      <c r="U1013" s="66">
        <f>((60.274+2203.949)*0.055)+(93.06*0.11)</f>
        <v>134.76886500000001</v>
      </c>
      <c r="V1013" s="66">
        <f>((119.73+1565.63)*0.055)+(94*0.11)+(20*0.065)+(4*0.02)+(9.6*0.022)</f>
        <v>104.626</v>
      </c>
      <c r="W1013" s="66">
        <f>(154.74+676.498)*0.055</f>
        <v>45.718090000000004</v>
      </c>
      <c r="X1013" s="66">
        <f>(259.864*0.055)+(100*0.11)+(20*0.065)</f>
        <v>26.592519999999997</v>
      </c>
      <c r="Y1013" s="66">
        <f>(257.22*0.055)+(18.8*0.11)</f>
        <v>16.215100000000003</v>
      </c>
      <c r="Z1013" s="66">
        <f>34.092*0.055</f>
        <v>1.8750599999999999</v>
      </c>
      <c r="AA1013" s="66">
        <f>0.8*0.055</f>
        <v>4.4000000000000004E-2</v>
      </c>
      <c r="AB1013" s="66">
        <f>(149.6*0.055)+(12*0.11)</f>
        <v>9.548</v>
      </c>
      <c r="AC1013" s="66">
        <f>(176.8*0.055)+(25*0.11)</f>
        <v>12.474</v>
      </c>
    </row>
    <row r="1014" spans="1:30">
      <c r="A1014" s="43" t="s">
        <v>645</v>
      </c>
      <c r="B1014" s="43" t="s">
        <v>825</v>
      </c>
      <c r="Q1014" s="73">
        <v>0</v>
      </c>
      <c r="R1014" s="50">
        <f>4.57*0.11</f>
        <v>0.50270000000000004</v>
      </c>
      <c r="S1014" s="50">
        <f>4.5*0.11</f>
        <v>0.495</v>
      </c>
      <c r="T1014" s="50">
        <f>17.47*0.11</f>
        <v>1.9217</v>
      </c>
      <c r="U1014" s="66">
        <v>0</v>
      </c>
      <c r="V1014" s="66">
        <f>56.37*0.11</f>
        <v>6.2006999999999994</v>
      </c>
      <c r="W1014" s="66">
        <f>58.187*0.11</f>
        <v>6.4005700000000001</v>
      </c>
      <c r="X1014" s="66">
        <f>5.112*0.11</f>
        <v>0.56232000000000004</v>
      </c>
      <c r="Y1014" s="66">
        <f>49.43*0.11</f>
        <v>5.4372999999999996</v>
      </c>
      <c r="Z1014" s="66">
        <v>0</v>
      </c>
      <c r="AA1014" s="66">
        <v>0</v>
      </c>
      <c r="AB1014" s="66">
        <f>2.3*0.11</f>
        <v>0.253</v>
      </c>
      <c r="AC1014" s="66">
        <v>0</v>
      </c>
    </row>
    <row r="1015" spans="1:30">
      <c r="A1015" s="43" t="s">
        <v>645</v>
      </c>
      <c r="B1015" s="43" t="s">
        <v>574</v>
      </c>
      <c r="C1015" s="72">
        <v>0</v>
      </c>
      <c r="D1015" s="72">
        <v>10.8</v>
      </c>
      <c r="E1015" s="72">
        <v>10.02</v>
      </c>
      <c r="F1015" s="72">
        <v>10.56</v>
      </c>
      <c r="G1015" s="72">
        <v>0</v>
      </c>
      <c r="H1015" s="72">
        <v>0</v>
      </c>
      <c r="I1015" s="72">
        <v>0</v>
      </c>
      <c r="J1015" s="72">
        <v>0</v>
      </c>
      <c r="K1015" s="72">
        <v>0</v>
      </c>
      <c r="L1015" s="72">
        <v>0</v>
      </c>
      <c r="M1015" s="72">
        <v>0</v>
      </c>
      <c r="N1015" s="73">
        <v>0</v>
      </c>
      <c r="O1015" s="73">
        <v>0</v>
      </c>
      <c r="P1015" s="73">
        <v>0</v>
      </c>
      <c r="Q1015" s="73">
        <v>0</v>
      </c>
      <c r="R1015" s="50">
        <v>0</v>
      </c>
      <c r="S1015" s="50">
        <v>0</v>
      </c>
      <c r="T1015" s="66">
        <v>0</v>
      </c>
      <c r="U1015" s="66">
        <v>0</v>
      </c>
      <c r="V1015" s="66">
        <v>0</v>
      </c>
      <c r="W1015" s="66">
        <v>0</v>
      </c>
      <c r="X1015" s="66">
        <v>0</v>
      </c>
      <c r="Y1015" s="66">
        <v>0</v>
      </c>
      <c r="Z1015" s="66">
        <v>0</v>
      </c>
      <c r="AA1015" s="66">
        <v>0</v>
      </c>
      <c r="AB1015" s="66">
        <v>0</v>
      </c>
      <c r="AC1015" s="66">
        <v>0</v>
      </c>
    </row>
    <row r="1016" spans="1:30">
      <c r="A1016" s="43" t="s">
        <v>645</v>
      </c>
      <c r="B1016" s="43" t="s">
        <v>535</v>
      </c>
      <c r="C1016" s="72">
        <v>3.48</v>
      </c>
      <c r="D1016" s="72">
        <v>11.65</v>
      </c>
      <c r="E1016" s="72">
        <v>6.93</v>
      </c>
      <c r="F1016" s="72">
        <v>3.48</v>
      </c>
      <c r="G1016" s="72">
        <v>0.16</v>
      </c>
      <c r="H1016" s="72">
        <v>6.97</v>
      </c>
      <c r="I1016" s="72">
        <v>0</v>
      </c>
      <c r="J1016" s="72">
        <v>1.742</v>
      </c>
      <c r="K1016" s="72">
        <v>1.85</v>
      </c>
      <c r="L1016" s="72">
        <v>0</v>
      </c>
      <c r="M1016" s="72">
        <v>1.742</v>
      </c>
      <c r="N1016" s="73">
        <v>0</v>
      </c>
      <c r="O1016" s="73">
        <v>0</v>
      </c>
      <c r="P1016" s="73">
        <v>0</v>
      </c>
      <c r="Q1016" s="73">
        <v>0</v>
      </c>
      <c r="R1016" s="50">
        <v>0</v>
      </c>
      <c r="S1016" s="50">
        <v>0</v>
      </c>
      <c r="T1016" s="66">
        <v>0</v>
      </c>
      <c r="U1016" s="66">
        <v>0</v>
      </c>
      <c r="V1016" s="66">
        <v>0</v>
      </c>
      <c r="W1016" s="66">
        <v>0</v>
      </c>
      <c r="X1016" s="66">
        <v>0</v>
      </c>
      <c r="Y1016" s="66">
        <v>0</v>
      </c>
      <c r="Z1016" s="66">
        <v>0</v>
      </c>
      <c r="AA1016" s="66">
        <v>0</v>
      </c>
      <c r="AB1016" s="66">
        <v>0</v>
      </c>
      <c r="AC1016" s="66">
        <v>0</v>
      </c>
    </row>
    <row r="1017" spans="1:30">
      <c r="A1017" s="43" t="s">
        <v>765</v>
      </c>
      <c r="B1017" s="43" t="s">
        <v>752</v>
      </c>
      <c r="C1017" s="72">
        <v>455</v>
      </c>
      <c r="D1017" s="72">
        <v>520</v>
      </c>
      <c r="E1017" s="72">
        <v>500</v>
      </c>
      <c r="F1017" s="72">
        <v>392</v>
      </c>
      <c r="G1017" s="72">
        <v>293.94</v>
      </c>
      <c r="H1017" s="72">
        <v>217</v>
      </c>
      <c r="I1017" s="72">
        <v>243</v>
      </c>
      <c r="J1017" s="72">
        <v>235.5</v>
      </c>
      <c r="K1017" s="72">
        <v>243.72</v>
      </c>
      <c r="L1017" s="72">
        <v>241</v>
      </c>
      <c r="M1017" s="72">
        <v>234.804</v>
      </c>
      <c r="N1017" s="73">
        <v>148.66</v>
      </c>
      <c r="O1017" s="73">
        <v>37.835000000000001</v>
      </c>
      <c r="P1017" s="73">
        <v>20.399999999999999</v>
      </c>
      <c r="Q1017" s="73">
        <v>8</v>
      </c>
      <c r="R1017" s="50">
        <v>0</v>
      </c>
      <c r="S1017" s="50">
        <v>0</v>
      </c>
      <c r="T1017" s="66" t="s">
        <v>685</v>
      </c>
      <c r="U1017" s="66" t="s">
        <v>685</v>
      </c>
      <c r="V1017" s="66" t="s">
        <v>685</v>
      </c>
      <c r="W1017" s="66" t="s">
        <v>685</v>
      </c>
      <c r="X1017" s="66" t="s">
        <v>685</v>
      </c>
      <c r="Y1017" s="66" t="s">
        <v>685</v>
      </c>
      <c r="Z1017" s="72" t="s">
        <v>685</v>
      </c>
      <c r="AA1017" s="72">
        <v>0</v>
      </c>
      <c r="AB1017" s="72">
        <v>0</v>
      </c>
      <c r="AC1017" s="72">
        <v>0</v>
      </c>
      <c r="AD1017" s="72"/>
    </row>
    <row r="1018" spans="1:30">
      <c r="A1018" s="43" t="s">
        <v>765</v>
      </c>
      <c r="B1018" s="43" t="s">
        <v>663</v>
      </c>
      <c r="C1018" s="72">
        <v>0.55000000000000004</v>
      </c>
      <c r="D1018" s="72">
        <v>0.55000000000000004</v>
      </c>
      <c r="E1018" s="72">
        <v>1.32</v>
      </c>
      <c r="F1018" s="72">
        <v>1.54</v>
      </c>
      <c r="G1018" s="72">
        <v>1.65</v>
      </c>
      <c r="H1018" s="72">
        <v>1.65</v>
      </c>
      <c r="I1018" s="72">
        <v>0</v>
      </c>
      <c r="J1018" s="72">
        <v>0.22</v>
      </c>
      <c r="K1018" s="72">
        <v>0</v>
      </c>
      <c r="L1018" s="72">
        <v>0</v>
      </c>
      <c r="M1018" s="72">
        <v>5.5E-2</v>
      </c>
      <c r="N1018" s="73">
        <v>0</v>
      </c>
      <c r="O1018" s="73">
        <v>0</v>
      </c>
      <c r="P1018" s="73">
        <v>0</v>
      </c>
      <c r="Q1018" s="73">
        <v>0</v>
      </c>
      <c r="R1018" s="50">
        <v>0</v>
      </c>
      <c r="S1018" s="50">
        <v>0</v>
      </c>
      <c r="T1018" s="66" t="s">
        <v>685</v>
      </c>
      <c r="U1018" s="66" t="s">
        <v>685</v>
      </c>
      <c r="V1018" s="66" t="s">
        <v>685</v>
      </c>
      <c r="W1018" s="66" t="s">
        <v>685</v>
      </c>
      <c r="X1018" s="66" t="s">
        <v>685</v>
      </c>
      <c r="Y1018" s="66" t="s">
        <v>685</v>
      </c>
      <c r="Z1018" s="72" t="s">
        <v>685</v>
      </c>
      <c r="AA1018" s="72">
        <v>0</v>
      </c>
      <c r="AB1018" s="72">
        <v>0</v>
      </c>
      <c r="AC1018" s="72">
        <v>0</v>
      </c>
      <c r="AD1018" s="72"/>
    </row>
    <row r="1019" spans="1:30">
      <c r="A1019" s="43" t="s">
        <v>765</v>
      </c>
      <c r="B1019" s="43" t="s">
        <v>243</v>
      </c>
      <c r="C1019" s="72">
        <v>22</v>
      </c>
      <c r="D1019" s="72">
        <v>23.2</v>
      </c>
      <c r="E1019" s="72">
        <v>66</v>
      </c>
      <c r="F1019" s="72">
        <v>78</v>
      </c>
      <c r="G1019" s="72">
        <v>76</v>
      </c>
      <c r="H1019" s="72">
        <v>76</v>
      </c>
      <c r="I1019" s="72">
        <v>0</v>
      </c>
      <c r="J1019" s="72">
        <v>97.6</v>
      </c>
      <c r="K1019" s="72">
        <v>0</v>
      </c>
      <c r="L1019" s="72">
        <v>0</v>
      </c>
      <c r="M1019" s="72">
        <v>0</v>
      </c>
      <c r="N1019" s="73">
        <v>0</v>
      </c>
      <c r="O1019" s="73">
        <v>0</v>
      </c>
      <c r="P1019" s="73">
        <v>0</v>
      </c>
      <c r="Q1019" s="73">
        <v>0</v>
      </c>
      <c r="R1019" s="50">
        <v>0</v>
      </c>
      <c r="S1019" s="50">
        <v>0</v>
      </c>
      <c r="T1019" s="66" t="s">
        <v>685</v>
      </c>
      <c r="U1019" s="66" t="s">
        <v>685</v>
      </c>
      <c r="V1019" s="66" t="s">
        <v>685</v>
      </c>
      <c r="W1019" s="66" t="s">
        <v>685</v>
      </c>
      <c r="X1019" s="66" t="s">
        <v>685</v>
      </c>
      <c r="Y1019" s="66" t="s">
        <v>685</v>
      </c>
      <c r="Z1019" s="72" t="s">
        <v>685</v>
      </c>
      <c r="AA1019" s="72">
        <v>0</v>
      </c>
      <c r="AB1019" s="72">
        <v>0</v>
      </c>
      <c r="AC1019" s="72">
        <v>0</v>
      </c>
      <c r="AD1019" s="72"/>
    </row>
    <row r="1020" spans="1:30">
      <c r="A1020" s="43" t="s">
        <v>765</v>
      </c>
      <c r="B1020" s="43" t="s">
        <v>95</v>
      </c>
      <c r="C1020" s="73">
        <v>31.7</v>
      </c>
      <c r="D1020" s="73">
        <v>39.65</v>
      </c>
      <c r="E1020" s="73">
        <v>42.6</v>
      </c>
      <c r="F1020" s="73">
        <v>45.35</v>
      </c>
      <c r="G1020" s="73">
        <v>37.414999999999999</v>
      </c>
      <c r="H1020" s="73">
        <v>37.414999999999999</v>
      </c>
      <c r="I1020" s="73">
        <v>59.7</v>
      </c>
      <c r="J1020" s="73">
        <v>66.099999999999994</v>
      </c>
      <c r="K1020" s="73">
        <v>0</v>
      </c>
      <c r="L1020" s="73">
        <v>120.05500000000001</v>
      </c>
      <c r="M1020" s="73">
        <v>132.45100000000002</v>
      </c>
      <c r="N1020" s="73">
        <v>156.403955</v>
      </c>
      <c r="O1020" s="73">
        <v>167.98975500000003</v>
      </c>
      <c r="P1020" s="73">
        <v>173.65</v>
      </c>
      <c r="Q1020" s="73">
        <f>(2816*0.055)+(478*0.11)+(1*0.02)</f>
        <v>207.48</v>
      </c>
      <c r="R1020" s="50">
        <v>234.92</v>
      </c>
      <c r="S1020" s="50">
        <f>(3120*0.055)+(468*0.11)+(8.7*0.02)+(0.2*0.07)</f>
        <v>223.268</v>
      </c>
      <c r="T1020" s="66">
        <f>(2933*0.055)+(342*0.11)+(2.7*0.02)+(13.42*0.07)</f>
        <v>199.92840000000001</v>
      </c>
      <c r="U1020" s="66">
        <f>(3253.967*0.055)+(206.5*0.11)+(53.844*0.02)+(1.29*0.07)</f>
        <v>202.85036500000001</v>
      </c>
      <c r="V1020" s="66">
        <f>(3516.708*0.055)+(145*0.11)+(19.2856*0.02)+(15.275*0.07)</f>
        <v>210.823902</v>
      </c>
      <c r="W1020" s="66">
        <f>(3431.003*0.055)+(93.126*0.02)+(30.45*0.07)</f>
        <v>192.699185</v>
      </c>
      <c r="X1020" s="66">
        <f>(3522.614*0.055)+(44.622*0.02)+(16*0.07)</f>
        <v>195.75621000000001</v>
      </c>
      <c r="Y1020" s="66">
        <f>(3565.106*0.055)+(16.522*0.02)+(13.9*0.07)</f>
        <v>197.38427000000004</v>
      </c>
      <c r="Z1020" s="66">
        <f>(3516.232*0.055)+(16.344*0.02)+(26.865*0.07)</f>
        <v>195.60019</v>
      </c>
      <c r="AA1020" s="66">
        <f>(3558.5525*0.055)+(16.344*0.02)+(21.46*0.07)</f>
        <v>197.54946749999996</v>
      </c>
      <c r="AB1020" s="66">
        <f>2585.024*0.055</f>
        <v>142.17632</v>
      </c>
      <c r="AC1020" s="66">
        <f>(2574.948*0.055)+(8.172*0.02)</f>
        <v>141.78558000000001</v>
      </c>
    </row>
    <row r="1021" spans="1:30">
      <c r="A1021" s="43" t="s">
        <v>765</v>
      </c>
      <c r="B1021" s="43" t="s">
        <v>825</v>
      </c>
      <c r="Q1021" s="73">
        <f>6200*0.11</f>
        <v>682</v>
      </c>
      <c r="R1021" s="50">
        <f>1728*0.11</f>
        <v>190.08</v>
      </c>
      <c r="S1021" s="50">
        <f>1896*0.11</f>
        <v>208.56</v>
      </c>
      <c r="T1021" s="50">
        <f>1972*0.11</f>
        <v>216.92</v>
      </c>
      <c r="U1021" s="50">
        <f>1976*0.11</f>
        <v>217.36</v>
      </c>
      <c r="V1021" s="66">
        <f>2908*0.11</f>
        <v>319.88</v>
      </c>
      <c r="W1021" s="66">
        <f>3297.68*0.11</f>
        <v>362.7448</v>
      </c>
      <c r="X1021" s="66">
        <f>3237.551*0.11</f>
        <v>356.13060999999999</v>
      </c>
      <c r="Y1021" s="66">
        <f>1878.9982*0.11</f>
        <v>206.68980200000001</v>
      </c>
      <c r="Z1021" s="66">
        <f>1145.495*0.11</f>
        <v>126.00444999999999</v>
      </c>
      <c r="AA1021" s="66">
        <f>687.29*0.11</f>
        <v>75.601900000000001</v>
      </c>
      <c r="AB1021" s="66">
        <f>147.66*0.11</f>
        <v>16.242599999999999</v>
      </c>
      <c r="AC1021" s="66">
        <f>87.5*0.11</f>
        <v>9.625</v>
      </c>
    </row>
    <row r="1022" spans="1:30">
      <c r="A1022" s="43" t="s">
        <v>765</v>
      </c>
      <c r="B1022" s="43" t="s">
        <v>574</v>
      </c>
      <c r="C1022" s="72">
        <v>84</v>
      </c>
      <c r="D1022" s="72">
        <v>180</v>
      </c>
      <c r="E1022" s="72">
        <v>222</v>
      </c>
      <c r="F1022" s="72">
        <v>0</v>
      </c>
      <c r="G1022" s="72">
        <v>57</v>
      </c>
      <c r="H1022" s="72">
        <v>57</v>
      </c>
      <c r="I1022" s="72">
        <v>51</v>
      </c>
      <c r="J1022" s="72">
        <v>48</v>
      </c>
      <c r="K1022" s="72">
        <v>258</v>
      </c>
      <c r="L1022" s="72">
        <v>57.6</v>
      </c>
      <c r="M1022" s="72">
        <v>93.6</v>
      </c>
      <c r="N1022" s="73">
        <v>96</v>
      </c>
      <c r="O1022" s="73">
        <v>92.4</v>
      </c>
      <c r="P1022" s="73">
        <v>83.4</v>
      </c>
      <c r="Q1022" s="73">
        <f>123*0.6</f>
        <v>73.8</v>
      </c>
      <c r="R1022" s="50">
        <f>128*0.6</f>
        <v>76.8</v>
      </c>
      <c r="S1022" s="50">
        <f>116*0.6</f>
        <v>69.599999999999994</v>
      </c>
      <c r="T1022" s="66">
        <f>116.67*0.6</f>
        <v>70.001999999999995</v>
      </c>
      <c r="U1022" s="66">
        <f>83.3*0.6</f>
        <v>49.98</v>
      </c>
      <c r="V1022" s="66">
        <f>43.105*0.6</f>
        <v>25.862999999999996</v>
      </c>
      <c r="W1022" s="66">
        <v>0</v>
      </c>
      <c r="X1022" s="66">
        <v>0</v>
      </c>
      <c r="Y1022" s="66">
        <v>0</v>
      </c>
      <c r="Z1022" s="66">
        <v>0</v>
      </c>
      <c r="AA1022" s="66">
        <v>0</v>
      </c>
      <c r="AB1022" s="66">
        <v>0</v>
      </c>
      <c r="AC1022" s="66">
        <v>0</v>
      </c>
    </row>
    <row r="1023" spans="1:30">
      <c r="A1023" s="43" t="s">
        <v>765</v>
      </c>
      <c r="B1023" s="43" t="s">
        <v>535</v>
      </c>
      <c r="C1023" s="72">
        <v>0.05</v>
      </c>
      <c r="D1023" s="72">
        <v>0.05</v>
      </c>
      <c r="E1023" s="72">
        <v>0.1</v>
      </c>
      <c r="F1023" s="72">
        <v>1</v>
      </c>
      <c r="G1023" s="72">
        <v>0.2</v>
      </c>
      <c r="H1023" s="72">
        <v>0.2</v>
      </c>
      <c r="I1023" s="72">
        <v>0.02</v>
      </c>
      <c r="J1023" s="72">
        <v>0</v>
      </c>
      <c r="K1023" s="72">
        <v>0</v>
      </c>
      <c r="L1023" s="72">
        <v>0</v>
      </c>
      <c r="M1023" s="72">
        <v>0</v>
      </c>
      <c r="N1023" s="73">
        <v>0</v>
      </c>
      <c r="O1023" s="73">
        <v>0</v>
      </c>
      <c r="P1023" s="73">
        <v>0</v>
      </c>
      <c r="Q1023" s="73">
        <v>0</v>
      </c>
      <c r="R1023" s="50">
        <v>0</v>
      </c>
      <c r="S1023" s="50">
        <v>0</v>
      </c>
      <c r="T1023" s="66">
        <v>0</v>
      </c>
      <c r="U1023" s="66">
        <v>0</v>
      </c>
      <c r="V1023" s="66">
        <v>0</v>
      </c>
      <c r="W1023" s="66">
        <v>0</v>
      </c>
      <c r="X1023" s="66">
        <v>0</v>
      </c>
      <c r="Y1023" s="66">
        <v>0</v>
      </c>
      <c r="Z1023" s="66">
        <v>0</v>
      </c>
      <c r="AA1023" s="66">
        <v>0</v>
      </c>
      <c r="AB1023" s="66">
        <v>0</v>
      </c>
      <c r="AC1023" s="66">
        <v>0</v>
      </c>
    </row>
    <row r="1024" spans="1:30">
      <c r="A1024" s="43" t="s">
        <v>571</v>
      </c>
      <c r="B1024" s="43" t="s">
        <v>752</v>
      </c>
      <c r="C1024" s="72">
        <v>2350.1579999999999</v>
      </c>
      <c r="D1024" s="72">
        <v>1673.65</v>
      </c>
      <c r="E1024" s="72">
        <v>1364.4</v>
      </c>
      <c r="F1024" s="72">
        <v>1060.8</v>
      </c>
      <c r="G1024" s="72">
        <v>1040.74</v>
      </c>
      <c r="H1024" s="72">
        <v>1045.02</v>
      </c>
      <c r="I1024" s="72">
        <v>1023.35</v>
      </c>
      <c r="J1024" s="72">
        <v>960.69</v>
      </c>
      <c r="K1024" s="72">
        <v>758.56</v>
      </c>
      <c r="L1024" s="72">
        <v>746.24</v>
      </c>
      <c r="M1024" s="72">
        <v>710.54</v>
      </c>
      <c r="N1024" s="73">
        <v>394.74</v>
      </c>
      <c r="O1024" s="73">
        <v>268.74</v>
      </c>
      <c r="P1024" s="73">
        <v>247.68</v>
      </c>
      <c r="Q1024" s="73">
        <f>17.55+110+(5.07*0.6)</f>
        <v>130.59199999999998</v>
      </c>
      <c r="R1024" s="50">
        <v>0</v>
      </c>
      <c r="S1024" s="50">
        <v>0</v>
      </c>
      <c r="T1024" s="66">
        <v>0</v>
      </c>
      <c r="U1024" s="66">
        <v>0</v>
      </c>
      <c r="V1024" s="66" t="s">
        <v>685</v>
      </c>
      <c r="W1024" s="66" t="s">
        <v>685</v>
      </c>
      <c r="X1024" s="66" t="s">
        <v>685</v>
      </c>
      <c r="Y1024" s="66" t="s">
        <v>685</v>
      </c>
      <c r="Z1024" s="66" t="s">
        <v>685</v>
      </c>
      <c r="AA1024" s="66" t="s">
        <v>685</v>
      </c>
      <c r="AB1024" s="66" t="s">
        <v>685</v>
      </c>
      <c r="AC1024" s="66">
        <v>0</v>
      </c>
    </row>
    <row r="1025" spans="1:30">
      <c r="A1025" s="43" t="s">
        <v>571</v>
      </c>
      <c r="B1025" s="43" t="s">
        <v>663</v>
      </c>
      <c r="C1025" s="72">
        <v>0</v>
      </c>
      <c r="D1025" s="72">
        <v>0</v>
      </c>
      <c r="E1025" s="72">
        <v>0</v>
      </c>
      <c r="F1025" s="72">
        <v>0</v>
      </c>
      <c r="G1025" s="72">
        <v>0</v>
      </c>
      <c r="H1025" s="72">
        <v>0</v>
      </c>
      <c r="I1025" s="72">
        <v>0</v>
      </c>
      <c r="J1025" s="72">
        <v>0</v>
      </c>
      <c r="K1025" s="72">
        <v>0</v>
      </c>
      <c r="L1025" s="72">
        <v>0</v>
      </c>
      <c r="M1025" s="72">
        <v>0</v>
      </c>
      <c r="N1025" s="73">
        <v>0</v>
      </c>
      <c r="O1025" s="73">
        <v>0</v>
      </c>
      <c r="P1025" s="73">
        <v>0</v>
      </c>
      <c r="Q1025" s="73">
        <v>0</v>
      </c>
      <c r="R1025" s="50">
        <v>0</v>
      </c>
      <c r="S1025" s="50">
        <v>0</v>
      </c>
      <c r="T1025" s="66">
        <v>0</v>
      </c>
      <c r="U1025" s="66">
        <v>0</v>
      </c>
      <c r="V1025" s="66" t="s">
        <v>685</v>
      </c>
      <c r="W1025" s="66" t="s">
        <v>685</v>
      </c>
      <c r="X1025" s="66" t="s">
        <v>685</v>
      </c>
      <c r="Y1025" s="66" t="s">
        <v>685</v>
      </c>
      <c r="Z1025" s="66" t="s">
        <v>685</v>
      </c>
      <c r="AA1025" s="66" t="s">
        <v>685</v>
      </c>
      <c r="AB1025" s="66" t="s">
        <v>685</v>
      </c>
      <c r="AC1025" s="66">
        <v>0</v>
      </c>
    </row>
    <row r="1026" spans="1:30">
      <c r="A1026" s="43" t="s">
        <v>571</v>
      </c>
      <c r="B1026" s="43" t="s">
        <v>243</v>
      </c>
      <c r="C1026" s="72">
        <v>142</v>
      </c>
      <c r="D1026" s="72">
        <v>159</v>
      </c>
      <c r="E1026" s="72">
        <v>119</v>
      </c>
      <c r="F1026" s="72">
        <v>116</v>
      </c>
      <c r="G1026" s="72">
        <v>100.5</v>
      </c>
      <c r="H1026" s="72">
        <v>107.5</v>
      </c>
      <c r="I1026" s="72">
        <v>92.1</v>
      </c>
      <c r="J1026" s="72">
        <v>72.2</v>
      </c>
      <c r="K1026" s="72">
        <v>11.5</v>
      </c>
      <c r="L1026" s="72">
        <v>4.5999999999999996</v>
      </c>
      <c r="M1026" s="72">
        <v>0.3</v>
      </c>
      <c r="N1026" s="73">
        <v>1.18</v>
      </c>
      <c r="O1026" s="73">
        <v>0.67</v>
      </c>
      <c r="P1026" s="73">
        <v>0.62</v>
      </c>
      <c r="Q1026" s="73">
        <f>(0.05*3)+(0.1*10)</f>
        <v>1.1499999999999999</v>
      </c>
      <c r="R1026" s="50">
        <v>0</v>
      </c>
      <c r="S1026" s="50">
        <v>0</v>
      </c>
      <c r="T1026" s="66">
        <v>0</v>
      </c>
      <c r="U1026" s="66">
        <v>0</v>
      </c>
      <c r="V1026" s="66" t="s">
        <v>685</v>
      </c>
      <c r="W1026" s="66" t="s">
        <v>685</v>
      </c>
      <c r="X1026" s="66" t="s">
        <v>685</v>
      </c>
      <c r="Y1026" s="66" t="s">
        <v>685</v>
      </c>
      <c r="Z1026" s="66" t="s">
        <v>685</v>
      </c>
      <c r="AA1026" s="66" t="s">
        <v>685</v>
      </c>
      <c r="AB1026" s="66" t="s">
        <v>685</v>
      </c>
      <c r="AC1026" s="66">
        <v>0</v>
      </c>
    </row>
    <row r="1027" spans="1:30">
      <c r="A1027" s="43" t="s">
        <v>571</v>
      </c>
      <c r="B1027" s="43" t="s">
        <v>95</v>
      </c>
      <c r="C1027" s="73">
        <v>34.031799999999997</v>
      </c>
      <c r="D1027" s="73">
        <v>35.24015</v>
      </c>
      <c r="E1027" s="73">
        <v>37.111800000000002</v>
      </c>
      <c r="F1027" s="73">
        <v>38.337199999999996</v>
      </c>
      <c r="G1027" s="73">
        <v>38.854750000000003</v>
      </c>
      <c r="H1027" s="73">
        <v>40.099400000000003</v>
      </c>
      <c r="I1027" s="73">
        <v>47.003</v>
      </c>
      <c r="J1027" s="73">
        <v>50.05</v>
      </c>
      <c r="K1027" s="73">
        <v>53.548000000000002</v>
      </c>
      <c r="L1027" s="73">
        <v>62.7</v>
      </c>
      <c r="M1027" s="73">
        <v>69.52</v>
      </c>
      <c r="N1027" s="73">
        <v>102.70700000000001</v>
      </c>
      <c r="O1027" s="73">
        <v>122.39919999999999</v>
      </c>
      <c r="P1027" s="73">
        <v>152.86699999999999</v>
      </c>
      <c r="Q1027" s="73">
        <v>0</v>
      </c>
      <c r="R1027" s="50">
        <f>(2841.51*0.055)+(11.19*0.11)+(16.57*0.065)</f>
        <v>158.59100000000001</v>
      </c>
      <c r="S1027" s="50">
        <f>(1279.05*0.055)+(4.75*0.11)+(15.5*0.065)</f>
        <v>71.877749999999992</v>
      </c>
      <c r="T1027" s="66">
        <f>(1813.99*0.055)+(7.33*0.11)+(20.99*0.065)</f>
        <v>101.9401</v>
      </c>
      <c r="U1027" s="66">
        <f>(2064.99*0.055)+(8.1*0.11)+(26.02*0.065)</f>
        <v>116.15674999999999</v>
      </c>
      <c r="V1027" s="66">
        <f>(1800.49718484349*0.055)+(8.84*0.11)+(28.41*0.065)</f>
        <v>101.84639516639194</v>
      </c>
      <c r="W1027" s="66">
        <f>(1781*0.055)+(9.6*0.11)+(15.73*0.065)</f>
        <v>100.03345</v>
      </c>
      <c r="X1027" s="66">
        <f>(1643*0.055)+(10.5*0.11)+(11.84*0.065)</f>
        <v>92.289599999999993</v>
      </c>
      <c r="Y1027" s="66">
        <f>(1680*0.055)+(11*0.11)+(12*0.065)</f>
        <v>94.39</v>
      </c>
      <c r="Z1027" s="66">
        <f>(1700*0.055)+(11*0.11)+(13*0.065)</f>
        <v>95.554999999999993</v>
      </c>
      <c r="AA1027" s="66">
        <f>(1750*0.055)+(9.5*0.11)+(9*0.065)</f>
        <v>97.88</v>
      </c>
      <c r="AB1027" s="66">
        <f>(1780*0.055)+(8*0.11)+(5*0.065)</f>
        <v>99.105000000000004</v>
      </c>
      <c r="AC1027" s="66">
        <f>(1783.09*0.055)+(4.64*0.11)+(3.45*0.065)</f>
        <v>98.804599999999994</v>
      </c>
    </row>
    <row r="1028" spans="1:30">
      <c r="A1028" s="43" t="s">
        <v>571</v>
      </c>
      <c r="B1028" s="43" t="s">
        <v>825</v>
      </c>
      <c r="Q1028" s="73">
        <v>0</v>
      </c>
      <c r="R1028" s="50">
        <f>251.4*0.11</f>
        <v>27.654</v>
      </c>
      <c r="S1028" s="50">
        <f>78.13*0.11</f>
        <v>8.5942999999999987</v>
      </c>
      <c r="T1028" s="50">
        <f>140.16*0.11</f>
        <v>15.4176</v>
      </c>
      <c r="U1028" s="50">
        <f>149.68*0.11</f>
        <v>16.4648</v>
      </c>
      <c r="V1028" s="66">
        <f>110.85*0.11</f>
        <v>12.1935</v>
      </c>
      <c r="W1028" s="66">
        <f>90.46*0.11</f>
        <v>9.9505999999999997</v>
      </c>
      <c r="X1028" s="66">
        <f>75.68*0.11</f>
        <v>8.3248000000000015</v>
      </c>
      <c r="Y1028" s="66">
        <f>80*0.11</f>
        <v>8.8000000000000007</v>
      </c>
      <c r="Z1028" s="66">
        <f>83*0.11</f>
        <v>9.1300000000000008</v>
      </c>
      <c r="AA1028" s="66">
        <f>87*0.11</f>
        <v>9.57</v>
      </c>
      <c r="AB1028" s="66">
        <f>90*0.11</f>
        <v>9.9</v>
      </c>
      <c r="AC1028" s="66">
        <f>73.36*0.11</f>
        <v>8.0695999999999994</v>
      </c>
    </row>
    <row r="1029" spans="1:30">
      <c r="A1029" s="43" t="s">
        <v>571</v>
      </c>
      <c r="B1029" s="43" t="s">
        <v>574</v>
      </c>
      <c r="C1029" s="72">
        <v>37.200000000000003</v>
      </c>
      <c r="D1029" s="72">
        <v>57</v>
      </c>
      <c r="E1029" s="72">
        <v>60</v>
      </c>
      <c r="F1029" s="72">
        <v>63.6</v>
      </c>
      <c r="G1029" s="72">
        <v>57.6</v>
      </c>
      <c r="H1029" s="72">
        <v>60</v>
      </c>
      <c r="I1029" s="72">
        <v>65.400000000000006</v>
      </c>
      <c r="J1029" s="72">
        <v>52.8</v>
      </c>
      <c r="K1029" s="72">
        <v>49.8</v>
      </c>
      <c r="L1029" s="72">
        <v>42</v>
      </c>
      <c r="M1029" s="72">
        <v>38.003999999999998</v>
      </c>
      <c r="N1029" s="73">
        <v>36.72</v>
      </c>
      <c r="O1029" s="73">
        <v>35.741999999999997</v>
      </c>
      <c r="P1029" s="73">
        <v>29.795999999999999</v>
      </c>
      <c r="Q1029" s="73">
        <f>41.62*0.6</f>
        <v>24.971999999999998</v>
      </c>
      <c r="R1029" s="50">
        <f>32.64*0.6</f>
        <v>19.584</v>
      </c>
      <c r="S1029" s="50">
        <f>30.19*0.6</f>
        <v>18.114000000000001</v>
      </c>
      <c r="T1029" s="66">
        <f>18.77*0.6</f>
        <v>11.261999999999999</v>
      </c>
      <c r="U1029" s="66">
        <f>18.39*0.6</f>
        <v>11.034000000000001</v>
      </c>
      <c r="V1029" s="66">
        <v>0</v>
      </c>
      <c r="W1029" s="66">
        <v>0</v>
      </c>
      <c r="X1029" s="66">
        <v>0</v>
      </c>
      <c r="Y1029" s="66">
        <v>0</v>
      </c>
      <c r="Z1029" s="66">
        <v>0</v>
      </c>
      <c r="AA1029" s="66">
        <v>0</v>
      </c>
      <c r="AB1029" s="66">
        <v>0</v>
      </c>
      <c r="AC1029" s="66">
        <v>0</v>
      </c>
    </row>
    <row r="1030" spans="1:30">
      <c r="A1030" s="43" t="s">
        <v>571</v>
      </c>
      <c r="B1030" s="43" t="s">
        <v>535</v>
      </c>
      <c r="C1030" s="72">
        <v>0.45</v>
      </c>
      <c r="D1030" s="72">
        <v>0.5</v>
      </c>
      <c r="E1030" s="72">
        <v>0.55000000000000004</v>
      </c>
      <c r="F1030" s="72">
        <v>0.9</v>
      </c>
      <c r="G1030" s="72">
        <v>1</v>
      </c>
      <c r="H1030" s="72">
        <v>0.8</v>
      </c>
      <c r="I1030" s="72">
        <v>0.75</v>
      </c>
      <c r="J1030" s="72">
        <v>0.8</v>
      </c>
      <c r="K1030" s="72">
        <v>0.2</v>
      </c>
      <c r="L1030" s="72">
        <v>0.04</v>
      </c>
      <c r="M1030" s="72">
        <v>0.01</v>
      </c>
      <c r="N1030" s="73">
        <v>1.2E-2</v>
      </c>
      <c r="O1030" s="73">
        <v>3.0000000000000001E-3</v>
      </c>
      <c r="P1030" s="73">
        <v>0.04</v>
      </c>
      <c r="Q1030" s="73">
        <f>0.03*0.1</f>
        <v>3.0000000000000001E-3</v>
      </c>
      <c r="R1030" s="50">
        <f>0.05*0.1</f>
        <v>5.000000000000001E-3</v>
      </c>
      <c r="S1030" s="50">
        <f>0.01*0.1</f>
        <v>1E-3</v>
      </c>
      <c r="T1030" s="66">
        <f>0.05*0.1</f>
        <v>5.000000000000001E-3</v>
      </c>
      <c r="U1030" s="66">
        <f>0.05*0.1</f>
        <v>5.000000000000001E-3</v>
      </c>
      <c r="V1030" s="66">
        <v>0</v>
      </c>
      <c r="W1030" s="66">
        <v>0</v>
      </c>
      <c r="X1030" s="66">
        <v>0</v>
      </c>
      <c r="Y1030" s="66">
        <v>0</v>
      </c>
      <c r="Z1030" s="66">
        <v>0</v>
      </c>
      <c r="AA1030" s="66">
        <v>0</v>
      </c>
      <c r="AB1030" s="66">
        <v>0</v>
      </c>
      <c r="AC1030" s="66">
        <v>0</v>
      </c>
    </row>
    <row r="1031" spans="1:30">
      <c r="A1031" s="43" t="s">
        <v>572</v>
      </c>
      <c r="B1031" s="43" t="s">
        <v>752</v>
      </c>
      <c r="C1031" s="72">
        <v>22.97</v>
      </c>
      <c r="D1031" s="72">
        <v>30.4</v>
      </c>
      <c r="E1031" s="72">
        <v>28.7</v>
      </c>
      <c r="F1031" s="72">
        <v>26.65</v>
      </c>
      <c r="G1031" s="72">
        <v>24.93</v>
      </c>
      <c r="H1031" s="72">
        <v>23.32</v>
      </c>
      <c r="I1031" s="72">
        <v>11.76</v>
      </c>
      <c r="J1031" s="72">
        <v>10.6</v>
      </c>
      <c r="K1031" s="72">
        <v>10.039999999999999</v>
      </c>
      <c r="L1031" s="72">
        <v>10.01</v>
      </c>
      <c r="M1031" s="72">
        <v>9.5399999999999991</v>
      </c>
      <c r="N1031" s="73">
        <v>6.6</v>
      </c>
      <c r="O1031" s="73">
        <v>4.0999999999999996</v>
      </c>
      <c r="P1031" s="73">
        <v>2</v>
      </c>
      <c r="Q1031" s="73">
        <v>0</v>
      </c>
      <c r="R1031" s="50">
        <v>0</v>
      </c>
      <c r="S1031" s="50">
        <v>0</v>
      </c>
      <c r="T1031" s="66">
        <v>0</v>
      </c>
      <c r="U1031" s="66" t="s">
        <v>685</v>
      </c>
      <c r="V1031" s="66" t="s">
        <v>685</v>
      </c>
      <c r="W1031" s="66" t="s">
        <v>685</v>
      </c>
      <c r="X1031" s="66" t="s">
        <v>685</v>
      </c>
      <c r="Y1031" s="66" t="s">
        <v>685</v>
      </c>
      <c r="Z1031" s="72" t="s">
        <v>685</v>
      </c>
      <c r="AA1031" s="72">
        <v>0</v>
      </c>
      <c r="AB1031" s="72">
        <v>0</v>
      </c>
      <c r="AC1031" s="72">
        <v>0</v>
      </c>
      <c r="AD1031" s="72"/>
    </row>
    <row r="1032" spans="1:30">
      <c r="A1032" s="43" t="s">
        <v>572</v>
      </c>
      <c r="B1032" s="43" t="s">
        <v>663</v>
      </c>
      <c r="C1032" s="72">
        <v>0.13200000000000001</v>
      </c>
      <c r="D1032" s="72">
        <v>0.495</v>
      </c>
      <c r="E1032" s="72">
        <v>1.35</v>
      </c>
      <c r="F1032" s="72">
        <v>0.46200000000000002</v>
      </c>
      <c r="G1032" s="72">
        <v>1.0900000000000001</v>
      </c>
      <c r="H1032" s="72">
        <v>0.41799999999999998</v>
      </c>
      <c r="I1032" s="72">
        <v>0.20899999999999999</v>
      </c>
      <c r="J1032" s="72">
        <v>0</v>
      </c>
      <c r="K1032" s="72">
        <v>0</v>
      </c>
      <c r="L1032" s="72">
        <v>0</v>
      </c>
      <c r="M1032" s="72">
        <v>0</v>
      </c>
      <c r="N1032" s="73">
        <v>0</v>
      </c>
      <c r="O1032" s="73">
        <v>0</v>
      </c>
      <c r="P1032" s="73">
        <v>0</v>
      </c>
      <c r="Q1032" s="73">
        <v>0</v>
      </c>
      <c r="R1032" s="50">
        <v>0</v>
      </c>
      <c r="S1032" s="50">
        <v>0</v>
      </c>
      <c r="T1032" s="66">
        <v>0</v>
      </c>
      <c r="U1032" s="66" t="s">
        <v>685</v>
      </c>
      <c r="V1032" s="66" t="s">
        <v>685</v>
      </c>
      <c r="W1032" s="66" t="s">
        <v>685</v>
      </c>
      <c r="X1032" s="66" t="s">
        <v>685</v>
      </c>
      <c r="Y1032" s="66" t="s">
        <v>685</v>
      </c>
      <c r="Z1032" s="72" t="s">
        <v>685</v>
      </c>
      <c r="AA1032" s="72">
        <v>0</v>
      </c>
      <c r="AB1032" s="72">
        <v>0</v>
      </c>
      <c r="AC1032" s="72">
        <v>0</v>
      </c>
      <c r="AD1032" s="72"/>
    </row>
    <row r="1033" spans="1:30">
      <c r="A1033" s="43" t="s">
        <v>572</v>
      </c>
      <c r="B1033" s="43" t="s">
        <v>243</v>
      </c>
      <c r="C1033" s="72">
        <v>0</v>
      </c>
      <c r="D1033" s="72">
        <v>0</v>
      </c>
      <c r="E1033" s="72">
        <v>0</v>
      </c>
      <c r="F1033" s="72">
        <v>0</v>
      </c>
      <c r="G1033" s="72">
        <v>0</v>
      </c>
      <c r="H1033" s="72">
        <v>0</v>
      </c>
      <c r="I1033" s="72">
        <v>0</v>
      </c>
      <c r="J1033" s="72">
        <v>0</v>
      </c>
      <c r="K1033" s="72">
        <v>0</v>
      </c>
      <c r="L1033" s="72">
        <v>0</v>
      </c>
      <c r="M1033" s="72">
        <v>0</v>
      </c>
      <c r="N1033" s="73">
        <v>0</v>
      </c>
      <c r="O1033" s="73">
        <v>0</v>
      </c>
      <c r="P1033" s="73">
        <v>0</v>
      </c>
      <c r="Q1033" s="73">
        <v>0</v>
      </c>
      <c r="R1033" s="50">
        <v>0</v>
      </c>
      <c r="S1033" s="50">
        <v>0</v>
      </c>
      <c r="T1033" s="66">
        <v>0</v>
      </c>
      <c r="U1033" s="66" t="s">
        <v>685</v>
      </c>
      <c r="V1033" s="66" t="s">
        <v>685</v>
      </c>
      <c r="W1033" s="66" t="s">
        <v>685</v>
      </c>
      <c r="X1033" s="66" t="s">
        <v>685</v>
      </c>
      <c r="Y1033" s="66" t="s">
        <v>685</v>
      </c>
      <c r="Z1033" s="72" t="s">
        <v>685</v>
      </c>
      <c r="AA1033" s="72">
        <v>0</v>
      </c>
      <c r="AB1033" s="72">
        <v>0</v>
      </c>
      <c r="AC1033" s="72">
        <v>0</v>
      </c>
      <c r="AD1033" s="72"/>
    </row>
    <row r="1034" spans="1:30">
      <c r="A1034" s="43" t="s">
        <v>572</v>
      </c>
      <c r="B1034" s="43" t="s">
        <v>95</v>
      </c>
      <c r="C1034" s="73">
        <v>0.67759999999999998</v>
      </c>
      <c r="D1034" s="73">
        <v>0.79749999999999999</v>
      </c>
      <c r="E1034" s="73">
        <v>0.75900000000000001</v>
      </c>
      <c r="F1034" s="73">
        <v>0.87065000000000003</v>
      </c>
      <c r="G1034" s="73">
        <v>1.0021</v>
      </c>
      <c r="H1034" s="73">
        <v>1.0009999999999999</v>
      </c>
      <c r="I1034" s="73">
        <v>0.50049999999999994</v>
      </c>
      <c r="J1034" s="73">
        <v>0.77</v>
      </c>
      <c r="K1034" s="73">
        <v>0.82499999999999996</v>
      </c>
      <c r="L1034" s="73">
        <v>0.77054999999999996</v>
      </c>
      <c r="M1034" s="73">
        <v>0.82499999999999996</v>
      </c>
      <c r="N1034" s="73">
        <v>0.74250000000000005</v>
      </c>
      <c r="O1034" s="73">
        <v>0.6875</v>
      </c>
      <c r="P1034" s="73">
        <v>0.66</v>
      </c>
      <c r="Q1034" s="73">
        <v>0.66</v>
      </c>
      <c r="R1034" s="50">
        <f>167.9*0.055</f>
        <v>9.2345000000000006</v>
      </c>
      <c r="S1034" s="50">
        <f>167.8*0.055</f>
        <v>9.229000000000001</v>
      </c>
      <c r="T1034" s="66">
        <f>55*0.055</f>
        <v>3.0249999999999999</v>
      </c>
      <c r="U1034" s="66">
        <f>136.25*0.055</f>
        <v>7.4937500000000004</v>
      </c>
      <c r="V1034" s="66">
        <f>80*0.055</f>
        <v>4.4000000000000004</v>
      </c>
      <c r="W1034" s="66">
        <f>55*0.055</f>
        <v>3.0249999999999999</v>
      </c>
      <c r="X1034" s="66">
        <f>50*0.055</f>
        <v>2.75</v>
      </c>
      <c r="Y1034" s="66">
        <f>45*0.055</f>
        <v>2.4750000000000001</v>
      </c>
      <c r="Z1034" s="66">
        <f>40*0.055</f>
        <v>2.2000000000000002</v>
      </c>
      <c r="AA1034" s="66">
        <f>40*0.055</f>
        <v>2.2000000000000002</v>
      </c>
      <c r="AB1034" s="66">
        <f>40*0.055</f>
        <v>2.2000000000000002</v>
      </c>
      <c r="AC1034" s="66">
        <f>39.9*0.055</f>
        <v>2.1945000000000001</v>
      </c>
    </row>
    <row r="1035" spans="1:30">
      <c r="A1035" s="43" t="s">
        <v>572</v>
      </c>
      <c r="B1035" s="43" t="s">
        <v>825</v>
      </c>
      <c r="Q1035" s="73">
        <v>0</v>
      </c>
      <c r="R1035" s="50">
        <v>0</v>
      </c>
      <c r="S1035" s="50">
        <v>0</v>
      </c>
      <c r="T1035" s="66">
        <v>0</v>
      </c>
      <c r="U1035" s="66">
        <v>0</v>
      </c>
      <c r="V1035" s="66">
        <v>0</v>
      </c>
      <c r="W1035" s="66">
        <v>0</v>
      </c>
      <c r="X1035" s="66">
        <v>0</v>
      </c>
      <c r="Y1035" s="66">
        <v>0</v>
      </c>
      <c r="Z1035" s="66">
        <v>0</v>
      </c>
      <c r="AA1035" s="66">
        <v>0</v>
      </c>
      <c r="AB1035" s="66">
        <v>0</v>
      </c>
      <c r="AC1035" s="66">
        <v>0</v>
      </c>
    </row>
    <row r="1036" spans="1:30">
      <c r="A1036" s="43" t="s">
        <v>572</v>
      </c>
      <c r="B1036" s="43" t="s">
        <v>574</v>
      </c>
      <c r="C1036" s="72">
        <v>26.4</v>
      </c>
      <c r="D1036" s="72">
        <v>28.98</v>
      </c>
      <c r="E1036" s="72">
        <v>32.46</v>
      </c>
      <c r="F1036" s="72">
        <v>29.53</v>
      </c>
      <c r="G1036" s="72">
        <v>28.94</v>
      </c>
      <c r="H1036" s="72">
        <v>28.5</v>
      </c>
      <c r="I1036" s="72">
        <v>14.25</v>
      </c>
      <c r="J1036" s="72">
        <v>12.587999999999999</v>
      </c>
      <c r="K1036" s="72">
        <v>11.7</v>
      </c>
      <c r="L1036" s="72">
        <v>11.412000000000001</v>
      </c>
      <c r="M1036" s="72">
        <v>10.199999999999999</v>
      </c>
      <c r="N1036" s="73">
        <v>6</v>
      </c>
      <c r="O1036" s="73">
        <v>6</v>
      </c>
      <c r="P1036" s="73">
        <v>4.2</v>
      </c>
      <c r="Q1036" s="73">
        <v>3.24</v>
      </c>
      <c r="R1036" s="50">
        <f>3.4*0.6</f>
        <v>2.04</v>
      </c>
      <c r="S1036" s="50">
        <v>0</v>
      </c>
      <c r="T1036" s="66">
        <v>0</v>
      </c>
      <c r="U1036" s="66">
        <v>0</v>
      </c>
      <c r="V1036" s="66">
        <v>0</v>
      </c>
      <c r="W1036" s="66">
        <v>0</v>
      </c>
      <c r="X1036" s="66">
        <v>0</v>
      </c>
      <c r="Y1036" s="66">
        <v>0</v>
      </c>
      <c r="Z1036" s="66">
        <v>0</v>
      </c>
      <c r="AA1036" s="66">
        <v>0</v>
      </c>
      <c r="AB1036" s="66">
        <v>0</v>
      </c>
      <c r="AC1036" s="66">
        <v>0</v>
      </c>
    </row>
    <row r="1037" spans="1:30">
      <c r="A1037" s="43" t="s">
        <v>572</v>
      </c>
      <c r="B1037" s="43" t="s">
        <v>535</v>
      </c>
      <c r="C1037" s="72">
        <v>2.7E-2</v>
      </c>
      <c r="D1037" s="72">
        <v>0.192</v>
      </c>
      <c r="E1037" s="72">
        <v>8.0000000000000004E-4</v>
      </c>
      <c r="F1037" s="72">
        <v>5.7000000000000002E-2</v>
      </c>
      <c r="G1037" s="72">
        <v>9.0999999999999998E-2</v>
      </c>
      <c r="H1037" s="72">
        <v>3.5000000000000003E-2</v>
      </c>
      <c r="I1037" s="72">
        <v>1.7000000000000001E-2</v>
      </c>
      <c r="J1037" s="72">
        <v>0</v>
      </c>
      <c r="K1037" s="72">
        <v>0</v>
      </c>
      <c r="L1037" s="72">
        <v>0</v>
      </c>
      <c r="M1037" s="72">
        <v>0</v>
      </c>
      <c r="N1037" s="73">
        <v>0</v>
      </c>
      <c r="O1037" s="73">
        <v>0</v>
      </c>
      <c r="P1037" s="73">
        <v>0</v>
      </c>
      <c r="Q1037" s="73">
        <v>0</v>
      </c>
      <c r="R1037" s="50">
        <v>0</v>
      </c>
      <c r="S1037" s="50">
        <v>0</v>
      </c>
      <c r="T1037" s="66">
        <v>0</v>
      </c>
      <c r="U1037" s="66">
        <v>0</v>
      </c>
      <c r="V1037" s="66">
        <v>0</v>
      </c>
      <c r="W1037" s="66">
        <v>0</v>
      </c>
      <c r="X1037" s="66">
        <v>0</v>
      </c>
      <c r="Y1037" s="66">
        <v>0</v>
      </c>
      <c r="Z1037" s="66">
        <v>0</v>
      </c>
      <c r="AA1037" s="66">
        <v>0</v>
      </c>
      <c r="AB1037" s="66">
        <v>0</v>
      </c>
      <c r="AC1037" s="66">
        <v>0</v>
      </c>
    </row>
    <row r="1038" spans="1:30">
      <c r="A1038" s="43" t="s">
        <v>573</v>
      </c>
      <c r="B1038" s="43" t="s">
        <v>752</v>
      </c>
      <c r="C1038" s="72">
        <v>462.1</v>
      </c>
      <c r="D1038" s="72">
        <v>456.6</v>
      </c>
      <c r="E1038" s="72">
        <v>435.4</v>
      </c>
      <c r="F1038" s="72">
        <v>371</v>
      </c>
      <c r="G1038" s="72">
        <v>229</v>
      </c>
      <c r="H1038" s="72">
        <v>145</v>
      </c>
      <c r="I1038" s="72">
        <v>259.37</v>
      </c>
      <c r="J1038" s="72">
        <v>129.05000000000001</v>
      </c>
      <c r="K1038" s="72">
        <v>117.47</v>
      </c>
      <c r="L1038" s="72">
        <v>112.938</v>
      </c>
      <c r="M1038" s="72">
        <v>49.037999999999997</v>
      </c>
      <c r="N1038" s="73">
        <v>62.96</v>
      </c>
      <c r="O1038" s="73">
        <v>54.27</v>
      </c>
      <c r="P1038" s="73">
        <v>7</v>
      </c>
      <c r="Q1038" s="73">
        <v>2.66</v>
      </c>
      <c r="R1038" s="50">
        <v>0</v>
      </c>
      <c r="S1038" s="50">
        <v>0</v>
      </c>
      <c r="T1038" s="66" t="s">
        <v>685</v>
      </c>
      <c r="U1038" s="66" t="s">
        <v>685</v>
      </c>
      <c r="V1038" s="66" t="s">
        <v>685</v>
      </c>
      <c r="W1038" s="66" t="s">
        <v>685</v>
      </c>
      <c r="X1038" s="66" t="s">
        <v>685</v>
      </c>
      <c r="Y1038" s="66" t="s">
        <v>685</v>
      </c>
      <c r="Z1038" s="72" t="s">
        <v>685</v>
      </c>
      <c r="AA1038" s="72">
        <v>0</v>
      </c>
      <c r="AB1038" s="72">
        <v>0</v>
      </c>
      <c r="AC1038" s="72">
        <v>0</v>
      </c>
      <c r="AD1038" s="72"/>
    </row>
    <row r="1039" spans="1:30">
      <c r="A1039" s="43" t="s">
        <v>573</v>
      </c>
      <c r="B1039" s="43" t="s">
        <v>663</v>
      </c>
      <c r="C1039" s="72">
        <v>0</v>
      </c>
      <c r="D1039" s="72">
        <v>0</v>
      </c>
      <c r="E1039" s="72">
        <v>33.58</v>
      </c>
      <c r="F1039" s="72">
        <v>33.619999999999997</v>
      </c>
      <c r="G1039" s="72">
        <v>0</v>
      </c>
      <c r="H1039" s="72">
        <v>1.1000000000000001</v>
      </c>
      <c r="I1039" s="72">
        <v>17.600000000000001</v>
      </c>
      <c r="J1039" s="72">
        <v>10.34</v>
      </c>
      <c r="K1039" s="72">
        <v>9.1300000000000008</v>
      </c>
      <c r="L1039" s="72">
        <v>2.5630000000000002</v>
      </c>
      <c r="M1039" s="72">
        <v>3.4870000000000001</v>
      </c>
      <c r="N1039" s="73">
        <v>0</v>
      </c>
      <c r="O1039" s="73">
        <v>0</v>
      </c>
      <c r="P1039" s="73">
        <v>0</v>
      </c>
      <c r="Q1039" s="73">
        <v>0</v>
      </c>
      <c r="R1039" s="50">
        <v>0</v>
      </c>
      <c r="S1039" s="50">
        <v>0</v>
      </c>
      <c r="T1039" s="66" t="s">
        <v>685</v>
      </c>
      <c r="U1039" s="66" t="s">
        <v>685</v>
      </c>
      <c r="V1039" s="66" t="s">
        <v>685</v>
      </c>
      <c r="W1039" s="66" t="s">
        <v>685</v>
      </c>
      <c r="X1039" s="66" t="s">
        <v>685</v>
      </c>
      <c r="Y1039" s="66" t="s">
        <v>685</v>
      </c>
      <c r="Z1039" s="72" t="s">
        <v>685</v>
      </c>
      <c r="AA1039" s="72">
        <v>0</v>
      </c>
      <c r="AB1039" s="72">
        <v>0</v>
      </c>
      <c r="AC1039" s="72">
        <v>0</v>
      </c>
      <c r="AD1039" s="72"/>
    </row>
    <row r="1040" spans="1:30">
      <c r="A1040" s="43" t="s">
        <v>573</v>
      </c>
      <c r="B1040" s="43" t="s">
        <v>243</v>
      </c>
      <c r="C1040" s="72">
        <v>15</v>
      </c>
      <c r="D1040" s="72">
        <v>0</v>
      </c>
      <c r="E1040" s="72">
        <v>0</v>
      </c>
      <c r="F1040" s="72">
        <v>0</v>
      </c>
      <c r="G1040" s="72">
        <v>0</v>
      </c>
      <c r="H1040" s="72">
        <v>0</v>
      </c>
      <c r="I1040" s="72">
        <v>0</v>
      </c>
      <c r="J1040" s="72">
        <v>0</v>
      </c>
      <c r="K1040" s="72">
        <v>0</v>
      </c>
      <c r="L1040" s="72">
        <v>0.06</v>
      </c>
      <c r="M1040" s="72">
        <v>0</v>
      </c>
      <c r="N1040" s="73">
        <v>0</v>
      </c>
      <c r="O1040" s="73">
        <v>0</v>
      </c>
      <c r="P1040" s="73">
        <v>0</v>
      </c>
      <c r="Q1040" s="73">
        <v>0</v>
      </c>
      <c r="R1040" s="50">
        <v>0</v>
      </c>
      <c r="S1040" s="50">
        <v>0</v>
      </c>
      <c r="T1040" s="66" t="s">
        <v>685</v>
      </c>
      <c r="U1040" s="66" t="s">
        <v>685</v>
      </c>
      <c r="V1040" s="66" t="s">
        <v>685</v>
      </c>
      <c r="W1040" s="66" t="s">
        <v>685</v>
      </c>
      <c r="X1040" s="66" t="s">
        <v>685</v>
      </c>
      <c r="Y1040" s="66" t="s">
        <v>685</v>
      </c>
      <c r="Z1040" s="72" t="s">
        <v>685</v>
      </c>
      <c r="AA1040" s="72">
        <v>0</v>
      </c>
      <c r="AB1040" s="72">
        <v>0</v>
      </c>
      <c r="AC1040" s="72">
        <v>0</v>
      </c>
      <c r="AD1040" s="72"/>
    </row>
    <row r="1041" spans="1:30">
      <c r="A1041" s="43" t="s">
        <v>573</v>
      </c>
      <c r="B1041" s="43" t="s">
        <v>95</v>
      </c>
      <c r="C1041" s="73">
        <v>18.83175</v>
      </c>
      <c r="D1041" s="73">
        <v>20.515000000000001</v>
      </c>
      <c r="E1041" s="73">
        <v>3.3181499999999997</v>
      </c>
      <c r="F1041" s="73">
        <v>7.7</v>
      </c>
      <c r="G1041" s="73">
        <v>0.11</v>
      </c>
      <c r="H1041" s="73">
        <v>8.1476999999999986</v>
      </c>
      <c r="I1041" s="73">
        <v>15.357100000000001</v>
      </c>
      <c r="J1041" s="73">
        <v>4.0612000000000004</v>
      </c>
      <c r="K1041" s="73">
        <v>3.3637999999999999</v>
      </c>
      <c r="L1041" s="73">
        <v>3.61625</v>
      </c>
      <c r="M1041" s="73">
        <v>7.9485000000000001</v>
      </c>
      <c r="N1041" s="73">
        <v>9.5562500000000004</v>
      </c>
      <c r="O1041" s="73">
        <v>16.462050000000001</v>
      </c>
      <c r="P1041" s="73">
        <v>8.7010000000000005</v>
      </c>
      <c r="Q1041" s="73">
        <f>225*0.055</f>
        <v>12.375</v>
      </c>
      <c r="R1041" s="50">
        <f>(316.4*0.055)+(9.99*0.11)</f>
        <v>18.500899999999998</v>
      </c>
      <c r="S1041" s="50">
        <f>(350.69*0.055)+(4.86*0.11)</f>
        <v>19.82255</v>
      </c>
      <c r="T1041" s="66">
        <f>(294.84*0.055)+(0.55*0.11)</f>
        <v>16.276699999999998</v>
      </c>
      <c r="U1041" s="66">
        <f>(286.46*0.055)+(0.272*0.11)</f>
        <v>15.785219999999999</v>
      </c>
      <c r="V1041" s="66">
        <f>(241.4*0.055)+(0.408*0.11)</f>
        <v>13.32188</v>
      </c>
      <c r="W1041" s="66">
        <f>(256.8*0.055)+(0.35*0.11)</f>
        <v>14.162500000000001</v>
      </c>
      <c r="X1041" s="66">
        <f>172.576*0.055</f>
        <v>9.4916800000000006</v>
      </c>
      <c r="Y1041" s="66">
        <f>(185.19*0.055)+(7.19*0.065)</f>
        <v>10.652799999999999</v>
      </c>
      <c r="Z1041" s="66">
        <f>(176.75*0.055)+(5.3*0.065)</f>
        <v>10.06575</v>
      </c>
      <c r="AA1041" s="66">
        <f>(177.18*0.055)+(1.63*0.065)</f>
        <v>9.8508500000000012</v>
      </c>
      <c r="AB1041" s="66">
        <f>(113.872*0.055)+(0.2788*0.065)</f>
        <v>6.2810819999999996</v>
      </c>
      <c r="AC1041" s="66">
        <f>74.565*0.055</f>
        <v>4.1010749999999998</v>
      </c>
    </row>
    <row r="1042" spans="1:30">
      <c r="A1042" s="43" t="s">
        <v>573</v>
      </c>
      <c r="B1042" s="43" t="s">
        <v>825</v>
      </c>
      <c r="Q1042" s="73">
        <v>0</v>
      </c>
      <c r="R1042" s="50">
        <f>74.96*0.11</f>
        <v>8.2455999999999996</v>
      </c>
      <c r="S1042" s="50">
        <f>72.61*0.11</f>
        <v>7.9870999999999999</v>
      </c>
      <c r="T1042" s="50">
        <f>58.95*0.11</f>
        <v>6.4845000000000006</v>
      </c>
      <c r="U1042" s="50">
        <f>54.86*0.11</f>
        <v>6.0346000000000002</v>
      </c>
      <c r="V1042" s="50">
        <f>54.6*0.11</f>
        <v>6.0060000000000002</v>
      </c>
      <c r="W1042" s="50">
        <v>0</v>
      </c>
      <c r="X1042" s="50">
        <v>0</v>
      </c>
      <c r="Y1042" s="50">
        <v>0</v>
      </c>
      <c r="Z1042" s="50">
        <v>0</v>
      </c>
      <c r="AA1042" s="50">
        <v>0</v>
      </c>
      <c r="AB1042" s="50">
        <v>0</v>
      </c>
      <c r="AC1042" s="50">
        <v>0</v>
      </c>
      <c r="AD1042" s="50"/>
    </row>
    <row r="1043" spans="1:30">
      <c r="A1043" s="43" t="s">
        <v>573</v>
      </c>
      <c r="B1043" s="43" t="s">
        <v>574</v>
      </c>
      <c r="C1043" s="72">
        <v>405.9</v>
      </c>
      <c r="D1043" s="72">
        <v>424.92</v>
      </c>
      <c r="E1043" s="72">
        <v>579</v>
      </c>
      <c r="F1043" s="72">
        <v>486.16</v>
      </c>
      <c r="G1043" s="72">
        <v>490.3</v>
      </c>
      <c r="H1043" s="72">
        <v>373.34</v>
      </c>
      <c r="I1043" s="72">
        <v>544.20000000000005</v>
      </c>
      <c r="J1043" s="72">
        <v>202.27</v>
      </c>
      <c r="K1043" s="72">
        <v>97.36</v>
      </c>
      <c r="L1043" s="72">
        <v>184.2</v>
      </c>
      <c r="M1043" s="72">
        <v>155.4</v>
      </c>
      <c r="N1043" s="73">
        <v>96.84</v>
      </c>
      <c r="O1043" s="73">
        <v>21.6</v>
      </c>
      <c r="P1043" s="73">
        <v>21.6</v>
      </c>
      <c r="Q1043" s="73">
        <f>36*0.6</f>
        <v>21.599999999999998</v>
      </c>
      <c r="R1043" s="50">
        <f>20*0.6</f>
        <v>12</v>
      </c>
      <c r="S1043" s="50">
        <f>5*0.6</f>
        <v>3</v>
      </c>
      <c r="T1043" s="66">
        <f>1*0.6</f>
        <v>0.6</v>
      </c>
      <c r="U1043" s="66">
        <v>0</v>
      </c>
      <c r="V1043" s="66">
        <v>0</v>
      </c>
      <c r="W1043" s="66">
        <v>0</v>
      </c>
      <c r="X1043" s="66">
        <v>0</v>
      </c>
      <c r="Y1043" s="66">
        <v>0</v>
      </c>
      <c r="Z1043" s="66">
        <v>0</v>
      </c>
      <c r="AA1043" s="66">
        <v>0</v>
      </c>
      <c r="AB1043" s="66">
        <v>0</v>
      </c>
      <c r="AC1043" s="66">
        <v>0</v>
      </c>
    </row>
    <row r="1044" spans="1:30">
      <c r="A1044" s="43" t="s">
        <v>573</v>
      </c>
      <c r="B1044" s="43" t="s">
        <v>535</v>
      </c>
      <c r="C1044" s="72">
        <v>0</v>
      </c>
      <c r="D1044" s="72">
        <v>0</v>
      </c>
      <c r="E1044" s="72">
        <v>0</v>
      </c>
      <c r="F1044" s="72">
        <v>0</v>
      </c>
      <c r="G1044" s="72">
        <v>0</v>
      </c>
      <c r="H1044" s="72">
        <v>0</v>
      </c>
      <c r="I1044" s="72">
        <v>0.1</v>
      </c>
      <c r="J1044" s="72">
        <v>0</v>
      </c>
      <c r="K1044" s="72">
        <v>0</v>
      </c>
      <c r="L1044" s="72">
        <v>0</v>
      </c>
      <c r="M1044" s="72">
        <v>3.6999999999999998E-2</v>
      </c>
      <c r="N1044" s="73">
        <v>0</v>
      </c>
      <c r="O1044" s="73">
        <v>0</v>
      </c>
      <c r="P1044" s="73">
        <v>0</v>
      </c>
      <c r="Q1044" s="73">
        <v>0</v>
      </c>
      <c r="R1044" s="50">
        <v>0</v>
      </c>
      <c r="S1044" s="50">
        <v>0</v>
      </c>
      <c r="T1044" s="66">
        <v>0</v>
      </c>
      <c r="U1044" s="66">
        <v>0</v>
      </c>
      <c r="V1044" s="66">
        <v>0</v>
      </c>
      <c r="W1044" s="66">
        <v>0</v>
      </c>
      <c r="X1044" s="66">
        <v>0</v>
      </c>
      <c r="Y1044" s="66">
        <v>0</v>
      </c>
      <c r="Z1044" s="66">
        <v>0</v>
      </c>
      <c r="AA1044" s="66">
        <v>0</v>
      </c>
      <c r="AB1044" s="66">
        <v>0</v>
      </c>
      <c r="AC1044" s="66">
        <v>0</v>
      </c>
    </row>
  </sheetData>
  <sortState xmlns:xlrd2="http://schemas.microsoft.com/office/spreadsheetml/2017/richdata2" ref="A2:AD1044">
    <sortCondition ref="A2:A1044"/>
    <sortCondition ref="B2:B1044"/>
  </sortState>
  <phoneticPr fontId="0" type="noConversion"/>
  <conditionalFormatting sqref="X219:X221">
    <cfRule type="uniqueValues" dxfId="1" priority="2" stopIfTrue="1"/>
  </conditionalFormatting>
  <conditionalFormatting sqref="X233:X235">
    <cfRule type="uniqueValues" dxfId="0" priority="1" stopIfTrue="1"/>
  </conditionalFormatting>
  <printOptions gridLines="1"/>
  <pageMargins left="0.15748031496062992" right="0.15748031496062992" top="0.39370078740157483" bottom="0.39370078740157483" header="0.23622047244094491" footer="0.23622047244094491"/>
  <pageSetup paperSize="5" scale="62" orientation="landscape" r:id="rId1"/>
  <headerFooter alignWithMargins="0">
    <oddHeader>&amp;C&amp;"Times New Roman,Bold"&amp;UA7 AND CP CONSUMPTION DATA</oddHeader>
    <oddFooter>&amp;L* A7 Data as of January 30, 2023&amp;CPage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8"/>
  <sheetViews>
    <sheetView zoomScale="90" zoomScaleNormal="90" workbookViewId="0">
      <pane ySplit="1200" activePane="bottomLeft"/>
      <selection sqref="A1:XFD1048576"/>
      <selection pane="bottomLeft" activeCell="F136" sqref="F136"/>
    </sheetView>
  </sheetViews>
  <sheetFormatPr defaultRowHeight="13.2"/>
  <cols>
    <col min="1" max="1" width="22.33203125" style="43" customWidth="1"/>
    <col min="2" max="2" width="8.6640625" style="44" customWidth="1"/>
    <col min="3" max="3" width="6.88671875" style="43" customWidth="1"/>
    <col min="4" max="4" width="8.88671875" style="50"/>
    <col min="5" max="5" width="11.109375" style="47" customWidth="1"/>
    <col min="6" max="6" width="8.88671875" style="50"/>
    <col min="7" max="7" width="10.33203125" style="48" customWidth="1"/>
    <col min="8" max="8" width="8.77734375" style="50" customWidth="1"/>
    <col min="9" max="9" width="8.21875" style="48" customWidth="1"/>
    <col min="10" max="10" width="9" style="50" bestFit="1" customWidth="1"/>
    <col min="11" max="11" width="9.5546875" style="48" customWidth="1"/>
    <col min="12" max="16384" width="8.88671875" style="43"/>
  </cols>
  <sheetData>
    <row r="1" spans="1:11" ht="53.4" customHeight="1">
      <c r="A1" s="36" t="s">
        <v>757</v>
      </c>
      <c r="B1" s="36" t="s">
        <v>932</v>
      </c>
      <c r="C1" s="36" t="s">
        <v>761</v>
      </c>
      <c r="D1" s="56" t="s">
        <v>1044</v>
      </c>
      <c r="E1" s="57" t="s">
        <v>1085</v>
      </c>
      <c r="F1" s="55" t="s">
        <v>1045</v>
      </c>
      <c r="G1" s="58" t="s">
        <v>1086</v>
      </c>
      <c r="H1" s="59" t="s">
        <v>1046</v>
      </c>
      <c r="I1" s="60" t="s">
        <v>1087</v>
      </c>
      <c r="J1" s="64" t="s">
        <v>1103</v>
      </c>
      <c r="K1" s="65" t="s">
        <v>1104</v>
      </c>
    </row>
    <row r="2" spans="1:11">
      <c r="A2" s="43" t="s">
        <v>510</v>
      </c>
      <c r="B2" s="44" t="s">
        <v>481</v>
      </c>
      <c r="C2" s="43" t="s">
        <v>850</v>
      </c>
      <c r="D2" s="47" t="s">
        <v>680</v>
      </c>
      <c r="E2" s="47" t="s">
        <v>680</v>
      </c>
      <c r="F2" s="47" t="s">
        <v>680</v>
      </c>
      <c r="G2" s="47" t="s">
        <v>680</v>
      </c>
      <c r="H2" s="66" t="s">
        <v>680</v>
      </c>
      <c r="I2" s="47" t="s">
        <v>680</v>
      </c>
    </row>
    <row r="3" spans="1:11">
      <c r="A3" s="43" t="s">
        <v>738</v>
      </c>
      <c r="B3" s="44" t="s">
        <v>480</v>
      </c>
      <c r="C3" s="43" t="s">
        <v>850</v>
      </c>
      <c r="D3" s="50">
        <v>532.44200000000012</v>
      </c>
      <c r="E3" s="47">
        <v>1160515.1467499998</v>
      </c>
      <c r="F3" s="50">
        <v>321.92</v>
      </c>
      <c r="G3" s="48">
        <v>746956.80900000001</v>
      </c>
      <c r="H3" s="50">
        <v>80.790000000000006</v>
      </c>
      <c r="I3" s="48">
        <v>155767.83900000001</v>
      </c>
    </row>
    <row r="4" spans="1:11">
      <c r="A4" s="43" t="s">
        <v>739</v>
      </c>
      <c r="B4" s="44" t="s">
        <v>481</v>
      </c>
      <c r="C4" s="43" t="s">
        <v>850</v>
      </c>
      <c r="D4" s="47" t="s">
        <v>680</v>
      </c>
      <c r="E4" s="47" t="s">
        <v>680</v>
      </c>
      <c r="F4" s="47" t="s">
        <v>680</v>
      </c>
      <c r="G4" s="47" t="s">
        <v>680</v>
      </c>
      <c r="H4" s="66" t="s">
        <v>680</v>
      </c>
      <c r="I4" s="47" t="s">
        <v>680</v>
      </c>
    </row>
    <row r="5" spans="1:11">
      <c r="A5" s="67" t="s">
        <v>547</v>
      </c>
      <c r="B5" s="44" t="s">
        <v>480</v>
      </c>
      <c r="C5" s="43" t="s">
        <v>850</v>
      </c>
      <c r="D5" s="47" t="s">
        <v>680</v>
      </c>
      <c r="E5" s="47" t="s">
        <v>680</v>
      </c>
      <c r="F5" s="50">
        <v>1587.5649999999998</v>
      </c>
      <c r="G5" s="47">
        <v>3812353.156</v>
      </c>
      <c r="H5" s="50">
        <v>350.83670000000001</v>
      </c>
      <c r="I5" s="48">
        <v>757825.41694999998</v>
      </c>
    </row>
    <row r="6" spans="1:11">
      <c r="A6" s="43" t="s">
        <v>740</v>
      </c>
      <c r="B6" s="44" t="s">
        <v>480</v>
      </c>
      <c r="C6" s="43" t="s">
        <v>850</v>
      </c>
      <c r="D6" s="50">
        <v>2.8525</v>
      </c>
      <c r="E6" s="47">
        <v>4079.0750000000003</v>
      </c>
      <c r="F6" s="50">
        <v>15.552499999999998</v>
      </c>
      <c r="G6" s="48">
        <v>35303.2814</v>
      </c>
      <c r="H6" s="66" t="s">
        <v>680</v>
      </c>
      <c r="I6" s="47" t="s">
        <v>680</v>
      </c>
    </row>
    <row r="7" spans="1:11">
      <c r="A7" s="43" t="s">
        <v>741</v>
      </c>
      <c r="B7" s="44" t="s">
        <v>481</v>
      </c>
      <c r="C7" s="43" t="s">
        <v>850</v>
      </c>
      <c r="D7" s="47" t="s">
        <v>680</v>
      </c>
      <c r="E7" s="47" t="s">
        <v>680</v>
      </c>
      <c r="F7" s="50">
        <v>5890.7010000000037</v>
      </c>
      <c r="G7" s="48">
        <v>12186383.745750001</v>
      </c>
      <c r="H7" s="50">
        <v>4493.8</v>
      </c>
      <c r="I7" s="48">
        <v>8960677.8709500022</v>
      </c>
    </row>
    <row r="8" spans="1:11">
      <c r="A8" s="68" t="s">
        <v>768</v>
      </c>
      <c r="B8" s="44" t="s">
        <v>480</v>
      </c>
      <c r="C8" s="43" t="s">
        <v>850</v>
      </c>
      <c r="D8" s="50">
        <v>65.658000000000015</v>
      </c>
      <c r="E8" s="47">
        <v>137675.54510000002</v>
      </c>
      <c r="F8" s="50">
        <v>79.59</v>
      </c>
      <c r="G8" s="48">
        <v>165679.50999999998</v>
      </c>
      <c r="H8" s="50">
        <v>135.54999999999998</v>
      </c>
      <c r="I8" s="48">
        <v>317040.85000000003</v>
      </c>
    </row>
    <row r="9" spans="1:11">
      <c r="A9" s="43" t="s">
        <v>977</v>
      </c>
      <c r="B9" s="44" t="s">
        <v>480</v>
      </c>
      <c r="C9" s="43" t="s">
        <v>850</v>
      </c>
      <c r="D9" s="47" t="s">
        <v>680</v>
      </c>
      <c r="E9" s="47" t="s">
        <v>680</v>
      </c>
      <c r="F9" s="47" t="s">
        <v>680</v>
      </c>
      <c r="G9" s="47" t="s">
        <v>680</v>
      </c>
      <c r="H9" s="66" t="s">
        <v>680</v>
      </c>
      <c r="I9" s="47" t="s">
        <v>680</v>
      </c>
    </row>
    <row r="10" spans="1:11">
      <c r="A10" s="43" t="s">
        <v>541</v>
      </c>
      <c r="B10" s="44" t="s">
        <v>481</v>
      </c>
      <c r="C10" s="43" t="s">
        <v>850</v>
      </c>
      <c r="D10" s="47" t="s">
        <v>680</v>
      </c>
      <c r="E10" s="47" t="s">
        <v>680</v>
      </c>
      <c r="F10" s="50">
        <v>2354.3589999999999</v>
      </c>
      <c r="G10" s="48">
        <v>4048769.2361000003</v>
      </c>
      <c r="H10" s="50">
        <v>2489.3200000000002</v>
      </c>
      <c r="I10" s="48">
        <v>4292556.1124999998</v>
      </c>
    </row>
    <row r="11" spans="1:11">
      <c r="A11" s="43" t="s">
        <v>538</v>
      </c>
      <c r="B11" s="44" t="s">
        <v>480</v>
      </c>
      <c r="C11" s="43" t="s">
        <v>850</v>
      </c>
      <c r="D11" s="50">
        <v>68.52000000000001</v>
      </c>
      <c r="E11" s="47">
        <v>154647.74599999998</v>
      </c>
      <c r="F11" s="50">
        <v>167.6</v>
      </c>
      <c r="G11" s="48">
        <v>341966.60100000002</v>
      </c>
      <c r="H11" s="50">
        <v>72.709999999999994</v>
      </c>
      <c r="I11" s="48">
        <v>180981.152</v>
      </c>
    </row>
    <row r="12" spans="1:11">
      <c r="A12" s="43" t="s">
        <v>570</v>
      </c>
      <c r="B12" s="44" t="s">
        <v>480</v>
      </c>
      <c r="C12" s="43" t="s">
        <v>850</v>
      </c>
      <c r="D12" s="47" t="s">
        <v>680</v>
      </c>
      <c r="E12" s="47" t="s">
        <v>680</v>
      </c>
      <c r="F12" s="47" t="s">
        <v>680</v>
      </c>
      <c r="G12" s="47" t="s">
        <v>680</v>
      </c>
      <c r="H12" s="50">
        <v>2604.09</v>
      </c>
      <c r="I12" s="48">
        <v>3776711.8279999997</v>
      </c>
      <c r="J12" s="50">
        <v>65.59</v>
      </c>
      <c r="K12" s="48">
        <v>121660.7935</v>
      </c>
    </row>
    <row r="13" spans="1:11" ht="12.6" customHeight="1">
      <c r="A13" s="43" t="s">
        <v>540</v>
      </c>
      <c r="B13" s="44" t="s">
        <v>481</v>
      </c>
      <c r="C13" s="43" t="s">
        <v>850</v>
      </c>
      <c r="D13" s="50">
        <v>1030.6799999999998</v>
      </c>
      <c r="E13" s="47">
        <v>1607639.7629999998</v>
      </c>
      <c r="F13" s="50">
        <v>885.35</v>
      </c>
      <c r="G13" s="48">
        <v>1363391.4575</v>
      </c>
      <c r="H13" s="50">
        <v>881.5</v>
      </c>
      <c r="I13" s="48">
        <v>1390335.3875</v>
      </c>
    </row>
    <row r="14" spans="1:11">
      <c r="A14" s="43" t="s">
        <v>512</v>
      </c>
      <c r="B14" s="44" t="s">
        <v>480</v>
      </c>
      <c r="C14" s="43" t="s">
        <v>850</v>
      </c>
      <c r="D14" s="50">
        <v>5.9399999999999995</v>
      </c>
      <c r="E14" s="47">
        <v>11658.622500000001</v>
      </c>
      <c r="F14" s="50">
        <v>1.8299999999999996</v>
      </c>
      <c r="G14" s="48">
        <v>2876.0239999999999</v>
      </c>
      <c r="H14" s="50">
        <v>4.3600000000000003</v>
      </c>
      <c r="I14" s="48">
        <v>7941.1975000000002</v>
      </c>
    </row>
    <row r="15" spans="1:11">
      <c r="A15" s="43" t="s">
        <v>834</v>
      </c>
      <c r="B15" s="44" t="s">
        <v>480</v>
      </c>
      <c r="C15" s="43" t="s">
        <v>850</v>
      </c>
      <c r="D15" s="50">
        <v>198.67451000000003</v>
      </c>
      <c r="E15" s="47">
        <v>773866.71892999986</v>
      </c>
      <c r="F15" s="50">
        <v>225.20539999999997</v>
      </c>
      <c r="G15" s="48">
        <v>425790.12030999997</v>
      </c>
      <c r="H15" s="50">
        <v>165.86500000000001</v>
      </c>
      <c r="I15" s="48">
        <v>347969.69289999997</v>
      </c>
    </row>
    <row r="16" spans="1:11">
      <c r="A16" s="43" t="s">
        <v>543</v>
      </c>
      <c r="B16" s="44" t="s">
        <v>480</v>
      </c>
      <c r="C16" s="43" t="s">
        <v>850</v>
      </c>
      <c r="D16" s="47" t="s">
        <v>680</v>
      </c>
      <c r="E16" s="47" t="s">
        <v>680</v>
      </c>
      <c r="F16" s="47" t="s">
        <v>680</v>
      </c>
      <c r="G16" s="47" t="s">
        <v>680</v>
      </c>
      <c r="H16" s="50">
        <v>243.87</v>
      </c>
      <c r="I16" s="48">
        <v>599130.85649999999</v>
      </c>
    </row>
    <row r="17" spans="1:11">
      <c r="A17" s="43" t="s">
        <v>747</v>
      </c>
      <c r="B17" s="44" t="s">
        <v>480</v>
      </c>
      <c r="C17" s="43" t="s">
        <v>850</v>
      </c>
      <c r="D17" s="50">
        <v>205.09300000000002</v>
      </c>
      <c r="E17" s="47">
        <v>574066.12679999997</v>
      </c>
      <c r="F17" s="50">
        <v>81.8</v>
      </c>
      <c r="G17" s="48">
        <v>173589.30499999999</v>
      </c>
      <c r="H17" s="50">
        <v>14.583</v>
      </c>
      <c r="I17" s="48">
        <v>42262.313749999994</v>
      </c>
    </row>
    <row r="18" spans="1:11">
      <c r="A18" s="43" t="s">
        <v>748</v>
      </c>
      <c r="B18" s="44" t="s">
        <v>481</v>
      </c>
      <c r="C18" s="43" t="s">
        <v>850</v>
      </c>
      <c r="D18" s="50">
        <v>34613.67</v>
      </c>
      <c r="E18" s="47">
        <v>66579830.891449995</v>
      </c>
      <c r="F18" s="50">
        <v>20106.86</v>
      </c>
      <c r="G18" s="48">
        <v>39896042.150950007</v>
      </c>
      <c r="H18" s="50">
        <v>26415.840000000004</v>
      </c>
      <c r="I18" s="48">
        <v>50519115.390200004</v>
      </c>
    </row>
    <row r="19" spans="1:11">
      <c r="A19" s="43" t="s">
        <v>763</v>
      </c>
      <c r="B19" s="44" t="s">
        <v>480</v>
      </c>
      <c r="C19" s="43" t="s">
        <v>850</v>
      </c>
      <c r="D19" s="47" t="s">
        <v>680</v>
      </c>
      <c r="E19" s="47" t="s">
        <v>680</v>
      </c>
      <c r="F19" s="50">
        <v>159.55999999999997</v>
      </c>
      <c r="G19" s="48">
        <v>542968.06599999999</v>
      </c>
      <c r="H19" s="50">
        <v>142.12991</v>
      </c>
      <c r="I19" s="48">
        <v>280769.47720000002</v>
      </c>
    </row>
    <row r="20" spans="1:11">
      <c r="A20" s="43" t="s">
        <v>544</v>
      </c>
      <c r="B20" s="44" t="s">
        <v>481</v>
      </c>
      <c r="C20" s="43" t="s">
        <v>850</v>
      </c>
      <c r="D20" s="50">
        <v>388.31799999999993</v>
      </c>
      <c r="E20" s="47">
        <v>622452.73080000002</v>
      </c>
      <c r="F20" s="50">
        <v>310.88799999999998</v>
      </c>
      <c r="G20" s="48">
        <v>509025.50579999998</v>
      </c>
      <c r="H20" s="50">
        <v>242.48</v>
      </c>
      <c r="I20" s="48">
        <v>384485.02399999998</v>
      </c>
      <c r="J20" s="50">
        <v>257</v>
      </c>
      <c r="K20" s="48">
        <v>401625.49</v>
      </c>
    </row>
    <row r="21" spans="1:11">
      <c r="A21" s="43" t="s">
        <v>539</v>
      </c>
      <c r="B21" s="44" t="s">
        <v>480</v>
      </c>
      <c r="C21" s="43" t="s">
        <v>850</v>
      </c>
      <c r="D21" s="50">
        <v>23.199999999999996</v>
      </c>
      <c r="E21" s="47">
        <v>46214.095000000001</v>
      </c>
      <c r="F21" s="50">
        <v>25.83</v>
      </c>
      <c r="G21" s="48">
        <v>51774.415000000001</v>
      </c>
      <c r="H21" s="50">
        <v>27.240000000000002</v>
      </c>
      <c r="I21" s="48">
        <v>54148.724999999999</v>
      </c>
    </row>
    <row r="22" spans="1:11">
      <c r="A22" s="43" t="s">
        <v>833</v>
      </c>
      <c r="B22" s="44" t="s">
        <v>480</v>
      </c>
      <c r="C22" s="43" t="s">
        <v>850</v>
      </c>
      <c r="D22" s="50">
        <v>19.919999999999998</v>
      </c>
      <c r="E22" s="47">
        <v>70357.995749999987</v>
      </c>
      <c r="F22" s="50">
        <v>7.7869999999999999</v>
      </c>
      <c r="G22" s="48">
        <v>22796.586950000001</v>
      </c>
      <c r="H22" s="50">
        <v>0.99250000000000005</v>
      </c>
      <c r="I22" s="48">
        <v>2104.5314499999995</v>
      </c>
    </row>
    <row r="23" spans="1:11">
      <c r="A23" s="68" t="s">
        <v>769</v>
      </c>
      <c r="B23" s="44" t="s">
        <v>480</v>
      </c>
      <c r="C23" s="43" t="s">
        <v>850</v>
      </c>
      <c r="D23" s="50">
        <v>642.24</v>
      </c>
      <c r="E23" s="47">
        <v>1032295.4939999998</v>
      </c>
      <c r="F23" s="50">
        <v>575.06999999999994</v>
      </c>
      <c r="G23" s="48">
        <v>885328.49599999993</v>
      </c>
      <c r="H23" s="50">
        <v>571.41800000000001</v>
      </c>
      <c r="I23" s="48">
        <v>928083.90149999992</v>
      </c>
    </row>
    <row r="24" spans="1:11" ht="12.6" customHeight="1">
      <c r="A24" s="43" t="s">
        <v>753</v>
      </c>
      <c r="B24" s="44" t="s">
        <v>481</v>
      </c>
      <c r="C24" s="43" t="s">
        <v>850</v>
      </c>
      <c r="D24" s="50">
        <v>1938.3000000000002</v>
      </c>
      <c r="E24" s="47">
        <v>3498150.92</v>
      </c>
      <c r="F24" s="50">
        <v>1920.3</v>
      </c>
      <c r="G24" s="48">
        <v>3364454.8849999998</v>
      </c>
      <c r="H24" s="50">
        <v>1783.9</v>
      </c>
      <c r="I24" s="48">
        <v>3157020.8849999998</v>
      </c>
    </row>
    <row r="25" spans="1:11">
      <c r="A25" s="43" t="s">
        <v>749</v>
      </c>
      <c r="B25" s="44" t="s">
        <v>480</v>
      </c>
      <c r="C25" s="43" t="s">
        <v>850</v>
      </c>
      <c r="D25" s="47" t="s">
        <v>680</v>
      </c>
      <c r="E25" s="47" t="s">
        <v>680</v>
      </c>
      <c r="F25" s="47" t="s">
        <v>680</v>
      </c>
      <c r="G25" s="47" t="s">
        <v>680</v>
      </c>
      <c r="H25" s="47" t="s">
        <v>680</v>
      </c>
      <c r="I25" s="47" t="s">
        <v>680</v>
      </c>
    </row>
    <row r="26" spans="1:11">
      <c r="A26" s="43" t="s">
        <v>750</v>
      </c>
      <c r="B26" s="44" t="s">
        <v>480</v>
      </c>
      <c r="C26" s="43" t="s">
        <v>850</v>
      </c>
      <c r="D26" s="50">
        <v>10828.5</v>
      </c>
      <c r="E26" s="47">
        <v>23111078.709999997</v>
      </c>
      <c r="F26" s="50">
        <v>1304.6499999999999</v>
      </c>
      <c r="G26" s="48">
        <v>2838600.4990000003</v>
      </c>
      <c r="H26" s="50">
        <v>1442.7199999999998</v>
      </c>
      <c r="I26" s="48">
        <v>3167113.6340000001</v>
      </c>
      <c r="J26" s="50">
        <v>2664.7099999999996</v>
      </c>
      <c r="K26" s="48">
        <v>5374554.4665000001</v>
      </c>
    </row>
    <row r="27" spans="1:11">
      <c r="A27" s="43" t="s">
        <v>751</v>
      </c>
      <c r="B27" s="44" t="s">
        <v>481</v>
      </c>
      <c r="C27" s="43" t="s">
        <v>850</v>
      </c>
      <c r="D27" s="50">
        <v>1747.1950659999998</v>
      </c>
      <c r="E27" s="47">
        <v>4749397.6226935992</v>
      </c>
      <c r="F27" s="50">
        <v>1693.8203324999999</v>
      </c>
      <c r="G27" s="48">
        <v>4463648.6973922504</v>
      </c>
      <c r="H27" s="50">
        <v>1854.9963367</v>
      </c>
      <c r="I27" s="48">
        <v>4970994.3501043189</v>
      </c>
    </row>
    <row r="28" spans="1:11">
      <c r="A28" s="43" t="s">
        <v>564</v>
      </c>
      <c r="B28" s="44" t="s">
        <v>481</v>
      </c>
      <c r="C28" s="43" t="s">
        <v>850</v>
      </c>
      <c r="D28" s="47" t="s">
        <v>680</v>
      </c>
      <c r="E28" s="47" t="s">
        <v>680</v>
      </c>
      <c r="F28" s="47" t="s">
        <v>680</v>
      </c>
      <c r="G28" s="47" t="s">
        <v>680</v>
      </c>
      <c r="H28" s="50">
        <v>345536.77</v>
      </c>
      <c r="I28" s="48">
        <v>578645861.3830899</v>
      </c>
    </row>
    <row r="29" spans="1:11">
      <c r="A29" s="43" t="s">
        <v>755</v>
      </c>
      <c r="B29" s="44" t="s">
        <v>481</v>
      </c>
      <c r="C29" s="43" t="s">
        <v>850</v>
      </c>
      <c r="D29" s="50">
        <v>2627.6790000000001</v>
      </c>
      <c r="E29" s="47">
        <v>5248637.122849999</v>
      </c>
      <c r="F29" s="50">
        <v>2423.169551</v>
      </c>
      <c r="G29" s="48">
        <v>5062989.9709144458</v>
      </c>
      <c r="H29" s="50">
        <v>2492.1700000000005</v>
      </c>
      <c r="I29" s="48">
        <v>5086348.569649999</v>
      </c>
    </row>
    <row r="30" spans="1:11">
      <c r="A30" s="43" t="s">
        <v>978</v>
      </c>
      <c r="B30" s="44" t="s">
        <v>480</v>
      </c>
      <c r="C30" s="43" t="s">
        <v>850</v>
      </c>
      <c r="D30" s="50">
        <v>13.78</v>
      </c>
      <c r="E30" s="47">
        <v>34149.264999999999</v>
      </c>
      <c r="F30" s="50">
        <v>14.690000000000001</v>
      </c>
      <c r="G30" s="48">
        <v>35940.955000000002</v>
      </c>
      <c r="H30" s="50">
        <v>16.900000000000002</v>
      </c>
      <c r="I30" s="48">
        <v>40697.479999999996</v>
      </c>
    </row>
    <row r="31" spans="1:11">
      <c r="A31" s="43" t="s">
        <v>979</v>
      </c>
      <c r="B31" s="44" t="s">
        <v>480</v>
      </c>
      <c r="C31" s="43" t="s">
        <v>850</v>
      </c>
      <c r="D31" s="47" t="s">
        <v>680</v>
      </c>
      <c r="E31" s="47" t="s">
        <v>680</v>
      </c>
      <c r="F31" s="47" t="s">
        <v>680</v>
      </c>
      <c r="G31" s="47" t="s">
        <v>680</v>
      </c>
      <c r="H31" s="66" t="s">
        <v>680</v>
      </c>
      <c r="I31" s="47" t="s">
        <v>680</v>
      </c>
    </row>
    <row r="32" spans="1:11">
      <c r="A32" s="69" t="s">
        <v>980</v>
      </c>
      <c r="B32" s="44" t="s">
        <v>480</v>
      </c>
      <c r="C32" s="43" t="s">
        <v>850</v>
      </c>
      <c r="D32" s="50">
        <v>1.55</v>
      </c>
      <c r="E32" s="47">
        <v>3756.57</v>
      </c>
      <c r="F32" s="50">
        <v>0.54100000000000004</v>
      </c>
      <c r="G32" s="48">
        <v>1147.1514999999999</v>
      </c>
      <c r="H32" s="50">
        <v>2.4569999999999999</v>
      </c>
      <c r="I32" s="48">
        <v>6575.9114</v>
      </c>
    </row>
    <row r="33" spans="1:9">
      <c r="A33" s="43" t="s">
        <v>756</v>
      </c>
      <c r="B33" s="44" t="s">
        <v>480</v>
      </c>
      <c r="C33" s="43" t="s">
        <v>850</v>
      </c>
      <c r="D33" s="50">
        <v>527.09</v>
      </c>
      <c r="E33" s="47">
        <v>1099816.25</v>
      </c>
      <c r="F33" s="50">
        <v>490.78000000000003</v>
      </c>
      <c r="G33" s="48">
        <v>1100452.5109999999</v>
      </c>
      <c r="H33" s="50">
        <v>457.72000000000008</v>
      </c>
      <c r="I33" s="48">
        <v>960248.56900000002</v>
      </c>
    </row>
    <row r="34" spans="1:9">
      <c r="A34" s="43" t="s">
        <v>764</v>
      </c>
      <c r="B34" s="44" t="s">
        <v>481</v>
      </c>
      <c r="C34" s="43" t="s">
        <v>850</v>
      </c>
      <c r="D34" s="50">
        <v>14010.670000000002</v>
      </c>
      <c r="E34" s="47">
        <v>26929845.239999998</v>
      </c>
      <c r="F34" s="50">
        <v>13195.720000000001</v>
      </c>
      <c r="G34" s="48">
        <v>25276054.34</v>
      </c>
      <c r="H34" s="50">
        <v>12807.720000000001</v>
      </c>
      <c r="I34" s="48">
        <v>24538990.489999998</v>
      </c>
    </row>
    <row r="35" spans="1:9">
      <c r="A35" s="43" t="s">
        <v>662</v>
      </c>
      <c r="B35" s="44" t="s">
        <v>480</v>
      </c>
      <c r="C35" s="43" t="s">
        <v>850</v>
      </c>
      <c r="D35" s="50">
        <v>510.76600000000002</v>
      </c>
      <c r="E35" s="47">
        <v>1118343.2834999999</v>
      </c>
      <c r="F35" s="50">
        <v>376.28099999999995</v>
      </c>
      <c r="G35" s="48">
        <v>739546.41749999998</v>
      </c>
      <c r="H35" s="50">
        <v>381.411</v>
      </c>
      <c r="I35" s="48">
        <v>518540.55150000006</v>
      </c>
    </row>
    <row r="36" spans="1:9">
      <c r="A36" s="67" t="s">
        <v>294</v>
      </c>
      <c r="B36" s="44" t="s">
        <v>481</v>
      </c>
      <c r="C36" s="43" t="s">
        <v>850</v>
      </c>
      <c r="D36" s="50">
        <v>301</v>
      </c>
      <c r="E36" s="47">
        <v>430430</v>
      </c>
      <c r="F36" s="50">
        <v>347</v>
      </c>
      <c r="G36" s="48">
        <v>496210</v>
      </c>
      <c r="H36" s="50">
        <v>357</v>
      </c>
      <c r="I36" s="48">
        <v>510510</v>
      </c>
    </row>
    <row r="37" spans="1:9">
      <c r="A37" s="67" t="s">
        <v>295</v>
      </c>
      <c r="B37" s="44" t="s">
        <v>481</v>
      </c>
      <c r="C37" s="43" t="s">
        <v>850</v>
      </c>
      <c r="D37" s="47" t="s">
        <v>680</v>
      </c>
      <c r="E37" s="47" t="s">
        <v>680</v>
      </c>
      <c r="F37" s="47" t="s">
        <v>680</v>
      </c>
      <c r="G37" s="47" t="s">
        <v>680</v>
      </c>
      <c r="H37" s="66" t="s">
        <v>680</v>
      </c>
      <c r="I37" s="47" t="s">
        <v>680</v>
      </c>
    </row>
    <row r="38" spans="1:9">
      <c r="A38" s="67" t="s">
        <v>162</v>
      </c>
      <c r="B38" s="44" t="s">
        <v>480</v>
      </c>
      <c r="C38" s="43" t="s">
        <v>850</v>
      </c>
      <c r="D38" s="47" t="s">
        <v>680</v>
      </c>
      <c r="E38" s="47" t="s">
        <v>680</v>
      </c>
      <c r="F38" s="47" t="s">
        <v>680</v>
      </c>
      <c r="G38" s="47" t="s">
        <v>680</v>
      </c>
      <c r="H38" s="66" t="s">
        <v>680</v>
      </c>
      <c r="I38" s="47" t="s">
        <v>680</v>
      </c>
    </row>
    <row r="39" spans="1:9">
      <c r="A39" s="43" t="s">
        <v>163</v>
      </c>
      <c r="B39" s="44" t="s">
        <v>480</v>
      </c>
      <c r="C39" s="43" t="s">
        <v>850</v>
      </c>
      <c r="D39" s="47" t="s">
        <v>680</v>
      </c>
      <c r="E39" s="47" t="s">
        <v>680</v>
      </c>
      <c r="F39" s="47" t="s">
        <v>680</v>
      </c>
      <c r="G39" s="47" t="s">
        <v>680</v>
      </c>
      <c r="H39" s="50">
        <v>1.31</v>
      </c>
      <c r="I39" s="48">
        <v>3435.0929999999998</v>
      </c>
    </row>
    <row r="40" spans="1:9">
      <c r="A40" s="43" t="s">
        <v>981</v>
      </c>
      <c r="B40" s="44" t="s">
        <v>481</v>
      </c>
      <c r="C40" s="43" t="s">
        <v>850</v>
      </c>
      <c r="D40" s="50">
        <v>1351.1800000000003</v>
      </c>
      <c r="E40" s="47">
        <v>2432359.5440000002</v>
      </c>
      <c r="F40" s="50">
        <v>1428.3769999999997</v>
      </c>
      <c r="G40" s="48">
        <v>2475787.4767999998</v>
      </c>
      <c r="H40" s="50">
        <v>1104.3799999999997</v>
      </c>
      <c r="I40" s="48">
        <v>2071418.4552500003</v>
      </c>
    </row>
    <row r="41" spans="1:9">
      <c r="A41" s="43" t="s">
        <v>664</v>
      </c>
      <c r="B41" s="44" t="s">
        <v>481</v>
      </c>
      <c r="C41" s="43" t="s">
        <v>850</v>
      </c>
      <c r="D41" s="50">
        <v>1113.68</v>
      </c>
      <c r="E41" s="47">
        <v>2370518.3214999996</v>
      </c>
      <c r="F41" s="50">
        <v>600.48080000000004</v>
      </c>
      <c r="G41" s="48">
        <v>861591.95</v>
      </c>
      <c r="H41" s="50">
        <v>860.56059999999979</v>
      </c>
      <c r="I41" s="48">
        <v>1931128.9785249999</v>
      </c>
    </row>
    <row r="42" spans="1:9">
      <c r="A42" s="43" t="s">
        <v>666</v>
      </c>
      <c r="B42" s="44" t="s">
        <v>481</v>
      </c>
      <c r="C42" s="43" t="s">
        <v>850</v>
      </c>
      <c r="D42" s="47" t="s">
        <v>680</v>
      </c>
      <c r="E42" s="47" t="s">
        <v>680</v>
      </c>
      <c r="F42" s="47" t="s">
        <v>680</v>
      </c>
      <c r="G42" s="47" t="s">
        <v>680</v>
      </c>
      <c r="H42" s="66" t="s">
        <v>680</v>
      </c>
      <c r="I42" s="47" t="s">
        <v>680</v>
      </c>
    </row>
    <row r="43" spans="1:9">
      <c r="A43" s="43" t="s">
        <v>575</v>
      </c>
      <c r="B43" s="44" t="s">
        <v>480</v>
      </c>
      <c r="C43" s="43" t="s">
        <v>850</v>
      </c>
      <c r="D43" s="47" t="s">
        <v>680</v>
      </c>
      <c r="E43" s="47" t="s">
        <v>680</v>
      </c>
      <c r="F43" s="47" t="s">
        <v>680</v>
      </c>
      <c r="G43" s="47" t="s">
        <v>680</v>
      </c>
      <c r="H43" s="50">
        <v>414.20000000000005</v>
      </c>
      <c r="I43" s="48">
        <v>985084.94199999981</v>
      </c>
    </row>
    <row r="44" spans="1:9">
      <c r="A44" s="43" t="s">
        <v>363</v>
      </c>
      <c r="B44" s="44" t="s">
        <v>480</v>
      </c>
      <c r="C44" s="43" t="s">
        <v>850</v>
      </c>
      <c r="D44" s="50">
        <v>18.78</v>
      </c>
      <c r="E44" s="47">
        <v>39686.149000000005</v>
      </c>
      <c r="F44" s="50">
        <v>180.49</v>
      </c>
      <c r="G44" s="48">
        <v>280362.41399999999</v>
      </c>
      <c r="H44" s="50">
        <v>31.61</v>
      </c>
      <c r="I44" s="48">
        <v>73076.404999999999</v>
      </c>
    </row>
    <row r="45" spans="1:9">
      <c r="A45" s="68" t="s">
        <v>245</v>
      </c>
      <c r="B45" s="44" t="s">
        <v>480</v>
      </c>
      <c r="C45" s="43" t="s">
        <v>850</v>
      </c>
      <c r="D45" s="47" t="s">
        <v>680</v>
      </c>
      <c r="E45" s="47" t="s">
        <v>680</v>
      </c>
      <c r="F45" s="47" t="s">
        <v>680</v>
      </c>
      <c r="G45" s="47" t="s">
        <v>680</v>
      </c>
      <c r="H45" s="66" t="s">
        <v>680</v>
      </c>
      <c r="I45" s="47" t="s">
        <v>680</v>
      </c>
    </row>
    <row r="46" spans="1:9">
      <c r="A46" s="43" t="s">
        <v>844</v>
      </c>
      <c r="B46" s="44" t="s">
        <v>480</v>
      </c>
      <c r="C46" s="43" t="s">
        <v>850</v>
      </c>
      <c r="D46" s="50">
        <v>14.75</v>
      </c>
      <c r="E46" s="47">
        <v>33979.550000000003</v>
      </c>
      <c r="F46" s="50">
        <v>14.639999999999999</v>
      </c>
      <c r="G46" s="48">
        <v>32387.600000000002</v>
      </c>
      <c r="H46" s="50">
        <v>33.206800000000001</v>
      </c>
      <c r="I46" s="48">
        <v>104350.39402000001</v>
      </c>
    </row>
    <row r="47" spans="1:9">
      <c r="A47" s="43" t="s">
        <v>576</v>
      </c>
      <c r="B47" s="44" t="s">
        <v>480</v>
      </c>
      <c r="C47" s="43" t="s">
        <v>850</v>
      </c>
      <c r="D47" s="50">
        <v>198.04</v>
      </c>
      <c r="E47" s="47">
        <v>381432.77799999999</v>
      </c>
      <c r="F47" s="50">
        <v>152.4</v>
      </c>
      <c r="G47" s="48">
        <v>291994.44999999995</v>
      </c>
      <c r="H47" s="50">
        <v>62.570000000000007</v>
      </c>
      <c r="I47" s="48">
        <v>103481.1825</v>
      </c>
    </row>
    <row r="48" spans="1:9">
      <c r="A48" s="43" t="s">
        <v>577</v>
      </c>
      <c r="B48" s="44" t="s">
        <v>480</v>
      </c>
      <c r="C48" s="43" t="s">
        <v>850</v>
      </c>
      <c r="D48" s="50">
        <v>96.838200000000001</v>
      </c>
      <c r="E48" s="47">
        <v>280202.87900000002</v>
      </c>
      <c r="F48" s="50">
        <v>95.324399999999997</v>
      </c>
      <c r="G48" s="48">
        <v>224209.30109999998</v>
      </c>
      <c r="H48" s="50">
        <v>78.675899999999984</v>
      </c>
      <c r="I48" s="48">
        <v>239167.45519000004</v>
      </c>
    </row>
    <row r="49" spans="1:9">
      <c r="A49" s="43" t="s">
        <v>578</v>
      </c>
      <c r="B49" s="44" t="s">
        <v>481</v>
      </c>
      <c r="C49" s="43" t="s">
        <v>850</v>
      </c>
      <c r="D49" s="50">
        <v>1015</v>
      </c>
      <c r="E49" s="47">
        <v>2353671</v>
      </c>
      <c r="F49" s="50">
        <v>850</v>
      </c>
      <c r="G49" s="48">
        <v>1805192.5</v>
      </c>
      <c r="H49" s="50">
        <v>973.18</v>
      </c>
      <c r="I49" s="48">
        <v>2063885.75</v>
      </c>
    </row>
    <row r="50" spans="1:9">
      <c r="A50" s="43" t="s">
        <v>982</v>
      </c>
      <c r="B50" s="44" t="s">
        <v>480</v>
      </c>
      <c r="C50" s="43" t="s">
        <v>850</v>
      </c>
      <c r="D50" s="47" t="s">
        <v>680</v>
      </c>
      <c r="E50" s="47" t="s">
        <v>680</v>
      </c>
      <c r="F50" s="50">
        <v>78.7</v>
      </c>
      <c r="G50" s="47">
        <v>173032.745</v>
      </c>
      <c r="H50" s="50">
        <v>110.48700000000001</v>
      </c>
      <c r="I50" s="48">
        <v>282432.17250000004</v>
      </c>
    </row>
    <row r="51" spans="1:9">
      <c r="A51" s="43" t="s">
        <v>580</v>
      </c>
      <c r="B51" s="44" t="s">
        <v>480</v>
      </c>
      <c r="C51" s="43" t="s">
        <v>850</v>
      </c>
      <c r="D51" s="47" t="s">
        <v>680</v>
      </c>
      <c r="E51" s="47" t="s">
        <v>680</v>
      </c>
      <c r="F51" s="47" t="s">
        <v>680</v>
      </c>
      <c r="G51" s="47" t="s">
        <v>680</v>
      </c>
      <c r="H51" s="66" t="s">
        <v>680</v>
      </c>
      <c r="I51" s="47" t="s">
        <v>680</v>
      </c>
    </row>
    <row r="52" spans="1:9">
      <c r="A52" s="43" t="s">
        <v>581</v>
      </c>
      <c r="B52" s="44" t="s">
        <v>481</v>
      </c>
      <c r="C52" s="43" t="s">
        <v>850</v>
      </c>
      <c r="D52" s="50">
        <v>255.66400000000002</v>
      </c>
      <c r="E52" s="47">
        <v>529441.69850000006</v>
      </c>
      <c r="F52" s="50">
        <v>241.70699999999997</v>
      </c>
      <c r="G52" s="48">
        <v>471377.96529999998</v>
      </c>
      <c r="H52" s="50">
        <v>297.84499999999997</v>
      </c>
      <c r="I52" s="48">
        <v>550123.16449999996</v>
      </c>
    </row>
    <row r="53" spans="1:9" ht="12" customHeight="1">
      <c r="A53" s="43" t="s">
        <v>583</v>
      </c>
      <c r="B53" s="44" t="s">
        <v>480</v>
      </c>
      <c r="C53" s="43" t="s">
        <v>850</v>
      </c>
      <c r="D53" s="50">
        <v>11.875999999999999</v>
      </c>
      <c r="E53" s="47">
        <v>24031.5946</v>
      </c>
      <c r="F53" s="50">
        <v>14.76</v>
      </c>
      <c r="G53" s="48">
        <v>32006.450499999999</v>
      </c>
      <c r="H53" s="50">
        <v>25.310000000000002</v>
      </c>
      <c r="I53" s="48">
        <v>72285.146500000003</v>
      </c>
    </row>
    <row r="54" spans="1:9">
      <c r="A54" s="43" t="s">
        <v>584</v>
      </c>
      <c r="B54" s="44" t="s">
        <v>480</v>
      </c>
      <c r="C54" s="43" t="s">
        <v>850</v>
      </c>
      <c r="D54" s="50">
        <v>541.06898000000001</v>
      </c>
      <c r="E54" s="47">
        <v>1169363.8036714997</v>
      </c>
      <c r="F54" s="50">
        <v>483.70999999999992</v>
      </c>
      <c r="G54" s="48">
        <v>972319.83265</v>
      </c>
      <c r="H54" s="50">
        <v>507.03454999999991</v>
      </c>
      <c r="I54" s="48">
        <v>892189.17666599993</v>
      </c>
    </row>
    <row r="55" spans="1:9">
      <c r="A55" s="43" t="s">
        <v>585</v>
      </c>
      <c r="B55" s="44" t="s">
        <v>481</v>
      </c>
      <c r="C55" s="43" t="s">
        <v>850</v>
      </c>
      <c r="D55" s="50">
        <v>687.5</v>
      </c>
      <c r="E55" s="47">
        <v>1391073.3</v>
      </c>
      <c r="F55" s="50">
        <v>687.5</v>
      </c>
      <c r="G55" s="48">
        <v>1391073.3</v>
      </c>
      <c r="H55" s="50">
        <v>687.5</v>
      </c>
      <c r="I55" s="48">
        <v>1391073.3</v>
      </c>
    </row>
    <row r="56" spans="1:9">
      <c r="A56" s="68" t="s">
        <v>771</v>
      </c>
      <c r="B56" s="44" t="s">
        <v>480</v>
      </c>
      <c r="C56" s="43" t="s">
        <v>850</v>
      </c>
      <c r="D56" s="50">
        <v>687.5</v>
      </c>
      <c r="E56" s="47">
        <v>1391073.3</v>
      </c>
      <c r="F56" s="50">
        <v>303</v>
      </c>
      <c r="G56" s="48">
        <v>743865.7</v>
      </c>
      <c r="H56" s="50">
        <v>253</v>
      </c>
      <c r="I56" s="48">
        <v>602208.5</v>
      </c>
    </row>
    <row r="57" spans="1:9">
      <c r="A57" s="43" t="s">
        <v>586</v>
      </c>
      <c r="B57" s="44" t="s">
        <v>480</v>
      </c>
      <c r="C57" s="43" t="s">
        <v>850</v>
      </c>
      <c r="D57" s="50">
        <v>46.45</v>
      </c>
      <c r="E57" s="47">
        <v>92738.353000000003</v>
      </c>
      <c r="F57" s="50">
        <v>29.08</v>
      </c>
      <c r="G57" s="48">
        <v>60722.913</v>
      </c>
      <c r="H57" s="50">
        <v>52.190000000000005</v>
      </c>
      <c r="I57" s="48">
        <v>112245.09724999999</v>
      </c>
    </row>
    <row r="58" spans="1:9">
      <c r="A58" s="67" t="s">
        <v>582</v>
      </c>
      <c r="B58" s="44" t="s">
        <v>480</v>
      </c>
      <c r="C58" s="43" t="s">
        <v>850</v>
      </c>
      <c r="D58" s="50">
        <v>49.879999999999995</v>
      </c>
      <c r="E58" s="47">
        <v>93302.558999999994</v>
      </c>
      <c r="F58" s="50">
        <v>20.57</v>
      </c>
      <c r="G58" s="48">
        <v>45483.465000000004</v>
      </c>
      <c r="H58" s="50">
        <v>49.28</v>
      </c>
      <c r="I58" s="48">
        <v>98828.726999999999</v>
      </c>
    </row>
    <row r="59" spans="1:9">
      <c r="A59" s="43" t="s">
        <v>587</v>
      </c>
      <c r="B59" s="44" t="s">
        <v>480</v>
      </c>
      <c r="C59" s="43" t="s">
        <v>850</v>
      </c>
      <c r="D59" s="50">
        <v>701.9</v>
      </c>
      <c r="E59" s="47">
        <v>1431079.0645000001</v>
      </c>
      <c r="F59" s="50">
        <v>485.34000000000003</v>
      </c>
      <c r="G59" s="48">
        <v>1061579.0019999999</v>
      </c>
      <c r="H59" s="50">
        <v>523.23</v>
      </c>
      <c r="I59" s="48">
        <v>1084227.6209999998</v>
      </c>
    </row>
    <row r="60" spans="1:9">
      <c r="A60" s="43" t="s">
        <v>669</v>
      </c>
      <c r="B60" s="44" t="s">
        <v>481</v>
      </c>
      <c r="C60" s="43" t="s">
        <v>850</v>
      </c>
      <c r="D60" s="47" t="s">
        <v>680</v>
      </c>
      <c r="E60" s="47" t="s">
        <v>680</v>
      </c>
      <c r="F60" s="47" t="s">
        <v>680</v>
      </c>
      <c r="G60" s="47" t="s">
        <v>680</v>
      </c>
      <c r="H60" s="66" t="s">
        <v>680</v>
      </c>
      <c r="I60" s="47" t="s">
        <v>680</v>
      </c>
    </row>
    <row r="61" spans="1:9">
      <c r="A61" s="43" t="s">
        <v>667</v>
      </c>
      <c r="B61" s="44" t="s">
        <v>480</v>
      </c>
      <c r="C61" s="43" t="s">
        <v>850</v>
      </c>
      <c r="D61" s="47" t="s">
        <v>680</v>
      </c>
      <c r="E61" s="47" t="s">
        <v>680</v>
      </c>
      <c r="F61" s="47" t="s">
        <v>680</v>
      </c>
      <c r="G61" s="47" t="s">
        <v>680</v>
      </c>
      <c r="H61" s="66" t="s">
        <v>680</v>
      </c>
      <c r="I61" s="47" t="s">
        <v>680</v>
      </c>
    </row>
    <row r="62" spans="1:9">
      <c r="A62" s="43" t="s">
        <v>668</v>
      </c>
      <c r="B62" s="44" t="s">
        <v>481</v>
      </c>
      <c r="C62" s="43" t="s">
        <v>850</v>
      </c>
      <c r="D62" s="47" t="s">
        <v>680</v>
      </c>
      <c r="E62" s="47" t="s">
        <v>680</v>
      </c>
      <c r="F62" s="50">
        <v>1436.0534</v>
      </c>
      <c r="G62" s="48">
        <v>2669069.0639</v>
      </c>
      <c r="H62" s="50">
        <v>788.97399999999993</v>
      </c>
      <c r="I62" s="48">
        <v>1516969.9028</v>
      </c>
    </row>
    <row r="63" spans="1:9">
      <c r="A63" s="43" t="s">
        <v>103</v>
      </c>
      <c r="B63" s="44" t="s">
        <v>481</v>
      </c>
      <c r="C63" s="43" t="s">
        <v>850</v>
      </c>
      <c r="D63" s="50">
        <v>257.72300000000001</v>
      </c>
      <c r="E63" s="47">
        <v>935855.1081999999</v>
      </c>
      <c r="F63" s="50">
        <v>252.51999999999998</v>
      </c>
      <c r="G63" s="48">
        <v>603917.56599999999</v>
      </c>
      <c r="H63" s="50">
        <v>168.506</v>
      </c>
      <c r="I63" s="48">
        <v>365394.77710000001</v>
      </c>
    </row>
    <row r="64" spans="1:9">
      <c r="A64" s="43" t="s">
        <v>104</v>
      </c>
      <c r="B64" s="44" t="s">
        <v>480</v>
      </c>
      <c r="C64" s="43" t="s">
        <v>850</v>
      </c>
      <c r="D64" s="50">
        <v>2.2388000000000003</v>
      </c>
      <c r="E64" s="47">
        <v>5575.45975</v>
      </c>
      <c r="F64" s="50">
        <v>2.19</v>
      </c>
      <c r="G64" s="48">
        <v>7063.4249999999993</v>
      </c>
      <c r="H64" s="50">
        <v>3.57</v>
      </c>
      <c r="I64" s="48">
        <v>10470.736000000001</v>
      </c>
    </row>
    <row r="65" spans="1:9">
      <c r="A65" s="43" t="s">
        <v>762</v>
      </c>
      <c r="B65" s="44" t="s">
        <v>480</v>
      </c>
      <c r="C65" s="43" t="s">
        <v>850</v>
      </c>
      <c r="D65" s="50">
        <v>188.96000000000004</v>
      </c>
      <c r="E65" s="47">
        <v>614761.25500000012</v>
      </c>
      <c r="F65" s="50">
        <v>167.15</v>
      </c>
      <c r="G65" s="48">
        <v>311871.76850000001</v>
      </c>
      <c r="H65" s="50">
        <v>176.77</v>
      </c>
      <c r="I65" s="48">
        <v>363430.01749999996</v>
      </c>
    </row>
    <row r="66" spans="1:9">
      <c r="A66" s="69" t="s">
        <v>991</v>
      </c>
      <c r="B66" s="44" t="s">
        <v>480</v>
      </c>
      <c r="C66" s="43" t="s">
        <v>850</v>
      </c>
      <c r="D66" s="50">
        <v>100.03</v>
      </c>
      <c r="E66" s="47">
        <v>159040.633</v>
      </c>
      <c r="F66" s="50">
        <v>41.591000000000001</v>
      </c>
      <c r="G66" s="48">
        <v>76943.685700000002</v>
      </c>
      <c r="H66" s="50">
        <v>41.894000000000005</v>
      </c>
      <c r="I66" s="48">
        <v>70404.514599999995</v>
      </c>
    </row>
    <row r="67" spans="1:9">
      <c r="A67" s="43" t="s">
        <v>732</v>
      </c>
      <c r="B67" s="44" t="s">
        <v>481</v>
      </c>
      <c r="C67" s="43" t="s">
        <v>850</v>
      </c>
      <c r="D67" s="50">
        <v>43.4</v>
      </c>
      <c r="E67" s="47">
        <v>30068.5</v>
      </c>
      <c r="F67" s="50">
        <v>43.4</v>
      </c>
      <c r="G67" s="48">
        <v>30068.5</v>
      </c>
      <c r="H67" s="50">
        <v>863.7</v>
      </c>
      <c r="I67" s="48">
        <v>1604665.05</v>
      </c>
    </row>
    <row r="68" spans="1:9">
      <c r="A68" s="43" t="s">
        <v>733</v>
      </c>
      <c r="B68" s="44" t="s">
        <v>480</v>
      </c>
      <c r="C68" s="43" t="s">
        <v>850</v>
      </c>
      <c r="D68" s="50">
        <v>11.73</v>
      </c>
      <c r="E68" s="47">
        <v>24175.010000000002</v>
      </c>
      <c r="F68" s="50">
        <v>27.120999999999999</v>
      </c>
      <c r="G68" s="48">
        <v>52477.741799999996</v>
      </c>
      <c r="H68" s="50">
        <v>13.83175</v>
      </c>
      <c r="I68" s="48">
        <v>26114.330399999999</v>
      </c>
    </row>
    <row r="69" spans="1:9">
      <c r="A69" s="67" t="s">
        <v>734</v>
      </c>
      <c r="B69" s="44" t="s">
        <v>480</v>
      </c>
      <c r="C69" s="43" t="s">
        <v>850</v>
      </c>
      <c r="D69" s="50">
        <v>8.51</v>
      </c>
      <c r="E69" s="47">
        <v>9361</v>
      </c>
      <c r="F69" s="50">
        <v>30.56</v>
      </c>
      <c r="G69" s="48">
        <v>73313.497999999992</v>
      </c>
      <c r="H69" s="50">
        <v>45.66</v>
      </c>
      <c r="I69" s="48">
        <v>85248.867999999988</v>
      </c>
    </row>
    <row r="70" spans="1:9">
      <c r="A70" s="43" t="s">
        <v>464</v>
      </c>
      <c r="B70" s="44" t="s">
        <v>481</v>
      </c>
      <c r="C70" s="43" t="s">
        <v>850</v>
      </c>
      <c r="D70" s="47" t="s">
        <v>680</v>
      </c>
      <c r="E70" s="47" t="s">
        <v>680</v>
      </c>
      <c r="F70" s="47" t="s">
        <v>680</v>
      </c>
      <c r="G70" s="47" t="s">
        <v>680</v>
      </c>
      <c r="H70" s="66" t="s">
        <v>680</v>
      </c>
      <c r="I70" s="47" t="s">
        <v>680</v>
      </c>
    </row>
    <row r="71" spans="1:9">
      <c r="A71" s="43" t="s">
        <v>735</v>
      </c>
      <c r="B71" s="44" t="s">
        <v>481</v>
      </c>
      <c r="C71" s="43" t="s">
        <v>850</v>
      </c>
      <c r="D71" s="50">
        <v>681.1</v>
      </c>
      <c r="E71" s="47">
        <v>1557967.905</v>
      </c>
      <c r="F71" s="50">
        <v>551</v>
      </c>
      <c r="G71" s="48">
        <v>1090927</v>
      </c>
      <c r="H71" s="50">
        <v>735</v>
      </c>
      <c r="I71" s="48">
        <v>2713971.5</v>
      </c>
    </row>
    <row r="72" spans="1:9" ht="12.6" customHeight="1">
      <c r="A72" s="43" t="s">
        <v>679</v>
      </c>
      <c r="B72" s="44" t="s">
        <v>480</v>
      </c>
      <c r="C72" s="43" t="s">
        <v>850</v>
      </c>
      <c r="D72" s="50">
        <v>108.9</v>
      </c>
      <c r="E72" s="47">
        <v>160452.74500000002</v>
      </c>
      <c r="F72" s="50">
        <v>114.8</v>
      </c>
      <c r="G72" s="48">
        <v>196209.20499999999</v>
      </c>
      <c r="H72" s="50">
        <v>115.19999999999999</v>
      </c>
      <c r="I72" s="48">
        <v>196557.435</v>
      </c>
    </row>
    <row r="73" spans="1:9">
      <c r="A73" s="43" t="s">
        <v>736</v>
      </c>
      <c r="B73" s="44" t="s">
        <v>481</v>
      </c>
      <c r="C73" s="43" t="s">
        <v>850</v>
      </c>
      <c r="D73" s="47" t="s">
        <v>680</v>
      </c>
      <c r="E73" s="47" t="s">
        <v>680</v>
      </c>
      <c r="F73" s="50">
        <v>9006.3700000000026</v>
      </c>
      <c r="G73" s="48">
        <v>14566842.457999999</v>
      </c>
      <c r="H73" s="50">
        <v>8791.777</v>
      </c>
      <c r="I73" s="48">
        <v>13508344.893699998</v>
      </c>
    </row>
    <row r="74" spans="1:9">
      <c r="A74" s="43" t="s">
        <v>676</v>
      </c>
      <c r="B74" s="44" t="s">
        <v>480</v>
      </c>
      <c r="C74" s="43" t="s">
        <v>850</v>
      </c>
      <c r="D74" s="50">
        <v>155.62434999999999</v>
      </c>
      <c r="E74" s="47">
        <v>414099.17283</v>
      </c>
      <c r="F74" s="50">
        <v>119.25520000000002</v>
      </c>
      <c r="G74" s="48">
        <v>289696.86845500005</v>
      </c>
      <c r="H74" s="50">
        <v>139.65389999999999</v>
      </c>
      <c r="I74" s="48">
        <v>307531.25085000001</v>
      </c>
    </row>
    <row r="75" spans="1:9">
      <c r="A75" s="43" t="s">
        <v>678</v>
      </c>
      <c r="B75" s="44" t="s">
        <v>480</v>
      </c>
      <c r="C75" s="43" t="s">
        <v>850</v>
      </c>
      <c r="D75" s="50">
        <v>45</v>
      </c>
      <c r="E75" s="47">
        <v>99942</v>
      </c>
      <c r="F75" s="50">
        <v>47.5</v>
      </c>
      <c r="G75" s="48">
        <v>103440</v>
      </c>
    </row>
    <row r="76" spans="1:9">
      <c r="A76" s="43" t="s">
        <v>983</v>
      </c>
      <c r="B76" s="44" t="s">
        <v>480</v>
      </c>
      <c r="C76" s="43" t="s">
        <v>850</v>
      </c>
      <c r="D76" s="50">
        <v>3.15</v>
      </c>
      <c r="E76" s="47">
        <v>7095.6525000000001</v>
      </c>
      <c r="F76" s="50">
        <v>3.8370000000000002</v>
      </c>
      <c r="G76" s="48">
        <v>7067.2450000000008</v>
      </c>
      <c r="H76" s="50">
        <v>2.2520000000000002</v>
      </c>
      <c r="I76" s="48">
        <v>4379.7106000000003</v>
      </c>
    </row>
    <row r="77" spans="1:9">
      <c r="A77" s="43" t="s">
        <v>675</v>
      </c>
      <c r="B77" s="44" t="s">
        <v>481</v>
      </c>
      <c r="C77" s="43" t="s">
        <v>850</v>
      </c>
      <c r="D77" s="47" t="s">
        <v>680</v>
      </c>
      <c r="E77" s="47" t="s">
        <v>680</v>
      </c>
      <c r="F77" s="47" t="s">
        <v>680</v>
      </c>
      <c r="G77" s="47" t="s">
        <v>680</v>
      </c>
      <c r="H77" s="47" t="s">
        <v>680</v>
      </c>
      <c r="I77" s="47" t="s">
        <v>680</v>
      </c>
    </row>
    <row r="78" spans="1:9">
      <c r="A78" s="43" t="s">
        <v>673</v>
      </c>
      <c r="B78" s="44" t="s">
        <v>480</v>
      </c>
      <c r="C78" s="43" t="s">
        <v>850</v>
      </c>
      <c r="D78" s="50">
        <v>263.51249999999999</v>
      </c>
      <c r="E78" s="47">
        <v>717104.60889999999</v>
      </c>
      <c r="F78" s="50">
        <v>183.43</v>
      </c>
      <c r="G78" s="48">
        <v>494710.23345</v>
      </c>
      <c r="H78" s="50">
        <v>133.1354</v>
      </c>
      <c r="I78" s="48">
        <v>335951.33649999998</v>
      </c>
    </row>
    <row r="79" spans="1:9">
      <c r="A79" s="43" t="s">
        <v>677</v>
      </c>
      <c r="B79" s="44" t="s">
        <v>481</v>
      </c>
      <c r="C79" s="43" t="s">
        <v>850</v>
      </c>
      <c r="D79" s="50">
        <v>29046.727583970031</v>
      </c>
      <c r="E79" s="47">
        <v>50258008.631090038</v>
      </c>
      <c r="F79" s="50">
        <v>27135.567180450002</v>
      </c>
      <c r="G79" s="48">
        <v>48212802.114077285</v>
      </c>
      <c r="H79" s="50">
        <v>27311.332337599968</v>
      </c>
      <c r="I79" s="48">
        <v>47754909.108415924</v>
      </c>
    </row>
    <row r="80" spans="1:9" ht="12.6" customHeight="1">
      <c r="A80" s="69" t="s">
        <v>415</v>
      </c>
      <c r="B80" s="44" t="s">
        <v>480</v>
      </c>
      <c r="C80" s="43" t="s">
        <v>850</v>
      </c>
      <c r="D80" s="50">
        <v>4.5449999999999999</v>
      </c>
      <c r="E80" s="47">
        <v>14020.20228</v>
      </c>
      <c r="F80" s="50">
        <v>3.5763999999999996</v>
      </c>
      <c r="G80" s="48">
        <v>8289.3765000000003</v>
      </c>
      <c r="H80" s="50">
        <v>3.6399999999999997</v>
      </c>
      <c r="I80" s="48">
        <v>8582.1389999999992</v>
      </c>
    </row>
    <row r="81" spans="1:9">
      <c r="A81" s="43" t="s">
        <v>236</v>
      </c>
      <c r="B81" s="44" t="s">
        <v>480</v>
      </c>
      <c r="C81" s="43" t="s">
        <v>850</v>
      </c>
      <c r="D81" s="47" t="s">
        <v>680</v>
      </c>
      <c r="E81" s="47" t="s">
        <v>680</v>
      </c>
      <c r="F81" s="47" t="s">
        <v>680</v>
      </c>
      <c r="G81" s="47" t="s">
        <v>680</v>
      </c>
      <c r="H81" s="66" t="s">
        <v>680</v>
      </c>
      <c r="I81" s="47" t="s">
        <v>680</v>
      </c>
    </row>
    <row r="82" spans="1:9" ht="12.6" customHeight="1">
      <c r="A82" s="68" t="s">
        <v>183</v>
      </c>
      <c r="B82" s="44" t="s">
        <v>480</v>
      </c>
      <c r="C82" s="43" t="s">
        <v>850</v>
      </c>
      <c r="D82" s="50">
        <v>80.37</v>
      </c>
      <c r="E82" s="47">
        <v>194552.8425</v>
      </c>
      <c r="F82" s="50">
        <v>74.64</v>
      </c>
      <c r="G82" s="48">
        <v>172318.33199999999</v>
      </c>
      <c r="H82" s="50">
        <v>30.44</v>
      </c>
      <c r="I82" s="48">
        <v>97451.56</v>
      </c>
    </row>
    <row r="83" spans="1:9">
      <c r="A83" s="43" t="s">
        <v>237</v>
      </c>
      <c r="B83" s="44" t="s">
        <v>481</v>
      </c>
      <c r="C83" s="43" t="s">
        <v>850</v>
      </c>
      <c r="D83" s="47" t="s">
        <v>680</v>
      </c>
      <c r="E83" s="47" t="s">
        <v>680</v>
      </c>
      <c r="F83" s="47" t="s">
        <v>680</v>
      </c>
      <c r="G83" s="47" t="s">
        <v>680</v>
      </c>
      <c r="H83" s="47" t="s">
        <v>680</v>
      </c>
      <c r="I83" s="47" t="s">
        <v>680</v>
      </c>
    </row>
    <row r="84" spans="1:9">
      <c r="A84" s="43" t="s">
        <v>96</v>
      </c>
      <c r="B84" s="44" t="s">
        <v>480</v>
      </c>
      <c r="C84" s="43" t="s">
        <v>850</v>
      </c>
      <c r="D84" s="47" t="s">
        <v>680</v>
      </c>
      <c r="E84" s="47" t="s">
        <v>680</v>
      </c>
      <c r="F84" s="50">
        <v>214.26</v>
      </c>
      <c r="G84" s="47">
        <v>348600.29499999998</v>
      </c>
      <c r="H84" s="50">
        <v>251.79999999999998</v>
      </c>
      <c r="I84" s="48">
        <v>438535.88</v>
      </c>
    </row>
    <row r="85" spans="1:9">
      <c r="A85" s="43" t="s">
        <v>97</v>
      </c>
      <c r="B85" s="44" t="s">
        <v>480</v>
      </c>
      <c r="C85" s="43" t="s">
        <v>850</v>
      </c>
      <c r="D85" s="47" t="s">
        <v>680</v>
      </c>
      <c r="E85" s="47" t="s">
        <v>680</v>
      </c>
      <c r="F85" s="47" t="s">
        <v>680</v>
      </c>
      <c r="G85" s="47" t="s">
        <v>680</v>
      </c>
      <c r="H85" s="66" t="s">
        <v>680</v>
      </c>
      <c r="I85" s="47" t="s">
        <v>680</v>
      </c>
    </row>
    <row r="86" spans="1:9">
      <c r="A86" s="43" t="s">
        <v>98</v>
      </c>
      <c r="B86" s="44" t="s">
        <v>480</v>
      </c>
      <c r="C86" s="43" t="s">
        <v>850</v>
      </c>
      <c r="D86" s="50">
        <v>268.786</v>
      </c>
      <c r="E86" s="47">
        <v>729875.39199999999</v>
      </c>
      <c r="F86" s="50">
        <v>294.44099999999997</v>
      </c>
      <c r="G86" s="48">
        <v>796191.75249999994</v>
      </c>
      <c r="H86" s="50">
        <v>107.73349999999999</v>
      </c>
      <c r="I86" s="48">
        <v>352865.04469999997</v>
      </c>
    </row>
    <row r="87" spans="1:9">
      <c r="A87" s="68" t="s">
        <v>772</v>
      </c>
      <c r="B87" s="44" t="s">
        <v>480</v>
      </c>
      <c r="C87" s="43" t="s">
        <v>850</v>
      </c>
      <c r="D87" s="47" t="s">
        <v>680</v>
      </c>
      <c r="E87" s="47" t="s">
        <v>680</v>
      </c>
      <c r="F87" s="47" t="s">
        <v>680</v>
      </c>
      <c r="G87" s="47" t="s">
        <v>680</v>
      </c>
      <c r="H87" s="50">
        <v>2.1999999999999999E-2</v>
      </c>
      <c r="I87" s="48">
        <v>38.692499999999995</v>
      </c>
    </row>
    <row r="88" spans="1:9">
      <c r="A88" s="43" t="s">
        <v>99</v>
      </c>
      <c r="B88" s="44" t="s">
        <v>480</v>
      </c>
      <c r="C88" s="43" t="s">
        <v>850</v>
      </c>
      <c r="D88" s="47" t="s">
        <v>680</v>
      </c>
      <c r="E88" s="47" t="s">
        <v>680</v>
      </c>
      <c r="F88" s="47" t="s">
        <v>680</v>
      </c>
      <c r="G88" s="47" t="s">
        <v>680</v>
      </c>
      <c r="H88" s="66" t="s">
        <v>680</v>
      </c>
      <c r="I88" s="47" t="s">
        <v>680</v>
      </c>
    </row>
    <row r="89" spans="1:9">
      <c r="A89" s="43" t="s">
        <v>101</v>
      </c>
      <c r="B89" s="44" t="s">
        <v>480</v>
      </c>
      <c r="C89" s="43" t="s">
        <v>850</v>
      </c>
      <c r="D89" s="50">
        <v>251.38</v>
      </c>
      <c r="E89" s="47">
        <v>558213.87824999995</v>
      </c>
      <c r="F89" s="50">
        <v>233.05000000000004</v>
      </c>
      <c r="G89" s="48">
        <v>462136.52374999988</v>
      </c>
      <c r="H89" s="50">
        <v>223.4</v>
      </c>
      <c r="I89" s="48">
        <v>449229.04680000001</v>
      </c>
    </row>
    <row r="90" spans="1:9">
      <c r="A90" s="43" t="s">
        <v>984</v>
      </c>
      <c r="B90" s="44" t="s">
        <v>480</v>
      </c>
      <c r="C90" s="43" t="s">
        <v>850</v>
      </c>
      <c r="D90" s="50">
        <v>616.41999999999996</v>
      </c>
      <c r="E90" s="47">
        <v>1730118.1120000002</v>
      </c>
      <c r="F90" s="50">
        <v>384.25</v>
      </c>
      <c r="G90" s="48">
        <v>985514.31400000001</v>
      </c>
      <c r="H90" s="50">
        <v>325.69</v>
      </c>
      <c r="I90" s="48">
        <v>843474.67799999996</v>
      </c>
    </row>
    <row r="91" spans="1:9">
      <c r="A91" s="43" t="s">
        <v>102</v>
      </c>
      <c r="B91" s="44" t="s">
        <v>481</v>
      </c>
      <c r="C91" s="43" t="s">
        <v>850</v>
      </c>
      <c r="D91" s="50">
        <v>205.88800000000001</v>
      </c>
      <c r="E91" s="47">
        <v>807410.38080000004</v>
      </c>
      <c r="F91" s="50">
        <v>1830.61</v>
      </c>
      <c r="G91" s="47">
        <v>2618401.1835000007</v>
      </c>
      <c r="H91" s="50">
        <v>5051.8</v>
      </c>
      <c r="I91" s="48">
        <v>8454246.5099999998</v>
      </c>
    </row>
    <row r="92" spans="1:9">
      <c r="A92" s="69" t="s">
        <v>509</v>
      </c>
      <c r="B92" s="44" t="s">
        <v>480</v>
      </c>
      <c r="C92" s="43" t="s">
        <v>850</v>
      </c>
      <c r="D92" s="47" t="s">
        <v>680</v>
      </c>
      <c r="E92" s="47" t="s">
        <v>680</v>
      </c>
      <c r="F92" s="47" t="s">
        <v>680</v>
      </c>
      <c r="G92" s="47" t="s">
        <v>680</v>
      </c>
      <c r="H92" s="50">
        <v>4.7199999999999999E-2</v>
      </c>
      <c r="I92" s="48">
        <v>71.876000000000005</v>
      </c>
    </row>
    <row r="93" spans="1:9">
      <c r="A93" s="67" t="s">
        <v>847</v>
      </c>
      <c r="B93" s="44" t="s">
        <v>480</v>
      </c>
      <c r="C93" s="43" t="s">
        <v>850</v>
      </c>
      <c r="D93" s="47" t="s">
        <v>680</v>
      </c>
      <c r="E93" s="47" t="s">
        <v>680</v>
      </c>
      <c r="F93" s="50">
        <v>315.13</v>
      </c>
      <c r="G93" s="48">
        <v>360628.84750000003</v>
      </c>
      <c r="H93" s="50">
        <v>425.96000000000004</v>
      </c>
      <c r="I93" s="48">
        <v>346278.39350000001</v>
      </c>
    </row>
    <row r="94" spans="1:9">
      <c r="A94" s="43" t="s">
        <v>767</v>
      </c>
      <c r="B94" s="44" t="s">
        <v>480</v>
      </c>
      <c r="C94" s="43" t="s">
        <v>850</v>
      </c>
      <c r="D94" s="50">
        <v>2.4800000000000004</v>
      </c>
      <c r="E94" s="47">
        <v>6436.3429999999998</v>
      </c>
      <c r="F94" s="50">
        <v>3.3800000000000003</v>
      </c>
      <c r="G94" s="48">
        <v>7676.3744999999999</v>
      </c>
      <c r="H94" s="50">
        <v>3.1</v>
      </c>
      <c r="I94" s="48">
        <v>6626.2715000000007</v>
      </c>
    </row>
    <row r="95" spans="1:9">
      <c r="A95" s="43" t="s">
        <v>548</v>
      </c>
      <c r="B95" s="44" t="s">
        <v>481</v>
      </c>
      <c r="C95" s="43" t="s">
        <v>850</v>
      </c>
      <c r="D95" s="50">
        <v>765.36999999999989</v>
      </c>
      <c r="E95" s="47">
        <v>1566091.9382999998</v>
      </c>
      <c r="F95" s="50">
        <v>754.6</v>
      </c>
      <c r="G95" s="48">
        <v>1458255.9068000002</v>
      </c>
      <c r="H95" s="50">
        <v>1007.44965</v>
      </c>
      <c r="I95" s="48">
        <v>1946680.84684</v>
      </c>
    </row>
    <row r="96" spans="1:9">
      <c r="A96" s="43" t="s">
        <v>552</v>
      </c>
      <c r="B96" s="44" t="s">
        <v>480</v>
      </c>
      <c r="C96" s="43" t="s">
        <v>850</v>
      </c>
      <c r="D96" s="47" t="s">
        <v>680</v>
      </c>
      <c r="E96" s="47" t="s">
        <v>680</v>
      </c>
      <c r="F96" s="47" t="s">
        <v>680</v>
      </c>
      <c r="G96" s="47" t="s">
        <v>680</v>
      </c>
      <c r="H96" s="47" t="s">
        <v>680</v>
      </c>
      <c r="I96" s="47" t="s">
        <v>680</v>
      </c>
    </row>
    <row r="97" spans="1:11">
      <c r="A97" s="43" t="s">
        <v>549</v>
      </c>
      <c r="B97" s="44" t="s">
        <v>480</v>
      </c>
      <c r="C97" s="43" t="s">
        <v>850</v>
      </c>
      <c r="D97" s="50">
        <v>506.22809999999993</v>
      </c>
      <c r="E97" s="47">
        <v>948600.27201999992</v>
      </c>
      <c r="F97" s="50">
        <v>734.81799999999998</v>
      </c>
      <c r="G97" s="48">
        <v>1472159.72615</v>
      </c>
      <c r="H97" s="50">
        <v>475.55799999999994</v>
      </c>
      <c r="I97" s="48">
        <v>891611.35269999993</v>
      </c>
      <c r="J97" s="50">
        <v>750.72</v>
      </c>
      <c r="K97" s="48">
        <v>1574877.5589000001</v>
      </c>
    </row>
    <row r="98" spans="1:11">
      <c r="A98" s="43" t="s">
        <v>550</v>
      </c>
      <c r="B98" s="44" t="s">
        <v>481</v>
      </c>
      <c r="C98" s="43" t="s">
        <v>850</v>
      </c>
      <c r="D98" s="50">
        <v>803.19999999999993</v>
      </c>
      <c r="E98" s="47">
        <v>1910807.23</v>
      </c>
      <c r="F98" s="50">
        <v>927.71</v>
      </c>
      <c r="G98" s="48">
        <v>2178502.0900000003</v>
      </c>
      <c r="H98" s="50">
        <v>711.04399999999998</v>
      </c>
      <c r="I98" s="48">
        <v>1633599.66</v>
      </c>
    </row>
    <row r="99" spans="1:11">
      <c r="A99" s="43" t="s">
        <v>985</v>
      </c>
      <c r="B99" s="44" t="s">
        <v>481</v>
      </c>
      <c r="C99" s="43" t="s">
        <v>850</v>
      </c>
      <c r="D99" s="50">
        <v>3819.2869999999994</v>
      </c>
      <c r="E99" s="47">
        <v>8143975.6642999984</v>
      </c>
      <c r="F99" s="50">
        <v>3476.502</v>
      </c>
      <c r="G99" s="48">
        <v>7170775.0625600014</v>
      </c>
      <c r="H99" s="50">
        <v>3194.0357000000004</v>
      </c>
      <c r="I99" s="48">
        <v>6013428.6328500006</v>
      </c>
    </row>
    <row r="100" spans="1:11" ht="12.6" customHeight="1">
      <c r="A100" s="43" t="s">
        <v>986</v>
      </c>
      <c r="B100" s="44" t="s">
        <v>481</v>
      </c>
      <c r="C100" s="43" t="s">
        <v>850</v>
      </c>
    </row>
    <row r="101" spans="1:11" ht="12" customHeight="1">
      <c r="A101" s="43" t="s">
        <v>987</v>
      </c>
      <c r="B101" s="44" t="s">
        <v>480</v>
      </c>
      <c r="C101" s="43" t="s">
        <v>850</v>
      </c>
      <c r="D101" s="47" t="s">
        <v>680</v>
      </c>
      <c r="E101" s="47" t="s">
        <v>680</v>
      </c>
      <c r="F101" s="47" t="s">
        <v>680</v>
      </c>
      <c r="G101" s="47" t="s">
        <v>680</v>
      </c>
      <c r="H101" s="50">
        <v>148.42089999999999</v>
      </c>
      <c r="I101" s="48">
        <v>338697.20137999998</v>
      </c>
    </row>
    <row r="102" spans="1:11" ht="12.6" customHeight="1">
      <c r="A102" s="68" t="s">
        <v>773</v>
      </c>
      <c r="B102" s="44" t="s">
        <v>480</v>
      </c>
      <c r="C102" s="43" t="s">
        <v>850</v>
      </c>
      <c r="D102" s="50">
        <v>328.7</v>
      </c>
      <c r="E102" s="47">
        <v>700969.77</v>
      </c>
      <c r="F102" s="50">
        <v>121.74000000000001</v>
      </c>
      <c r="G102" s="48">
        <v>268616.21499999997</v>
      </c>
      <c r="H102" s="50">
        <v>117.39999999999998</v>
      </c>
      <c r="I102" s="48">
        <v>266727.51</v>
      </c>
    </row>
    <row r="103" spans="1:11">
      <c r="A103" s="43" t="s">
        <v>559</v>
      </c>
      <c r="B103" s="44" t="s">
        <v>480</v>
      </c>
      <c r="C103" s="43" t="s">
        <v>850</v>
      </c>
      <c r="D103" s="47" t="s">
        <v>680</v>
      </c>
      <c r="E103" s="47" t="s">
        <v>680</v>
      </c>
      <c r="F103" s="47" t="s">
        <v>680</v>
      </c>
      <c r="G103" s="47" t="s">
        <v>680</v>
      </c>
      <c r="H103" s="66" t="s">
        <v>680</v>
      </c>
      <c r="I103" s="47" t="s">
        <v>680</v>
      </c>
    </row>
    <row r="104" spans="1:11">
      <c r="A104" s="43" t="s">
        <v>560</v>
      </c>
      <c r="B104" s="44" t="s">
        <v>480</v>
      </c>
      <c r="C104" s="43" t="s">
        <v>850</v>
      </c>
      <c r="D104" s="47" t="s">
        <v>680</v>
      </c>
      <c r="E104" s="47" t="s">
        <v>680</v>
      </c>
      <c r="F104" s="47" t="s">
        <v>680</v>
      </c>
      <c r="G104" s="47" t="s">
        <v>680</v>
      </c>
      <c r="H104" s="50">
        <v>15.545999999999999</v>
      </c>
      <c r="I104" s="48">
        <v>29341.662649999998</v>
      </c>
    </row>
    <row r="105" spans="1:11">
      <c r="A105" s="43" t="s">
        <v>561</v>
      </c>
      <c r="B105" s="44" t="s">
        <v>480</v>
      </c>
      <c r="C105" s="43" t="s">
        <v>850</v>
      </c>
      <c r="D105" s="50">
        <v>14.819999999999999</v>
      </c>
      <c r="E105" s="47">
        <v>28669.296199999997</v>
      </c>
      <c r="F105" s="50">
        <v>8.1</v>
      </c>
      <c r="G105" s="48">
        <v>16508.807399999998</v>
      </c>
      <c r="H105" s="50">
        <v>11.75</v>
      </c>
      <c r="I105" s="48">
        <v>25807.273999999998</v>
      </c>
    </row>
    <row r="106" spans="1:11">
      <c r="A106" s="43" t="s">
        <v>389</v>
      </c>
      <c r="B106" s="44" t="s">
        <v>480</v>
      </c>
      <c r="C106" s="43" t="s">
        <v>850</v>
      </c>
      <c r="D106" s="50">
        <v>9.9408000000000012</v>
      </c>
      <c r="E106" s="47">
        <v>25169.58928</v>
      </c>
      <c r="F106" s="50">
        <v>9.7386999999999997</v>
      </c>
      <c r="G106" s="48">
        <v>24593.247920000002</v>
      </c>
      <c r="H106" s="50">
        <v>4.3373000000000008</v>
      </c>
      <c r="I106" s="48">
        <v>9996.85995</v>
      </c>
    </row>
    <row r="107" spans="1:11" ht="12.6" customHeight="1">
      <c r="A107" s="68" t="s">
        <v>774</v>
      </c>
      <c r="B107" s="44" t="s">
        <v>480</v>
      </c>
      <c r="C107" s="43" t="s">
        <v>850</v>
      </c>
      <c r="D107" s="50">
        <v>8.6000000000000014</v>
      </c>
      <c r="E107" s="47">
        <v>22287.065000000002</v>
      </c>
      <c r="F107" s="50">
        <v>7.2</v>
      </c>
      <c r="G107" s="48">
        <v>17163.645</v>
      </c>
      <c r="H107" s="50">
        <v>11.2</v>
      </c>
      <c r="I107" s="48">
        <v>29038.42</v>
      </c>
    </row>
    <row r="108" spans="1:11" ht="12.6" customHeight="1">
      <c r="A108" s="43" t="s">
        <v>555</v>
      </c>
      <c r="B108" s="44" t="s">
        <v>481</v>
      </c>
      <c r="C108" s="43" t="s">
        <v>850</v>
      </c>
      <c r="D108" s="50">
        <v>687.5</v>
      </c>
      <c r="E108" s="47">
        <v>1391073.3</v>
      </c>
      <c r="F108" s="50">
        <v>818.3</v>
      </c>
      <c r="G108" s="48">
        <v>1829973.2799999998</v>
      </c>
      <c r="H108" s="50">
        <v>854</v>
      </c>
      <c r="I108" s="48">
        <v>1912559.25</v>
      </c>
    </row>
    <row r="109" spans="1:11">
      <c r="A109" s="68" t="s">
        <v>360</v>
      </c>
      <c r="B109" s="44" t="s">
        <v>480</v>
      </c>
      <c r="C109" s="43" t="s">
        <v>850</v>
      </c>
      <c r="D109" s="47" t="s">
        <v>680</v>
      </c>
      <c r="E109" s="47" t="s">
        <v>680</v>
      </c>
      <c r="F109" s="50">
        <v>1061.0770000000002</v>
      </c>
      <c r="G109" s="48">
        <v>2644621.7777749998</v>
      </c>
      <c r="H109" s="50">
        <v>785.32100000000014</v>
      </c>
      <c r="I109" s="48">
        <v>1787257.2275</v>
      </c>
    </row>
    <row r="110" spans="1:11">
      <c r="A110" s="43" t="s">
        <v>556</v>
      </c>
      <c r="B110" s="44" t="s">
        <v>480</v>
      </c>
      <c r="C110" s="43" t="s">
        <v>850</v>
      </c>
      <c r="D110" s="50">
        <v>86.074999999999989</v>
      </c>
      <c r="E110" s="47">
        <v>227366.61</v>
      </c>
      <c r="F110" s="50">
        <v>51.01</v>
      </c>
      <c r="G110" s="48">
        <v>140352.04624999998</v>
      </c>
      <c r="H110" s="50">
        <v>73.904499999999985</v>
      </c>
      <c r="I110" s="48">
        <v>233807.875225</v>
      </c>
    </row>
    <row r="111" spans="1:11">
      <c r="A111" s="68" t="s">
        <v>775</v>
      </c>
      <c r="B111" s="44" t="s">
        <v>480</v>
      </c>
      <c r="C111" s="43" t="s">
        <v>850</v>
      </c>
      <c r="D111" s="47" t="s">
        <v>680</v>
      </c>
      <c r="E111" s="47" t="s">
        <v>680</v>
      </c>
      <c r="F111" s="50">
        <v>115.53999999999999</v>
      </c>
      <c r="G111" s="48">
        <v>249436.69999999998</v>
      </c>
      <c r="H111" s="50">
        <v>136.85999999999999</v>
      </c>
      <c r="I111" s="48">
        <v>308252.12599999999</v>
      </c>
    </row>
    <row r="112" spans="1:11">
      <c r="A112" s="43" t="s">
        <v>536</v>
      </c>
      <c r="B112" s="44" t="s">
        <v>481</v>
      </c>
      <c r="C112" s="43" t="s">
        <v>850</v>
      </c>
    </row>
    <row r="113" spans="1:9" ht="12.6" customHeight="1">
      <c r="A113" s="43" t="s">
        <v>557</v>
      </c>
      <c r="B113" s="44" t="s">
        <v>480</v>
      </c>
      <c r="C113" s="43" t="s">
        <v>850</v>
      </c>
      <c r="D113" s="47" t="s">
        <v>680</v>
      </c>
      <c r="E113" s="47" t="s">
        <v>680</v>
      </c>
      <c r="F113" s="47" t="s">
        <v>680</v>
      </c>
      <c r="G113" s="47" t="s">
        <v>680</v>
      </c>
      <c r="H113" s="47" t="s">
        <v>680</v>
      </c>
      <c r="I113" s="47" t="s">
        <v>680</v>
      </c>
    </row>
    <row r="114" spans="1:9">
      <c r="A114" s="43" t="s">
        <v>776</v>
      </c>
      <c r="B114" s="44" t="s">
        <v>481</v>
      </c>
      <c r="C114" s="43" t="s">
        <v>850</v>
      </c>
      <c r="D114" s="47" t="s">
        <v>680</v>
      </c>
      <c r="E114" s="47" t="s">
        <v>680</v>
      </c>
      <c r="F114" s="47" t="s">
        <v>680</v>
      </c>
      <c r="G114" s="47" t="s">
        <v>680</v>
      </c>
      <c r="H114" s="50">
        <v>472.20000000000005</v>
      </c>
      <c r="I114" s="48">
        <v>883055.8600000001</v>
      </c>
    </row>
    <row r="115" spans="1:9">
      <c r="A115" s="43" t="s">
        <v>737</v>
      </c>
      <c r="B115" s="44" t="s">
        <v>481</v>
      </c>
      <c r="C115" s="43" t="s">
        <v>850</v>
      </c>
      <c r="D115" s="50">
        <v>8491.0006000000012</v>
      </c>
      <c r="E115" s="47">
        <v>25770220.96116</v>
      </c>
      <c r="F115" s="50">
        <v>3117.7213999999999</v>
      </c>
      <c r="G115" s="48">
        <v>8221904.5332300002</v>
      </c>
      <c r="H115" s="50">
        <v>3367.4174499999995</v>
      </c>
      <c r="I115" s="48">
        <v>7798438.8936369997</v>
      </c>
    </row>
    <row r="116" spans="1:9">
      <c r="A116" s="43" t="s">
        <v>796</v>
      </c>
      <c r="B116" s="44" t="s">
        <v>480</v>
      </c>
      <c r="C116" s="43" t="s">
        <v>850</v>
      </c>
      <c r="D116" s="50">
        <v>100</v>
      </c>
      <c r="E116" s="47">
        <v>172587.5</v>
      </c>
      <c r="F116" s="50">
        <v>100</v>
      </c>
      <c r="G116" s="48">
        <v>172587.5</v>
      </c>
      <c r="H116" s="50">
        <v>100</v>
      </c>
      <c r="I116" s="48">
        <v>172587.5</v>
      </c>
    </row>
    <row r="117" spans="1:9">
      <c r="A117" s="43" t="s">
        <v>558</v>
      </c>
      <c r="B117" s="44" t="s">
        <v>480</v>
      </c>
      <c r="C117" s="43" t="s">
        <v>850</v>
      </c>
      <c r="D117" s="50">
        <v>204.04</v>
      </c>
      <c r="E117" s="47">
        <v>331603.50400000002</v>
      </c>
      <c r="F117" s="50">
        <v>325.36455000000001</v>
      </c>
      <c r="G117" s="48">
        <v>478418.76400000002</v>
      </c>
      <c r="H117" s="50">
        <v>505.88999999999993</v>
      </c>
      <c r="I117" s="48">
        <v>1149261.7495000002</v>
      </c>
    </row>
    <row r="118" spans="1:9">
      <c r="A118" s="43" t="s">
        <v>988</v>
      </c>
      <c r="B118" s="44" t="s">
        <v>481</v>
      </c>
      <c r="C118" s="43" t="s">
        <v>850</v>
      </c>
      <c r="D118" s="50">
        <v>455.96100000000001</v>
      </c>
      <c r="E118" s="47">
        <v>714348.27999999991</v>
      </c>
      <c r="F118" s="50">
        <v>788.7589999999999</v>
      </c>
      <c r="G118" s="48">
        <v>1244361.6922000002</v>
      </c>
      <c r="H118" s="50">
        <v>833.3</v>
      </c>
      <c r="I118" s="48">
        <v>1293586.5119999999</v>
      </c>
    </row>
    <row r="119" spans="1:9">
      <c r="A119" s="67" t="s">
        <v>563</v>
      </c>
      <c r="B119" s="44" t="s">
        <v>480</v>
      </c>
      <c r="C119" s="43" t="s">
        <v>850</v>
      </c>
      <c r="D119" s="50">
        <v>64.599999999999994</v>
      </c>
      <c r="E119" s="47">
        <v>132695.59999999998</v>
      </c>
      <c r="F119" s="47" t="s">
        <v>680</v>
      </c>
      <c r="G119" s="47" t="s">
        <v>680</v>
      </c>
      <c r="H119" s="50">
        <v>64.7</v>
      </c>
      <c r="I119" s="48">
        <v>119581.06</v>
      </c>
    </row>
    <row r="120" spans="1:9">
      <c r="A120" s="67" t="s">
        <v>418</v>
      </c>
      <c r="B120" s="44" t="s">
        <v>481</v>
      </c>
      <c r="C120" s="43" t="s">
        <v>850</v>
      </c>
      <c r="D120" s="47" t="s">
        <v>680</v>
      </c>
      <c r="E120" s="47" t="s">
        <v>680</v>
      </c>
      <c r="F120" s="47" t="s">
        <v>680</v>
      </c>
      <c r="G120" s="47" t="s">
        <v>680</v>
      </c>
      <c r="H120" s="50">
        <v>5300</v>
      </c>
      <c r="I120" s="48">
        <v>9466500</v>
      </c>
    </row>
    <row r="121" spans="1:9">
      <c r="A121" s="43" t="s">
        <v>742</v>
      </c>
      <c r="B121" s="44" t="s">
        <v>481</v>
      </c>
      <c r="C121" s="43" t="s">
        <v>850</v>
      </c>
      <c r="D121" s="47" t="s">
        <v>680</v>
      </c>
      <c r="E121" s="47" t="s">
        <v>680</v>
      </c>
      <c r="F121" s="47" t="s">
        <v>680</v>
      </c>
      <c r="G121" s="47" t="s">
        <v>680</v>
      </c>
      <c r="H121" s="66" t="s">
        <v>680</v>
      </c>
      <c r="I121" s="47" t="s">
        <v>680</v>
      </c>
    </row>
    <row r="122" spans="1:9">
      <c r="A122" s="43" t="s">
        <v>278</v>
      </c>
      <c r="B122" s="44" t="s">
        <v>480</v>
      </c>
      <c r="C122" s="43" t="s">
        <v>850</v>
      </c>
      <c r="D122" s="66">
        <v>6.4906000000000006</v>
      </c>
      <c r="E122" s="47">
        <v>13645.40868</v>
      </c>
      <c r="F122" s="47" t="s">
        <v>680</v>
      </c>
      <c r="G122" s="47" t="s">
        <v>680</v>
      </c>
      <c r="H122" s="66" t="s">
        <v>680</v>
      </c>
      <c r="I122" s="47" t="s">
        <v>680</v>
      </c>
    </row>
    <row r="123" spans="1:9">
      <c r="A123" s="43" t="s">
        <v>743</v>
      </c>
      <c r="B123" s="44" t="s">
        <v>481</v>
      </c>
      <c r="C123" s="43" t="s">
        <v>850</v>
      </c>
      <c r="D123" s="50">
        <v>448.9</v>
      </c>
      <c r="E123" s="47">
        <v>797320.8870000001</v>
      </c>
      <c r="F123" s="50">
        <v>332.03999999999996</v>
      </c>
      <c r="G123" s="48">
        <v>607766.52800000005</v>
      </c>
      <c r="H123" s="50">
        <v>370.72399999999999</v>
      </c>
      <c r="I123" s="48">
        <v>657929.09899999993</v>
      </c>
    </row>
    <row r="124" spans="1:9" ht="12.6" customHeight="1">
      <c r="A124" s="43" t="s">
        <v>682</v>
      </c>
      <c r="B124" s="44" t="s">
        <v>480</v>
      </c>
      <c r="C124" s="43" t="s">
        <v>850</v>
      </c>
      <c r="D124" s="50">
        <v>0.77249999999999996</v>
      </c>
      <c r="E124" s="47">
        <v>1782.36598</v>
      </c>
      <c r="F124" s="50">
        <v>1.7699799999999999</v>
      </c>
      <c r="G124" s="48">
        <v>3929.6485600000001</v>
      </c>
      <c r="H124" s="50">
        <v>2.169</v>
      </c>
      <c r="I124" s="48">
        <v>6662.7949999999992</v>
      </c>
    </row>
    <row r="125" spans="1:9">
      <c r="A125" s="43" t="s">
        <v>744</v>
      </c>
      <c r="B125" s="44" t="s">
        <v>481</v>
      </c>
      <c r="C125" s="43" t="s">
        <v>850</v>
      </c>
      <c r="D125" s="50">
        <v>1257.2499999999995</v>
      </c>
      <c r="E125" s="47">
        <v>2758428.6396499998</v>
      </c>
      <c r="F125" s="50">
        <v>1963.9199999999998</v>
      </c>
      <c r="G125" s="48">
        <v>4422799.5181000009</v>
      </c>
      <c r="H125" s="50">
        <v>2271.4699999999993</v>
      </c>
      <c r="I125" s="48">
        <v>5201433.0259999996</v>
      </c>
    </row>
    <row r="126" spans="1:9">
      <c r="A126" s="43" t="s">
        <v>745</v>
      </c>
      <c r="B126" s="44" t="s">
        <v>481</v>
      </c>
      <c r="C126" s="43" t="s">
        <v>850</v>
      </c>
      <c r="D126" s="50">
        <v>576.98699999999985</v>
      </c>
      <c r="E126" s="47">
        <v>1253622.3852500001</v>
      </c>
      <c r="F126" s="50">
        <v>791.84299999999996</v>
      </c>
      <c r="G126" s="48">
        <v>1719613.9723000003</v>
      </c>
      <c r="H126" s="50">
        <v>610.58800000000008</v>
      </c>
      <c r="I126" s="48">
        <v>1219942.6357499999</v>
      </c>
    </row>
    <row r="127" spans="1:9">
      <c r="A127" s="37" t="s">
        <v>1091</v>
      </c>
      <c r="B127" s="44" t="s">
        <v>481</v>
      </c>
      <c r="C127" s="43" t="s">
        <v>850</v>
      </c>
      <c r="D127" s="47" t="s">
        <v>680</v>
      </c>
      <c r="E127" s="47" t="s">
        <v>680</v>
      </c>
      <c r="F127" s="50">
        <v>8991.6368800000018</v>
      </c>
      <c r="G127" s="48">
        <v>16804928.111751501</v>
      </c>
      <c r="H127" s="50">
        <v>11680.183959999998</v>
      </c>
      <c r="I127" s="48">
        <v>21735874.4622465</v>
      </c>
    </row>
    <row r="128" spans="1:9">
      <c r="A128" s="43" t="s">
        <v>202</v>
      </c>
      <c r="B128" s="44" t="s">
        <v>480</v>
      </c>
      <c r="C128" s="43" t="s">
        <v>850</v>
      </c>
      <c r="D128" s="47" t="s">
        <v>680</v>
      </c>
      <c r="E128" s="47" t="s">
        <v>680</v>
      </c>
      <c r="F128" s="50">
        <v>325.87999999999994</v>
      </c>
      <c r="G128" s="48">
        <v>586252.82649999997</v>
      </c>
      <c r="H128" s="50">
        <v>256.77</v>
      </c>
      <c r="I128" s="48">
        <v>510155.66299999994</v>
      </c>
    </row>
    <row r="129" spans="1:9">
      <c r="A129" s="43" t="s">
        <v>566</v>
      </c>
      <c r="B129" s="44" t="s">
        <v>480</v>
      </c>
      <c r="C129" s="43" t="s">
        <v>850</v>
      </c>
      <c r="D129" s="50">
        <v>0.55000000000000004</v>
      </c>
      <c r="E129" s="47">
        <v>1006.3</v>
      </c>
      <c r="F129" s="50">
        <v>0.1323</v>
      </c>
      <c r="G129" s="48">
        <v>300.47325000000001</v>
      </c>
      <c r="H129" s="50">
        <v>0.17469999999999999</v>
      </c>
      <c r="I129" s="48">
        <v>343.35374999999999</v>
      </c>
    </row>
    <row r="130" spans="1:9" ht="12.6" customHeight="1">
      <c r="A130" s="43" t="s">
        <v>567</v>
      </c>
      <c r="B130" s="44" t="s">
        <v>480</v>
      </c>
      <c r="C130" s="43" t="s">
        <v>850</v>
      </c>
      <c r="D130" s="50">
        <v>10.4467</v>
      </c>
      <c r="E130" s="47">
        <v>21480.47349</v>
      </c>
      <c r="F130" s="50">
        <v>27.284000000000002</v>
      </c>
      <c r="G130" s="48">
        <v>71744.435800000007</v>
      </c>
      <c r="H130" s="50">
        <v>21.366600000000002</v>
      </c>
      <c r="I130" s="48">
        <v>46209.446400000008</v>
      </c>
    </row>
    <row r="131" spans="1:9">
      <c r="A131" s="67" t="s">
        <v>990</v>
      </c>
      <c r="B131" s="44" t="s">
        <v>480</v>
      </c>
      <c r="C131" s="43" t="s">
        <v>850</v>
      </c>
      <c r="D131" s="47" t="s">
        <v>680</v>
      </c>
      <c r="E131" s="47" t="s">
        <v>680</v>
      </c>
      <c r="F131" s="50">
        <v>167.08</v>
      </c>
      <c r="G131" s="48">
        <v>252760.03000000003</v>
      </c>
      <c r="H131" s="66" t="s">
        <v>680</v>
      </c>
      <c r="I131" s="47" t="s">
        <v>680</v>
      </c>
    </row>
    <row r="132" spans="1:9">
      <c r="A132" s="43" t="s">
        <v>568</v>
      </c>
      <c r="B132" s="44" t="s">
        <v>481</v>
      </c>
      <c r="C132" s="43" t="s">
        <v>850</v>
      </c>
      <c r="D132" s="50">
        <v>215.38000000000002</v>
      </c>
      <c r="E132" s="47">
        <v>463476.74799999996</v>
      </c>
      <c r="F132" s="50">
        <v>281.53999999999996</v>
      </c>
      <c r="G132" s="48">
        <v>623765.27649999992</v>
      </c>
      <c r="H132" s="50">
        <v>213.81000000000003</v>
      </c>
      <c r="I132" s="48">
        <v>454098.76499999996</v>
      </c>
    </row>
    <row r="133" spans="1:9">
      <c r="A133" s="67" t="s">
        <v>569</v>
      </c>
      <c r="B133" s="44" t="s">
        <v>480</v>
      </c>
      <c r="C133" s="43" t="s">
        <v>850</v>
      </c>
      <c r="D133" s="50">
        <v>4.5452000000000004</v>
      </c>
      <c r="E133" s="47">
        <v>11361.831375000002</v>
      </c>
      <c r="F133" s="50">
        <v>5.8205999999999998</v>
      </c>
      <c r="G133" s="48">
        <v>11932.451815</v>
      </c>
      <c r="H133" s="50">
        <v>5.3637499999999996</v>
      </c>
      <c r="I133" s="48">
        <v>13781.229730000001</v>
      </c>
    </row>
    <row r="134" spans="1:9">
      <c r="A134" s="43" t="s">
        <v>645</v>
      </c>
      <c r="B134" s="44" t="s">
        <v>481</v>
      </c>
      <c r="C134" s="43" t="s">
        <v>850</v>
      </c>
      <c r="D134" s="66">
        <v>128.29</v>
      </c>
      <c r="E134" s="47">
        <v>242359.38999999998</v>
      </c>
      <c r="F134" s="50">
        <v>468.27</v>
      </c>
      <c r="G134" s="48">
        <v>759350.9659999999</v>
      </c>
      <c r="H134" s="50">
        <v>530.38999999999987</v>
      </c>
      <c r="I134" s="48">
        <v>799335.00350000011</v>
      </c>
    </row>
    <row r="135" spans="1:9">
      <c r="A135" s="43" t="s">
        <v>765</v>
      </c>
      <c r="B135" s="44" t="s">
        <v>481</v>
      </c>
      <c r="C135" s="43" t="s">
        <v>850</v>
      </c>
      <c r="D135" s="50">
        <v>3738.9370000000004</v>
      </c>
      <c r="E135" s="47">
        <v>6019449.7609999999</v>
      </c>
      <c r="F135" s="50">
        <v>5527.9850000000006</v>
      </c>
      <c r="G135" s="48">
        <v>9414958.4104999993</v>
      </c>
      <c r="H135" s="50">
        <v>5987.8760000000002</v>
      </c>
      <c r="I135" s="48">
        <v>10470051.303000001</v>
      </c>
    </row>
    <row r="136" spans="1:9">
      <c r="A136" s="43" t="s">
        <v>571</v>
      </c>
      <c r="B136" s="44" t="s">
        <v>481</v>
      </c>
      <c r="C136" s="43" t="s">
        <v>850</v>
      </c>
      <c r="D136" s="47" t="s">
        <v>680</v>
      </c>
      <c r="E136" s="47" t="s">
        <v>680</v>
      </c>
      <c r="F136" s="47" t="s">
        <v>680</v>
      </c>
      <c r="G136" s="47" t="s">
        <v>680</v>
      </c>
      <c r="H136" s="47" t="s">
        <v>680</v>
      </c>
      <c r="I136" s="47" t="s">
        <v>680</v>
      </c>
    </row>
    <row r="137" spans="1:9">
      <c r="A137" s="43" t="s">
        <v>572</v>
      </c>
      <c r="B137" s="44" t="s">
        <v>480</v>
      </c>
      <c r="C137" s="43" t="s">
        <v>850</v>
      </c>
      <c r="D137" s="50">
        <v>130.26000000000002</v>
      </c>
      <c r="E137" s="47">
        <v>208776.13050000003</v>
      </c>
      <c r="F137" s="50">
        <v>136.1</v>
      </c>
      <c r="G137" s="48">
        <v>293732.40000000002</v>
      </c>
      <c r="H137" s="50">
        <v>322.7</v>
      </c>
      <c r="I137" s="48">
        <v>672225.96499999997</v>
      </c>
    </row>
    <row r="138" spans="1:9">
      <c r="A138" s="43" t="s">
        <v>573</v>
      </c>
      <c r="B138" s="44" t="s">
        <v>480</v>
      </c>
      <c r="C138" s="43" t="s">
        <v>850</v>
      </c>
      <c r="D138" s="50">
        <v>510.76900000000001</v>
      </c>
      <c r="E138" s="47">
        <v>1024378.2210000001</v>
      </c>
      <c r="F138" s="50">
        <v>201.29000000000002</v>
      </c>
      <c r="G138" s="48">
        <v>498087.21600000001</v>
      </c>
      <c r="H138" s="50">
        <v>334.512</v>
      </c>
      <c r="I138" s="48">
        <v>733141.4887499999</v>
      </c>
    </row>
    <row r="139" spans="1:9">
      <c r="A139" s="43" t="s">
        <v>537</v>
      </c>
      <c r="B139" s="44" t="s">
        <v>481</v>
      </c>
      <c r="C139" s="43" t="s">
        <v>850</v>
      </c>
      <c r="D139" s="47" t="s">
        <v>680</v>
      </c>
      <c r="E139" s="47" t="s">
        <v>680</v>
      </c>
      <c r="F139" s="47" t="s">
        <v>680</v>
      </c>
      <c r="G139" s="47" t="s">
        <v>680</v>
      </c>
      <c r="H139" s="66" t="s">
        <v>680</v>
      </c>
      <c r="I139" s="47" t="s">
        <v>680</v>
      </c>
    </row>
    <row r="140" spans="1:9">
      <c r="A140" s="43" t="s">
        <v>165</v>
      </c>
      <c r="B140" s="44" t="s">
        <v>481</v>
      </c>
      <c r="C140" s="43" t="s">
        <v>850</v>
      </c>
      <c r="D140" s="47" t="s">
        <v>680</v>
      </c>
      <c r="E140" s="47" t="s">
        <v>680</v>
      </c>
      <c r="F140" s="47" t="s">
        <v>680</v>
      </c>
      <c r="G140" s="47" t="s">
        <v>680</v>
      </c>
      <c r="H140" s="50">
        <v>30081.290099999991</v>
      </c>
      <c r="I140" s="48">
        <v>41787289.905050009</v>
      </c>
    </row>
    <row r="141" spans="1:9" ht="12.6" customHeight="1">
      <c r="A141" s="67" t="s">
        <v>413</v>
      </c>
      <c r="B141" s="44" t="s">
        <v>481</v>
      </c>
      <c r="C141" s="43" t="s">
        <v>850</v>
      </c>
      <c r="D141" s="47" t="s">
        <v>680</v>
      </c>
      <c r="E141" s="47" t="s">
        <v>680</v>
      </c>
      <c r="F141" s="47" t="s">
        <v>680</v>
      </c>
      <c r="G141" s="47" t="s">
        <v>680</v>
      </c>
      <c r="H141" s="66" t="s">
        <v>680</v>
      </c>
      <c r="I141" s="47" t="s">
        <v>680</v>
      </c>
    </row>
    <row r="142" spans="1:9">
      <c r="A142" s="43" t="s">
        <v>364</v>
      </c>
      <c r="B142" s="44" t="s">
        <v>481</v>
      </c>
      <c r="C142" s="43" t="s">
        <v>850</v>
      </c>
      <c r="D142" s="47" t="s">
        <v>680</v>
      </c>
      <c r="E142" s="47" t="s">
        <v>680</v>
      </c>
      <c r="F142" s="47" t="s">
        <v>680</v>
      </c>
      <c r="G142" s="47" t="s">
        <v>680</v>
      </c>
      <c r="H142" s="66" t="s">
        <v>680</v>
      </c>
      <c r="I142" s="47" t="s">
        <v>680</v>
      </c>
    </row>
    <row r="143" spans="1:9">
      <c r="A143" s="43" t="s">
        <v>105</v>
      </c>
      <c r="B143" s="44" t="s">
        <v>481</v>
      </c>
      <c r="C143" s="43" t="s">
        <v>850</v>
      </c>
      <c r="D143" s="47" t="s">
        <v>680</v>
      </c>
      <c r="E143" s="47" t="s">
        <v>680</v>
      </c>
      <c r="F143" s="47" t="s">
        <v>680</v>
      </c>
      <c r="G143" s="47" t="s">
        <v>680</v>
      </c>
      <c r="H143" s="47" t="s">
        <v>680</v>
      </c>
      <c r="I143" s="47" t="s">
        <v>680</v>
      </c>
    </row>
    <row r="144" spans="1:9">
      <c r="A144" s="43" t="s">
        <v>545</v>
      </c>
      <c r="B144" s="44" t="s">
        <v>481</v>
      </c>
      <c r="C144" s="43" t="s">
        <v>850</v>
      </c>
      <c r="D144" s="50">
        <v>1147.982</v>
      </c>
      <c r="E144" s="47">
        <v>1988015.1552999995</v>
      </c>
      <c r="F144" s="50">
        <v>1055.895</v>
      </c>
      <c r="G144" s="48">
        <v>1821568.8470000001</v>
      </c>
      <c r="H144" s="50">
        <v>1400.3200000000002</v>
      </c>
      <c r="I144" s="48">
        <v>2185800.9920000001</v>
      </c>
    </row>
    <row r="145" spans="1:9">
      <c r="A145" s="43" t="s">
        <v>546</v>
      </c>
      <c r="B145" s="44" t="s">
        <v>481</v>
      </c>
      <c r="C145" s="43" t="s">
        <v>850</v>
      </c>
      <c r="D145" s="50">
        <v>4077.42</v>
      </c>
      <c r="E145" s="47">
        <v>7435246.5685000019</v>
      </c>
      <c r="F145" s="50">
        <v>5261.6420000000007</v>
      </c>
      <c r="G145" s="48">
        <v>9456058.5335000027</v>
      </c>
      <c r="H145" s="50">
        <v>6041.4900000000007</v>
      </c>
      <c r="I145" s="48">
        <v>10293764.4355</v>
      </c>
    </row>
    <row r="146" spans="1:9">
      <c r="A146" s="43" t="s">
        <v>554</v>
      </c>
      <c r="B146" s="44" t="s">
        <v>481</v>
      </c>
      <c r="C146" s="43" t="s">
        <v>850</v>
      </c>
      <c r="D146" s="50">
        <v>7386.8305999999993</v>
      </c>
      <c r="E146" s="47">
        <v>21878454.194159999</v>
      </c>
      <c r="F146" s="47" t="s">
        <v>680</v>
      </c>
      <c r="G146" s="47" t="s">
        <v>680</v>
      </c>
      <c r="H146" s="66" t="s">
        <v>680</v>
      </c>
      <c r="I146" s="47" t="s">
        <v>680</v>
      </c>
    </row>
    <row r="147" spans="1:9">
      <c r="A147" s="43" t="s">
        <v>681</v>
      </c>
      <c r="B147" s="44" t="s">
        <v>481</v>
      </c>
      <c r="C147" s="43" t="s">
        <v>850</v>
      </c>
      <c r="D147" s="47" t="s">
        <v>680</v>
      </c>
      <c r="E147" s="47" t="s">
        <v>680</v>
      </c>
      <c r="F147" s="47" t="s">
        <v>680</v>
      </c>
      <c r="G147" s="47" t="s">
        <v>680</v>
      </c>
      <c r="H147" s="66" t="s">
        <v>680</v>
      </c>
      <c r="I147" s="47" t="s">
        <v>680</v>
      </c>
    </row>
    <row r="148" spans="1:9">
      <c r="A148" s="43" t="s">
        <v>989</v>
      </c>
      <c r="B148" s="44" t="s">
        <v>481</v>
      </c>
      <c r="C148" s="43" t="s">
        <v>850</v>
      </c>
    </row>
  </sheetData>
  <sortState xmlns:xlrd2="http://schemas.microsoft.com/office/spreadsheetml/2017/richdata2" ref="A2:K148">
    <sortCondition ref="A2:A148"/>
  </sortState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C29" sqref="C29"/>
    </sheetView>
  </sheetViews>
  <sheetFormatPr defaultRowHeight="13.2"/>
  <cols>
    <col min="1" max="1" width="19.5546875" customWidth="1"/>
    <col min="2" max="2" width="12.21875" style="39" customWidth="1"/>
    <col min="3" max="3" width="17.109375" customWidth="1"/>
    <col min="4" max="4" width="21.21875" style="62" customWidth="1"/>
    <col min="5" max="5" width="27.88671875" style="62" customWidth="1"/>
    <col min="6" max="6" width="13.6640625" style="62" customWidth="1"/>
  </cols>
  <sheetData>
    <row r="1" spans="1:6" s="36" customFormat="1" ht="25.8" customHeight="1">
      <c r="A1" s="36" t="s">
        <v>757</v>
      </c>
      <c r="B1" s="36" t="s">
        <v>598</v>
      </c>
      <c r="C1" s="36" t="s">
        <v>879</v>
      </c>
      <c r="D1" s="49" t="s">
        <v>1059</v>
      </c>
      <c r="E1" s="49" t="s">
        <v>1060</v>
      </c>
      <c r="F1" s="49" t="s">
        <v>1061</v>
      </c>
    </row>
    <row r="2" spans="1:6">
      <c r="A2" s="37" t="s">
        <v>677</v>
      </c>
      <c r="B2" s="38">
        <v>2019</v>
      </c>
      <c r="C2" s="37" t="s">
        <v>880</v>
      </c>
      <c r="D2" s="62">
        <v>0</v>
      </c>
      <c r="E2" s="62">
        <v>0</v>
      </c>
      <c r="F2" s="62">
        <v>0</v>
      </c>
    </row>
    <row r="3" spans="1:6">
      <c r="A3" t="s">
        <v>165</v>
      </c>
      <c r="B3" s="39">
        <v>2021</v>
      </c>
      <c r="C3" s="37" t="s">
        <v>880</v>
      </c>
      <c r="D3" s="62">
        <v>607.63800000000003</v>
      </c>
      <c r="E3" s="62">
        <v>79.016000000000005</v>
      </c>
      <c r="F3" s="62">
        <v>528.62199999999996</v>
      </c>
    </row>
    <row r="4" spans="1:6">
      <c r="A4" t="s">
        <v>564</v>
      </c>
      <c r="B4" s="39">
        <v>2021</v>
      </c>
      <c r="C4" s="37" t="s">
        <v>880</v>
      </c>
      <c r="D4" s="62">
        <v>1151.6600000000001</v>
      </c>
      <c r="E4" s="62">
        <v>0</v>
      </c>
      <c r="F4" s="62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9"/>
  <sheetViews>
    <sheetView workbookViewId="0">
      <selection activeCell="C20" sqref="C20"/>
    </sheetView>
  </sheetViews>
  <sheetFormatPr defaultRowHeight="13.2"/>
  <cols>
    <col min="1" max="1" width="12.44140625" customWidth="1"/>
    <col min="2" max="2" width="7.6640625" customWidth="1"/>
    <col min="3" max="3" width="20.109375" customWidth="1"/>
    <col min="4" max="4" width="16" customWidth="1"/>
    <col min="5" max="5" width="16.109375" customWidth="1"/>
    <col min="6" max="6" width="21.5546875" customWidth="1"/>
    <col min="7" max="7" width="20.109375" customWidth="1"/>
    <col min="8" max="8" width="15.44140625" customWidth="1"/>
    <col min="9" max="9" width="15.77734375" customWidth="1"/>
    <col min="10" max="10" width="15.6640625" customWidth="1"/>
    <col min="11" max="11" width="17.21875" customWidth="1"/>
  </cols>
  <sheetData>
    <row r="1" spans="1:22" s="40" customFormat="1" ht="43.8" customHeight="1">
      <c r="A1" s="36" t="s">
        <v>757</v>
      </c>
      <c r="B1" s="36" t="s">
        <v>598</v>
      </c>
      <c r="C1" s="36" t="s">
        <v>881</v>
      </c>
      <c r="D1" s="41" t="s">
        <v>1084</v>
      </c>
      <c r="E1" s="41" t="s">
        <v>884</v>
      </c>
      <c r="F1" s="41" t="s">
        <v>885</v>
      </c>
      <c r="G1" s="41" t="s">
        <v>886</v>
      </c>
      <c r="H1" s="41" t="s">
        <v>1082</v>
      </c>
      <c r="I1" s="41" t="s">
        <v>1083</v>
      </c>
      <c r="J1" s="36" t="s">
        <v>882</v>
      </c>
      <c r="K1" s="36" t="s">
        <v>883</v>
      </c>
      <c r="P1" s="42"/>
      <c r="Q1" s="42"/>
      <c r="R1" s="42"/>
      <c r="S1" s="42"/>
      <c r="T1" s="42"/>
      <c r="U1" s="42"/>
      <c r="V1" s="42"/>
    </row>
    <row r="2" spans="1:22">
      <c r="A2" s="37" t="s">
        <v>741</v>
      </c>
      <c r="B2">
        <v>2020</v>
      </c>
      <c r="C2" t="s">
        <v>1034</v>
      </c>
      <c r="D2">
        <v>36.17</v>
      </c>
      <c r="J2" s="46">
        <v>36.17</v>
      </c>
    </row>
    <row r="3" spans="1:22">
      <c r="A3" s="37" t="s">
        <v>741</v>
      </c>
      <c r="B3">
        <v>2021</v>
      </c>
      <c r="C3" t="s">
        <v>1035</v>
      </c>
      <c r="D3">
        <v>33.31</v>
      </c>
      <c r="J3">
        <v>33.31</v>
      </c>
    </row>
    <row r="4" spans="1:22">
      <c r="A4" s="37" t="s">
        <v>992</v>
      </c>
      <c r="B4">
        <v>2019</v>
      </c>
      <c r="C4" t="s">
        <v>993</v>
      </c>
      <c r="J4">
        <v>9.1</v>
      </c>
    </row>
    <row r="5" spans="1:22">
      <c r="A5" s="37" t="s">
        <v>992</v>
      </c>
      <c r="B5">
        <v>2020</v>
      </c>
      <c r="C5" t="s">
        <v>993</v>
      </c>
      <c r="J5" s="46">
        <v>9.1</v>
      </c>
    </row>
    <row r="6" spans="1:22">
      <c r="A6" s="37" t="s">
        <v>992</v>
      </c>
      <c r="B6">
        <v>2021</v>
      </c>
      <c r="C6" t="s">
        <v>993</v>
      </c>
      <c r="J6">
        <v>8.4</v>
      </c>
    </row>
    <row r="7" spans="1:22">
      <c r="A7" s="37" t="s">
        <v>677</v>
      </c>
      <c r="B7">
        <v>2019</v>
      </c>
      <c r="C7" t="s">
        <v>887</v>
      </c>
      <c r="J7" s="46">
        <v>111.89</v>
      </c>
      <c r="K7" t="s">
        <v>888</v>
      </c>
    </row>
    <row r="8" spans="1:22">
      <c r="A8" s="37" t="s">
        <v>677</v>
      </c>
      <c r="B8">
        <v>2020</v>
      </c>
      <c r="C8" t="s">
        <v>887</v>
      </c>
      <c r="J8" s="46">
        <v>39.281070720000002</v>
      </c>
      <c r="K8" t="s">
        <v>960</v>
      </c>
    </row>
    <row r="9" spans="1:22">
      <c r="A9" s="37" t="s">
        <v>677</v>
      </c>
      <c r="B9">
        <v>2021</v>
      </c>
      <c r="C9" t="s">
        <v>887</v>
      </c>
      <c r="J9" s="54">
        <v>128.51929999999999</v>
      </c>
      <c r="K9" t="s">
        <v>888</v>
      </c>
    </row>
    <row r="10" spans="1:22">
      <c r="A10" s="37" t="s">
        <v>564</v>
      </c>
      <c r="B10">
        <v>2021</v>
      </c>
      <c r="C10" s="37" t="s">
        <v>1062</v>
      </c>
      <c r="D10" s="46">
        <v>1258.7</v>
      </c>
      <c r="F10">
        <v>0</v>
      </c>
      <c r="G10">
        <v>0</v>
      </c>
      <c r="H10">
        <v>0</v>
      </c>
      <c r="I10" s="46">
        <v>1179.4000000000001</v>
      </c>
      <c r="J10" s="46">
        <v>79.3</v>
      </c>
    </row>
    <row r="11" spans="1:22">
      <c r="A11" s="37" t="s">
        <v>564</v>
      </c>
      <c r="B11">
        <v>2021</v>
      </c>
      <c r="C11" s="37" t="s">
        <v>1063</v>
      </c>
      <c r="D11">
        <v>770.9</v>
      </c>
      <c r="F11">
        <v>0</v>
      </c>
      <c r="G11">
        <v>0</v>
      </c>
      <c r="H11">
        <v>0</v>
      </c>
      <c r="I11">
        <v>764.11</v>
      </c>
      <c r="J11" s="46">
        <v>6.8</v>
      </c>
    </row>
    <row r="12" spans="1:22">
      <c r="A12" s="37" t="s">
        <v>564</v>
      </c>
      <c r="B12">
        <v>2021</v>
      </c>
      <c r="C12" s="37" t="s">
        <v>1064</v>
      </c>
      <c r="D12">
        <v>312.11</v>
      </c>
      <c r="E12">
        <v>167.84</v>
      </c>
      <c r="F12">
        <v>0</v>
      </c>
      <c r="G12">
        <v>0</v>
      </c>
      <c r="H12">
        <v>0</v>
      </c>
      <c r="I12">
        <v>100.21</v>
      </c>
      <c r="J12" s="46">
        <v>44.05</v>
      </c>
    </row>
    <row r="13" spans="1:22">
      <c r="A13" s="37" t="s">
        <v>564</v>
      </c>
      <c r="B13">
        <v>2021</v>
      </c>
      <c r="C13" s="37" t="s">
        <v>1065</v>
      </c>
      <c r="D13">
        <v>439.38</v>
      </c>
      <c r="F13">
        <v>0</v>
      </c>
      <c r="G13">
        <v>0</v>
      </c>
      <c r="H13">
        <v>0</v>
      </c>
      <c r="I13">
        <v>408.13</v>
      </c>
      <c r="J13" s="46">
        <v>31.24</v>
      </c>
    </row>
    <row r="14" spans="1:22">
      <c r="A14" s="37" t="s">
        <v>564</v>
      </c>
      <c r="B14">
        <v>2021</v>
      </c>
      <c r="C14" s="37" t="s">
        <v>1066</v>
      </c>
      <c r="D14">
        <v>197.16</v>
      </c>
      <c r="F14">
        <v>0</v>
      </c>
      <c r="G14">
        <v>0</v>
      </c>
      <c r="H14">
        <v>0</v>
      </c>
      <c r="I14">
        <v>197.14</v>
      </c>
      <c r="J14" s="46">
        <v>0.02</v>
      </c>
    </row>
    <row r="15" spans="1:22">
      <c r="A15" s="37" t="s">
        <v>564</v>
      </c>
      <c r="B15">
        <v>2021</v>
      </c>
      <c r="C15" s="37" t="s">
        <v>1067</v>
      </c>
      <c r="D15">
        <v>483.47</v>
      </c>
      <c r="E15">
        <v>102.02</v>
      </c>
      <c r="F15">
        <v>0</v>
      </c>
      <c r="G15">
        <v>0</v>
      </c>
      <c r="H15">
        <v>0</v>
      </c>
      <c r="I15">
        <v>367.25</v>
      </c>
      <c r="J15" s="46">
        <v>14.19</v>
      </c>
    </row>
    <row r="16" spans="1:22">
      <c r="A16" s="37" t="s">
        <v>564</v>
      </c>
      <c r="B16">
        <v>2021</v>
      </c>
      <c r="C16" s="37" t="s">
        <v>1068</v>
      </c>
      <c r="D16">
        <v>570.54</v>
      </c>
      <c r="E16">
        <v>232.16</v>
      </c>
      <c r="F16">
        <v>0</v>
      </c>
      <c r="G16">
        <v>0</v>
      </c>
      <c r="H16">
        <v>0</v>
      </c>
      <c r="I16">
        <v>281.77999999999997</v>
      </c>
      <c r="J16" s="46">
        <v>56.6</v>
      </c>
    </row>
    <row r="17" spans="1:10">
      <c r="A17" s="37" t="s">
        <v>564</v>
      </c>
      <c r="B17">
        <v>2021</v>
      </c>
      <c r="C17" s="37" t="s">
        <v>1069</v>
      </c>
      <c r="D17" s="46">
        <v>1655.86</v>
      </c>
      <c r="F17">
        <v>0</v>
      </c>
      <c r="G17">
        <v>0</v>
      </c>
      <c r="H17">
        <v>0</v>
      </c>
      <c r="I17" s="46">
        <v>1532.79</v>
      </c>
      <c r="J17" s="46">
        <v>123.07</v>
      </c>
    </row>
    <row r="18" spans="1:10">
      <c r="A18" s="37" t="s">
        <v>564</v>
      </c>
      <c r="B18">
        <v>2021</v>
      </c>
      <c r="C18" s="37" t="s">
        <v>1070</v>
      </c>
      <c r="D18">
        <v>941.42</v>
      </c>
      <c r="F18">
        <v>0</v>
      </c>
      <c r="G18">
        <v>0</v>
      </c>
      <c r="H18">
        <v>0</v>
      </c>
      <c r="I18">
        <v>892.34</v>
      </c>
      <c r="J18" s="46">
        <v>49.07</v>
      </c>
    </row>
    <row r="19" spans="1:10">
      <c r="A19" s="37" t="s">
        <v>564</v>
      </c>
      <c r="B19">
        <v>2021</v>
      </c>
      <c r="C19" s="37" t="s">
        <v>1071</v>
      </c>
      <c r="D19" s="46">
        <v>2830.85</v>
      </c>
      <c r="F19">
        <v>0</v>
      </c>
      <c r="G19">
        <v>0</v>
      </c>
      <c r="H19">
        <v>0</v>
      </c>
      <c r="I19" s="46">
        <v>2770.15</v>
      </c>
      <c r="J19" s="46">
        <v>60.7</v>
      </c>
    </row>
    <row r="20" spans="1:10">
      <c r="A20" s="37" t="s">
        <v>564</v>
      </c>
      <c r="B20">
        <v>2021</v>
      </c>
      <c r="C20" s="37" t="s">
        <v>1072</v>
      </c>
      <c r="D20" s="46">
        <v>4014.95</v>
      </c>
      <c r="E20">
        <v>20.04</v>
      </c>
      <c r="F20">
        <v>0</v>
      </c>
      <c r="G20">
        <v>0</v>
      </c>
      <c r="H20">
        <v>0</v>
      </c>
      <c r="I20" s="46">
        <v>3788.4</v>
      </c>
      <c r="J20" s="46">
        <v>206.51</v>
      </c>
    </row>
    <row r="21" spans="1:10">
      <c r="A21" s="37" t="s">
        <v>564</v>
      </c>
      <c r="B21">
        <v>2021</v>
      </c>
      <c r="C21" s="37" t="s">
        <v>1073</v>
      </c>
      <c r="D21" s="46">
        <v>434.97</v>
      </c>
      <c r="F21">
        <v>0</v>
      </c>
      <c r="G21">
        <v>0</v>
      </c>
      <c r="H21">
        <v>0</v>
      </c>
      <c r="I21" s="46">
        <v>414.65</v>
      </c>
      <c r="J21" s="46">
        <v>20.32</v>
      </c>
    </row>
    <row r="22" spans="1:10">
      <c r="A22" s="37" t="s">
        <v>564</v>
      </c>
      <c r="B22">
        <v>2021</v>
      </c>
      <c r="C22" s="37" t="s">
        <v>1074</v>
      </c>
      <c r="D22" s="46">
        <v>527.71</v>
      </c>
      <c r="F22">
        <v>0</v>
      </c>
      <c r="G22">
        <v>0</v>
      </c>
      <c r="H22">
        <v>0</v>
      </c>
      <c r="I22" s="46">
        <v>500.18</v>
      </c>
      <c r="J22" s="46">
        <v>27.54</v>
      </c>
    </row>
    <row r="23" spans="1:10">
      <c r="A23" s="37" t="s">
        <v>564</v>
      </c>
      <c r="B23">
        <v>2021</v>
      </c>
      <c r="C23" s="37" t="s">
        <v>1076</v>
      </c>
      <c r="D23" s="46">
        <v>696.7</v>
      </c>
      <c r="F23">
        <v>0</v>
      </c>
      <c r="G23">
        <v>0</v>
      </c>
      <c r="H23">
        <v>0</v>
      </c>
      <c r="I23" s="46">
        <v>599.77</v>
      </c>
      <c r="J23" s="46">
        <v>96.93</v>
      </c>
    </row>
    <row r="24" spans="1:10">
      <c r="A24" s="37" t="s">
        <v>564</v>
      </c>
      <c r="B24">
        <v>2021</v>
      </c>
      <c r="C24" s="37" t="s">
        <v>1075</v>
      </c>
      <c r="D24" s="46">
        <v>144.74</v>
      </c>
      <c r="F24">
        <v>0</v>
      </c>
      <c r="G24">
        <v>0</v>
      </c>
      <c r="H24">
        <v>0</v>
      </c>
      <c r="I24" s="46">
        <v>120.78</v>
      </c>
      <c r="J24" s="46">
        <v>23.96</v>
      </c>
    </row>
    <row r="25" spans="1:10">
      <c r="A25" s="37" t="s">
        <v>564</v>
      </c>
      <c r="B25">
        <v>2021</v>
      </c>
      <c r="C25" s="37" t="s">
        <v>1077</v>
      </c>
      <c r="D25" s="46">
        <v>38.54</v>
      </c>
      <c r="E25">
        <v>38.47</v>
      </c>
      <c r="F25">
        <v>0</v>
      </c>
      <c r="G25">
        <v>0</v>
      </c>
      <c r="H25">
        <v>0</v>
      </c>
      <c r="I25" s="46">
        <v>0</v>
      </c>
      <c r="J25" s="46">
        <v>0.08</v>
      </c>
    </row>
    <row r="26" spans="1:10">
      <c r="A26" s="37" t="s">
        <v>564</v>
      </c>
      <c r="B26">
        <v>2021</v>
      </c>
      <c r="C26" s="37" t="s">
        <v>1078</v>
      </c>
      <c r="D26" s="46">
        <v>592.94000000000005</v>
      </c>
      <c r="F26">
        <v>0</v>
      </c>
      <c r="G26">
        <v>0</v>
      </c>
      <c r="H26">
        <v>0</v>
      </c>
      <c r="I26" s="46">
        <v>592.94000000000005</v>
      </c>
      <c r="J26" s="46">
        <v>0</v>
      </c>
    </row>
    <row r="27" spans="1:10">
      <c r="A27" s="37" t="s">
        <v>564</v>
      </c>
      <c r="B27">
        <v>2021</v>
      </c>
      <c r="C27" s="37" t="s">
        <v>1079</v>
      </c>
      <c r="D27" s="46">
        <v>1472.13</v>
      </c>
      <c r="F27">
        <v>0</v>
      </c>
      <c r="G27">
        <v>0</v>
      </c>
      <c r="H27">
        <v>0</v>
      </c>
      <c r="I27" s="46">
        <v>1222.57</v>
      </c>
      <c r="J27" s="46">
        <v>249.56</v>
      </c>
    </row>
    <row r="28" spans="1:10">
      <c r="A28" s="37" t="s">
        <v>564</v>
      </c>
      <c r="B28">
        <v>2021</v>
      </c>
      <c r="C28" s="37" t="s">
        <v>1080</v>
      </c>
      <c r="D28" s="46">
        <v>555.04</v>
      </c>
      <c r="E28">
        <v>555.04</v>
      </c>
      <c r="F28">
        <v>0</v>
      </c>
      <c r="G28">
        <v>0</v>
      </c>
      <c r="H28">
        <v>0</v>
      </c>
      <c r="I28" s="46">
        <v>0</v>
      </c>
      <c r="J28" s="46">
        <v>0</v>
      </c>
    </row>
    <row r="29" spans="1:10">
      <c r="A29" s="37" t="s">
        <v>564</v>
      </c>
      <c r="B29">
        <v>2021</v>
      </c>
      <c r="C29" s="37" t="s">
        <v>1081</v>
      </c>
      <c r="D29" s="46">
        <v>36.1</v>
      </c>
      <c r="E29">
        <v>36.1</v>
      </c>
      <c r="F29">
        <v>0</v>
      </c>
      <c r="G29">
        <v>0</v>
      </c>
      <c r="H29">
        <v>0</v>
      </c>
      <c r="I29" s="46">
        <v>0</v>
      </c>
      <c r="J29" s="46">
        <v>0</v>
      </c>
    </row>
  </sheetData>
  <sortState xmlns:xlrd2="http://schemas.microsoft.com/office/spreadsheetml/2017/richdata2" ref="A2:K9">
    <sortCondition ref="A2:A9"/>
    <sortCondition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ODSPrice</vt:lpstr>
      <vt:lpstr>CP-HCFC</vt:lpstr>
      <vt:lpstr>LatestCP-HCFCSectoral</vt:lpstr>
      <vt:lpstr>CPConsumption(ODP)</vt:lpstr>
      <vt:lpstr>HFC-Consumption(MTvsCO2Equi)</vt:lpstr>
      <vt:lpstr>HFC-23Generation</vt:lpstr>
      <vt:lpstr>HFC-23Emission</vt:lpstr>
      <vt:lpstr>'CPConsumption(ODP)'!Print_Area</vt:lpstr>
      <vt:lpstr>'CPConsumption(ODP)'!Print_Titles</vt:lpstr>
      <vt:lpstr>'CP-HCFC'!Print_Titles</vt:lpstr>
      <vt:lpstr>'LatestCP-HCFCSectoral'!Print_Titles</vt:lpstr>
    </vt:vector>
  </TitlesOfParts>
  <Company>unmfs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 Duong</cp:lastModifiedBy>
  <cp:lastPrinted>2020-04-07T16:40:47Z</cp:lastPrinted>
  <dcterms:created xsi:type="dcterms:W3CDTF">2000-08-16T15:15:12Z</dcterms:created>
  <dcterms:modified xsi:type="dcterms:W3CDTF">2023-03-20T01:19:39Z</dcterms:modified>
</cp:coreProperties>
</file>