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comments11.xml" ContentType="application/vnd.openxmlformats-officedocument.spreadsheetml.comments+xml"/>
  <Override PartName="/xl/threadedComments/threadedComment9.xml" ContentType="application/vnd.ms-excel.threadedcomments+xml"/>
  <Override PartName="/xl/comments12.xml" ContentType="application/vnd.openxmlformats-officedocument.spreadsheetml.comments+xml"/>
  <Override PartName="/xl/threadedComments/threadedComment10.xml" ContentType="application/vnd.ms-excel.threadedcomments+xml"/>
  <Override PartName="/xl/comments13.xml" ContentType="application/vnd.openxmlformats-officedocument.spreadsheetml.comments+xml"/>
  <Override PartName="/xl/threadedComments/threadedComment11.xml" ContentType="application/vnd.ms-excel.threadedcomments+xml"/>
  <Override PartName="/xl/comments14.xml" ContentType="application/vnd.openxmlformats-officedocument.spreadsheetml.comments+xml"/>
  <Override PartName="/xl/threadedComments/threadedComment12.xml" ContentType="application/vnd.ms-excel.threadedcomments+xml"/>
  <Override PartName="/xl/comments15.xml" ContentType="application/vnd.openxmlformats-officedocument.spreadsheetml.comments+xml"/>
  <Override PartName="/xl/threadedComments/threadedComment13.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threadedComments/threadedComment14.xml" ContentType="application/vnd.ms-excel.threadedcomments+xml"/>
  <Override PartName="/xl/comments22.xml" ContentType="application/vnd.openxmlformats-officedocument.spreadsheetml.comments+xml"/>
  <Override PartName="/xl/threadedComments/threadedComment15.xml" ContentType="application/vnd.ms-excel.threadedcomments+xml"/>
  <Override PartName="/xl/comments23.xml" ContentType="application/vnd.openxmlformats-officedocument.spreadsheetml.comments+xml"/>
  <Override PartName="/xl/threadedComments/threadedComment16.xml" ContentType="application/vnd.ms-excel.threadedcomments+xml"/>
  <Override PartName="/xl/comments24.xml" ContentType="application/vnd.openxmlformats-officedocument.spreadsheetml.comments+xml"/>
  <Override PartName="/xl/threadedComments/threadedComment17.xml" ContentType="application/vnd.ms-excel.threadedcomments+xml"/>
  <Override PartName="/xl/comments25.xml" ContentType="application/vnd.openxmlformats-officedocument.spreadsheetml.comments+xml"/>
  <Override PartName="/xl/threadedComments/threadedComment18.xml" ContentType="application/vnd.ms-excel.threadedcomments+xml"/>
  <Override PartName="/xl/comments26.xml" ContentType="application/vnd.openxmlformats-officedocument.spreadsheetml.comments+xml"/>
  <Override PartName="/xl/threadedComments/threadedComment19.xml" ContentType="application/vnd.ms-excel.threadedcomments+xml"/>
  <Override PartName="/xl/comments27.xml" ContentType="application/vnd.openxmlformats-officedocument.spreadsheetml.comments+xml"/>
  <Override PartName="/xl/threadedComments/threadedComment20.xml" ContentType="application/vnd.ms-excel.threadedcomments+xml"/>
  <Override PartName="/xl/comments28.xml" ContentType="application/vnd.openxmlformats-officedocument.spreadsheetml.comments+xml"/>
  <Override PartName="/xl/threadedComments/threadedComment21.xml" ContentType="application/vnd.ms-excel.threadedcomments+xml"/>
  <Override PartName="/xl/comments29.xml" ContentType="application/vnd.openxmlformats-officedocument.spreadsheetml.comments+xml"/>
  <Override PartName="/xl/threadedComments/threadedComment2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unitednations-my.sharepoint.com/personal/girma_gina_un_org/Documents/Desktop/"/>
    </mc:Choice>
  </mc:AlternateContent>
  <xr:revisionPtr revIDLastSave="0" documentId="8_{AFB8C84C-2BE0-4943-945A-3B44E324C8E0}" xr6:coauthVersionLast="47" xr6:coauthVersionMax="47" xr10:uidLastSave="{00000000-0000-0000-0000-000000000000}"/>
  <bookViews>
    <workbookView xWindow="-110" yWindow="-110" windowWidth="19420" windowHeight="11620" tabRatio="717" xr2:uid="{45561860-0812-446B-89FD-0802B860E200}"/>
  </bookViews>
  <sheets>
    <sheet name="Status" sheetId="1" r:id="rId1"/>
    <sheet name="Statistics" sheetId="2" r:id="rId2"/>
    <sheet name="YR91_24" sheetId="3" r:id="rId3"/>
    <sheet name="YR2024_26" sheetId="52" r:id="rId4"/>
    <sheet name="YR2024" sheetId="51" r:id="rId5"/>
    <sheet name="YR2021_23" sheetId="6" r:id="rId6"/>
    <sheet name="YR2023" sheetId="50" r:id="rId7"/>
    <sheet name="YR2022" sheetId="49" r:id="rId8"/>
    <sheet name="YR2021" sheetId="8" r:id="rId9"/>
    <sheet name="YR2018_20" sheetId="4" r:id="rId10"/>
    <sheet name="YR2020" sheetId="7" r:id="rId11"/>
    <sheet name="YR2019" sheetId="9" r:id="rId12"/>
    <sheet name="YR2018" sheetId="10" r:id="rId13"/>
    <sheet name="YR2015_17" sheetId="11" r:id="rId14"/>
    <sheet name="YR2017" sheetId="12" r:id="rId15"/>
    <sheet name="YR2016" sheetId="13" r:id="rId16"/>
    <sheet name="YR2015" sheetId="14" r:id="rId17"/>
    <sheet name="YR2012_14" sheetId="15" r:id="rId18"/>
    <sheet name="YR2014" sheetId="16" r:id="rId19"/>
    <sheet name="YR2013" sheetId="17" r:id="rId20"/>
    <sheet name="YR2012" sheetId="18" r:id="rId21"/>
    <sheet name="YR2009_11" sheetId="19" r:id="rId22"/>
    <sheet name="YR2011" sheetId="20" r:id="rId23"/>
    <sheet name="YR2010" sheetId="21" r:id="rId24"/>
    <sheet name="YR2009" sheetId="22" r:id="rId25"/>
    <sheet name="YR2006_08" sheetId="23" r:id="rId26"/>
    <sheet name="YR2008" sheetId="24" r:id="rId27"/>
    <sheet name="YR2007" sheetId="25" r:id="rId28"/>
    <sheet name="YR2006" sheetId="26" r:id="rId29"/>
    <sheet name="YR2003_05" sheetId="27" r:id="rId30"/>
    <sheet name="YR2005" sheetId="28" r:id="rId31"/>
    <sheet name="YR2004" sheetId="29" r:id="rId32"/>
    <sheet name="YR2003" sheetId="30" r:id="rId33"/>
    <sheet name="YR2000_02" sheetId="31" r:id="rId34"/>
    <sheet name="YR2002" sheetId="32" r:id="rId35"/>
    <sheet name="YR2001" sheetId="33" r:id="rId36"/>
    <sheet name="YR2000" sheetId="34" r:id="rId37"/>
    <sheet name="YR1997_99" sheetId="35" r:id="rId38"/>
    <sheet name="YR1999" sheetId="36" r:id="rId39"/>
    <sheet name="YR1998" sheetId="37" r:id="rId40"/>
    <sheet name="YR1997" sheetId="38" r:id="rId41"/>
    <sheet name="YR1994_96" sheetId="39" r:id="rId42"/>
    <sheet name="YR1996" sheetId="40" r:id="rId43"/>
    <sheet name="YR1995" sheetId="41" r:id="rId44"/>
    <sheet name="YR1994" sheetId="42" r:id="rId45"/>
    <sheet name="YR1991_93" sheetId="43" r:id="rId46"/>
    <sheet name="YR1993" sheetId="44" r:id="rId47"/>
    <sheet name="YR1992" sheetId="45" r:id="rId48"/>
    <sheet name="YR1991" sheetId="46" r:id="rId49"/>
  </sheets>
  <externalReferences>
    <externalReference r:id="rId50"/>
    <externalReference r:id="rId51"/>
    <externalReference r:id="rId52"/>
  </externalReferences>
  <definedNames>
    <definedName name="_xlnm._FilterDatabase" localSheetId="8" hidden="1">'YR2021'!$A$8:$F$61</definedName>
    <definedName name="_xlnm._FilterDatabase" localSheetId="5" hidden="1">YR2021_23!$A$8:$F$61</definedName>
    <definedName name="_xlnm._FilterDatabase" localSheetId="7" hidden="1">'YR2022'!$A$8:$F$63</definedName>
    <definedName name="_xlnm._FilterDatabase" localSheetId="6" hidden="1">'YR2023'!$A$8:$F$61</definedName>
    <definedName name="_xlnm._FilterDatabase" localSheetId="4" hidden="1">'YR2024'!$A$8:$F$61</definedName>
    <definedName name="_xlnm._FilterDatabase" localSheetId="3" hidden="1">YR2024_26!$A$8:$F$61</definedName>
    <definedName name="_xlnm._FilterDatabase" localSheetId="2" hidden="1">YR91_24!$B$8:$G$63</definedName>
    <definedName name="_xlnm.Print_Area" localSheetId="1">Statistics!$A$1:$N$34</definedName>
    <definedName name="_xlnm.Print_Area" localSheetId="0">Status!$A$1:$C$53</definedName>
    <definedName name="_xlnm.Print_Area" localSheetId="14">'YR2017'!$A$1:$F$62</definedName>
    <definedName name="_xlnm.Print_Area" localSheetId="8">'YR2021'!$A$1:$F$63</definedName>
    <definedName name="_xlnm.Print_Area" localSheetId="5">YR2021_23!$A$1:$F$63</definedName>
    <definedName name="_xlnm.Print_Area" localSheetId="7">'YR2022'!$A$1:$F$63</definedName>
    <definedName name="_xlnm.Print_Area" localSheetId="6">'YR2023'!$A$1:$F$63</definedName>
    <definedName name="_xlnm.Print_Area" localSheetId="4">'YR2024'!$A$1:$F$63</definedName>
    <definedName name="_xlnm.Print_Area" localSheetId="3">YR2024_26!$A$1:$F$63</definedName>
    <definedName name="_xlnm.Print_Area" localSheetId="2">YR91_24!$A$1:$G$72</definedName>
    <definedName name="_xlnm.Print_Titles" localSheetId="7">'YR2022'!$8:$8</definedName>
    <definedName name="_xlnm.Print_Titles" localSheetId="6">'YR2023'!$8:$8</definedName>
    <definedName name="_xlnm.Print_Titles" localSheetId="4">'YR2024'!$8:$8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3" i="51" l="1"/>
  <c r="C58" i="51"/>
  <c r="B58" i="51"/>
  <c r="C25" i="52"/>
  <c r="G54" i="3" l="1"/>
  <c r="G25" i="3"/>
  <c r="C50" i="52"/>
  <c r="G14" i="3" l="1"/>
  <c r="C14" i="52"/>
  <c r="G24" i="3"/>
  <c r="C24" i="50"/>
  <c r="C35" i="52"/>
  <c r="C10" i="51" l="1"/>
  <c r="L21" i="2" l="1"/>
  <c r="K21" i="2"/>
  <c r="G46" i="3" l="1"/>
  <c r="G21" i="3"/>
  <c r="C44" i="52"/>
  <c r="C21" i="52"/>
  <c r="C10" i="52"/>
  <c r="C19" i="52"/>
  <c r="C26" i="52"/>
  <c r="C27" i="52"/>
  <c r="C29" i="52"/>
  <c r="C31" i="52"/>
  <c r="C34" i="52"/>
  <c r="C39" i="52"/>
  <c r="C43" i="52"/>
  <c r="C46" i="52"/>
  <c r="C47" i="52"/>
  <c r="C48" i="52"/>
  <c r="C51" i="52"/>
  <c r="C52" i="52"/>
  <c r="C56" i="52"/>
  <c r="C32" i="50" l="1"/>
  <c r="C9" i="51" l="1"/>
  <c r="C16" i="50" l="1"/>
  <c r="C56" i="51" l="1"/>
  <c r="C56" i="50"/>
  <c r="C56" i="49"/>
  <c r="C56" i="8"/>
  <c r="B56" i="50" l="1"/>
  <c r="B59" i="50"/>
  <c r="L19" i="2"/>
  <c r="G61" i="3" l="1"/>
  <c r="G52" i="3"/>
  <c r="G51" i="3"/>
  <c r="G49" i="3"/>
  <c r="G48" i="3"/>
  <c r="G47" i="3"/>
  <c r="G45" i="3"/>
  <c r="G43" i="3"/>
  <c r="G42" i="3"/>
  <c r="G41" i="3"/>
  <c r="G40" i="3"/>
  <c r="G39" i="3"/>
  <c r="G37" i="3"/>
  <c r="G31" i="3"/>
  <c r="G29" i="3"/>
  <c r="G28" i="3"/>
  <c r="G27" i="3"/>
  <c r="G23" i="3"/>
  <c r="G22" i="3"/>
  <c r="G20" i="3"/>
  <c r="G19" i="3"/>
  <c r="G18" i="3"/>
  <c r="G17" i="3"/>
  <c r="G16" i="3"/>
  <c r="G11" i="3"/>
  <c r="G10" i="3"/>
  <c r="C10" i="50"/>
  <c r="B22" i="1"/>
  <c r="B21" i="1"/>
  <c r="B20" i="1"/>
  <c r="B19" i="1"/>
  <c r="D24" i="50"/>
  <c r="C30" i="1"/>
  <c r="C29" i="1"/>
  <c r="C28" i="1"/>
  <c r="C59" i="3"/>
  <c r="E59" i="3"/>
  <c r="N19" i="2"/>
  <c r="C13" i="1" s="1"/>
  <c r="M15" i="2"/>
  <c r="C9" i="52"/>
  <c r="D9" i="52"/>
  <c r="D58" i="52" s="1"/>
  <c r="M12" i="2" s="1"/>
  <c r="E9" i="52"/>
  <c r="E9" i="3" s="1"/>
  <c r="C10" i="6"/>
  <c r="C10" i="3" s="1"/>
  <c r="C63" i="3"/>
  <c r="D63" i="3"/>
  <c r="E63" i="3"/>
  <c r="D62" i="3"/>
  <c r="E62" i="3"/>
  <c r="E61" i="3"/>
  <c r="C57" i="3"/>
  <c r="E57" i="3"/>
  <c r="C56" i="3"/>
  <c r="E56" i="3"/>
  <c r="B56" i="3"/>
  <c r="E55" i="3"/>
  <c r="E54" i="3"/>
  <c r="D52" i="3"/>
  <c r="E52" i="3"/>
  <c r="D51" i="3"/>
  <c r="E51" i="3"/>
  <c r="E49" i="3"/>
  <c r="E48" i="3"/>
  <c r="B48" i="3"/>
  <c r="E47" i="3"/>
  <c r="B47" i="3"/>
  <c r="E46" i="3"/>
  <c r="E45" i="3"/>
  <c r="D43" i="3"/>
  <c r="E43" i="3"/>
  <c r="D42" i="3"/>
  <c r="E42" i="3"/>
  <c r="E41" i="3"/>
  <c r="E40" i="3"/>
  <c r="B40" i="3"/>
  <c r="C39" i="3"/>
  <c r="D39" i="3"/>
  <c r="E39" i="3"/>
  <c r="C38" i="3"/>
  <c r="E38" i="3"/>
  <c r="E37" i="3"/>
  <c r="C36" i="3"/>
  <c r="E36" i="3"/>
  <c r="C35" i="3"/>
  <c r="E35" i="3"/>
  <c r="D33" i="3"/>
  <c r="E33" i="3"/>
  <c r="E32" i="3"/>
  <c r="C31" i="3"/>
  <c r="D31" i="3"/>
  <c r="E31" i="3"/>
  <c r="C30" i="3"/>
  <c r="D30" i="3"/>
  <c r="E30" i="3"/>
  <c r="E29" i="3"/>
  <c r="D28" i="3"/>
  <c r="E28" i="3"/>
  <c r="B28" i="3"/>
  <c r="D27" i="3"/>
  <c r="E27" i="3"/>
  <c r="B27" i="3"/>
  <c r="E26" i="3"/>
  <c r="E25" i="3"/>
  <c r="C24" i="3"/>
  <c r="E24" i="3"/>
  <c r="C23" i="3"/>
  <c r="D23" i="3"/>
  <c r="E23" i="3"/>
  <c r="C22" i="3"/>
  <c r="E22" i="3"/>
  <c r="C21" i="3"/>
  <c r="E21" i="3"/>
  <c r="B21" i="3"/>
  <c r="C20" i="3"/>
  <c r="E20" i="3"/>
  <c r="C19" i="3"/>
  <c r="D19" i="3"/>
  <c r="E19" i="3"/>
  <c r="E18" i="3"/>
  <c r="D17" i="3"/>
  <c r="E17" i="3"/>
  <c r="D16" i="3"/>
  <c r="E16" i="3"/>
  <c r="C15" i="3"/>
  <c r="D15" i="3"/>
  <c r="E15" i="3"/>
  <c r="D14" i="3"/>
  <c r="E14" i="3"/>
  <c r="E13" i="3"/>
  <c r="C12" i="3"/>
  <c r="D12" i="3"/>
  <c r="E12" i="3"/>
  <c r="C11" i="3"/>
  <c r="D11" i="3"/>
  <c r="E11" i="3"/>
  <c r="E10" i="3"/>
  <c r="C9" i="3"/>
  <c r="B10" i="52"/>
  <c r="F10" i="52"/>
  <c r="B11" i="52"/>
  <c r="B12" i="52"/>
  <c r="B12" i="3" s="1"/>
  <c r="B13" i="52"/>
  <c r="B13" i="3" s="1"/>
  <c r="B14" i="52"/>
  <c r="F14" i="52"/>
  <c r="B15" i="52"/>
  <c r="B63" i="52" s="1"/>
  <c r="B16" i="52"/>
  <c r="B17" i="52"/>
  <c r="B18" i="52"/>
  <c r="B19" i="52"/>
  <c r="B20" i="52"/>
  <c r="B20" i="3" s="1"/>
  <c r="B21" i="52"/>
  <c r="F21" i="52"/>
  <c r="B22" i="52"/>
  <c r="F22" i="52"/>
  <c r="B23" i="52"/>
  <c r="B24" i="52"/>
  <c r="F24" i="52"/>
  <c r="B25" i="52"/>
  <c r="F25" i="52" s="1"/>
  <c r="B26" i="52"/>
  <c r="F26" i="52" s="1"/>
  <c r="B27" i="52"/>
  <c r="B28" i="52"/>
  <c r="B29" i="52"/>
  <c r="B29" i="3" s="1"/>
  <c r="F29" i="52"/>
  <c r="B30" i="52"/>
  <c r="B31" i="52"/>
  <c r="F31" i="52" s="1"/>
  <c r="F31" i="3" s="1"/>
  <c r="B32" i="52"/>
  <c r="F32" i="52" s="1"/>
  <c r="B33" i="52"/>
  <c r="B34" i="52"/>
  <c r="B35" i="52"/>
  <c r="B36" i="52"/>
  <c r="B37" i="52"/>
  <c r="F37" i="52"/>
  <c r="B38" i="52"/>
  <c r="B39" i="52"/>
  <c r="B40" i="52"/>
  <c r="B41" i="52"/>
  <c r="B42" i="3" s="1"/>
  <c r="F41" i="52"/>
  <c r="B42" i="52"/>
  <c r="F42" i="52" s="1"/>
  <c r="F43" i="3" s="1"/>
  <c r="B43" i="52"/>
  <c r="B44" i="52"/>
  <c r="F44" i="52" s="1"/>
  <c r="B45" i="52"/>
  <c r="B46" i="52"/>
  <c r="F46" i="52" s="1"/>
  <c r="B47" i="52"/>
  <c r="B48" i="52"/>
  <c r="F48" i="52" s="1"/>
  <c r="B49" i="52"/>
  <c r="B52" i="3" s="1"/>
  <c r="F49" i="52"/>
  <c r="B50" i="52"/>
  <c r="B54" i="3" s="1"/>
  <c r="F50" i="52"/>
  <c r="F54" i="3" s="1"/>
  <c r="B51" i="52"/>
  <c r="F51" i="52" s="1"/>
  <c r="B52" i="52"/>
  <c r="B53" i="52"/>
  <c r="B54" i="52"/>
  <c r="B55" i="52"/>
  <c r="F55" i="52" s="1"/>
  <c r="B56" i="52"/>
  <c r="F56" i="52"/>
  <c r="B57" i="52"/>
  <c r="F57" i="52" s="1"/>
  <c r="B9" i="52"/>
  <c r="B9" i="3" s="1"/>
  <c r="F52" i="52"/>
  <c r="F47" i="52"/>
  <c r="F49" i="3" s="1"/>
  <c r="F40" i="52"/>
  <c r="F35" i="52"/>
  <c r="F28" i="52"/>
  <c r="F20" i="52"/>
  <c r="F19" i="52"/>
  <c r="F11" i="52"/>
  <c r="E63" i="52"/>
  <c r="F59" i="52"/>
  <c r="E58" i="52"/>
  <c r="M13" i="2" s="1"/>
  <c r="F54" i="52"/>
  <c r="F53" i="52"/>
  <c r="F45" i="52"/>
  <c r="F39" i="52"/>
  <c r="F38" i="52"/>
  <c r="F36" i="52"/>
  <c r="F33" i="52"/>
  <c r="F30" i="52"/>
  <c r="F27" i="52"/>
  <c r="F18" i="52"/>
  <c r="F17" i="52"/>
  <c r="D63" i="52"/>
  <c r="C63" i="52"/>
  <c r="F12" i="52"/>
  <c r="D60" i="52"/>
  <c r="A7" i="52"/>
  <c r="A1" i="52"/>
  <c r="E63" i="51"/>
  <c r="D63" i="51"/>
  <c r="B63" i="51"/>
  <c r="F59" i="51"/>
  <c r="E58" i="51"/>
  <c r="E60" i="51"/>
  <c r="D58" i="51"/>
  <c r="D60" i="51" s="1"/>
  <c r="F57" i="51"/>
  <c r="B60" i="51"/>
  <c r="F55" i="51"/>
  <c r="F54" i="51"/>
  <c r="F53" i="51"/>
  <c r="F52" i="51"/>
  <c r="F51" i="51"/>
  <c r="F50" i="51"/>
  <c r="F49" i="51"/>
  <c r="F48" i="51"/>
  <c r="F47" i="51"/>
  <c r="F46" i="51"/>
  <c r="F45" i="51"/>
  <c r="F44" i="51"/>
  <c r="F43" i="51"/>
  <c r="F42" i="51"/>
  <c r="F41" i="51"/>
  <c r="F40" i="51"/>
  <c r="F39" i="51"/>
  <c r="F38" i="51"/>
  <c r="F37" i="51"/>
  <c r="F63" i="51"/>
  <c r="F35" i="51"/>
  <c r="F34" i="51"/>
  <c r="F33" i="51"/>
  <c r="F32" i="51"/>
  <c r="F31" i="51"/>
  <c r="F30" i="51"/>
  <c r="F29" i="51"/>
  <c r="F28" i="51"/>
  <c r="I27" i="51"/>
  <c r="F27" i="51"/>
  <c r="F26" i="51"/>
  <c r="F25" i="51"/>
  <c r="L24" i="51"/>
  <c r="F24" i="51"/>
  <c r="F23" i="51"/>
  <c r="F22" i="51"/>
  <c r="F21" i="51"/>
  <c r="F20" i="51"/>
  <c r="F19" i="51"/>
  <c r="F18" i="51"/>
  <c r="F17" i="51"/>
  <c r="F16" i="51"/>
  <c r="F15" i="51"/>
  <c r="F14" i="51"/>
  <c r="F13" i="51"/>
  <c r="F12" i="51"/>
  <c r="F11" i="51"/>
  <c r="F10" i="51"/>
  <c r="F9" i="51"/>
  <c r="A7" i="51"/>
  <c r="F1" i="51"/>
  <c r="B64" i="4"/>
  <c r="B63" i="11"/>
  <c r="B64" i="15"/>
  <c r="B62" i="19"/>
  <c r="B62" i="23"/>
  <c r="B57" i="27"/>
  <c r="B57" i="31"/>
  <c r="B65" i="35"/>
  <c r="B65" i="39"/>
  <c r="B65" i="43"/>
  <c r="C22" i="50"/>
  <c r="C25" i="50"/>
  <c r="D24" i="6"/>
  <c r="I27" i="50"/>
  <c r="A1" i="9"/>
  <c r="A1" i="4"/>
  <c r="A1" i="49"/>
  <c r="D24" i="3"/>
  <c r="F36" i="51"/>
  <c r="F56" i="51"/>
  <c r="H58" i="51"/>
  <c r="C36" i="50"/>
  <c r="B59" i="6"/>
  <c r="F59" i="6" s="1"/>
  <c r="B56" i="49"/>
  <c r="B59" i="49"/>
  <c r="B56" i="8"/>
  <c r="D32" i="6"/>
  <c r="D32" i="3" s="1"/>
  <c r="D31" i="6"/>
  <c r="D23" i="6"/>
  <c r="D11" i="6"/>
  <c r="D10" i="6"/>
  <c r="D10" i="3" s="1"/>
  <c r="B43" i="15"/>
  <c r="C43" i="15"/>
  <c r="D43" i="15"/>
  <c r="E43" i="15"/>
  <c r="F43" i="15"/>
  <c r="B44" i="15"/>
  <c r="C44" i="15"/>
  <c r="D44" i="15"/>
  <c r="F44" i="15"/>
  <c r="E44" i="15"/>
  <c r="B45" i="15"/>
  <c r="C45" i="15"/>
  <c r="F45" i="15"/>
  <c r="D45" i="15"/>
  <c r="E45" i="15"/>
  <c r="B46" i="15"/>
  <c r="C46" i="15"/>
  <c r="D46" i="15"/>
  <c r="E46" i="15"/>
  <c r="F46" i="15"/>
  <c r="B47" i="15"/>
  <c r="C47" i="15"/>
  <c r="D47" i="15"/>
  <c r="E47" i="15"/>
  <c r="F47" i="15"/>
  <c r="F43" i="14"/>
  <c r="F44" i="14"/>
  <c r="F45" i="14"/>
  <c r="C46" i="14"/>
  <c r="F46" i="14"/>
  <c r="F47" i="14"/>
  <c r="F43" i="13"/>
  <c r="F44" i="13"/>
  <c r="C45" i="13"/>
  <c r="F45" i="13"/>
  <c r="C46" i="13"/>
  <c r="F46" i="13"/>
  <c r="F47" i="13"/>
  <c r="F43" i="12"/>
  <c r="F44" i="12"/>
  <c r="F45" i="12"/>
  <c r="F46" i="12"/>
  <c r="F47" i="12"/>
  <c r="B43" i="11"/>
  <c r="C43" i="11"/>
  <c r="D43" i="11"/>
  <c r="E43" i="11"/>
  <c r="B44" i="11"/>
  <c r="C44" i="11"/>
  <c r="D44" i="11"/>
  <c r="E44" i="11"/>
  <c r="B45" i="11"/>
  <c r="D45" i="11"/>
  <c r="E45" i="11"/>
  <c r="B46" i="11"/>
  <c r="C46" i="11"/>
  <c r="D46" i="11"/>
  <c r="E46" i="11"/>
  <c r="B47" i="11"/>
  <c r="C47" i="11"/>
  <c r="D47" i="11"/>
  <c r="E47" i="11"/>
  <c r="F43" i="10"/>
  <c r="F44" i="10"/>
  <c r="F45" i="10"/>
  <c r="C46" i="10"/>
  <c r="F46" i="10"/>
  <c r="F47" i="10"/>
  <c r="F43" i="9"/>
  <c r="F44" i="9"/>
  <c r="C45" i="9"/>
  <c r="F45" i="9"/>
  <c r="C46" i="9"/>
  <c r="F46" i="9"/>
  <c r="F47" i="9"/>
  <c r="F43" i="7"/>
  <c r="F44" i="7"/>
  <c r="F45" i="7"/>
  <c r="F46" i="7"/>
  <c r="F47" i="7"/>
  <c r="B43" i="4"/>
  <c r="C43" i="4"/>
  <c r="D43" i="4"/>
  <c r="E43" i="4"/>
  <c r="B44" i="4"/>
  <c r="C44" i="4"/>
  <c r="D44" i="4"/>
  <c r="E44" i="4"/>
  <c r="B45" i="4"/>
  <c r="C45" i="4"/>
  <c r="D45" i="4"/>
  <c r="E45" i="4"/>
  <c r="B46" i="4"/>
  <c r="C46" i="4"/>
  <c r="F46" i="4"/>
  <c r="D46" i="4"/>
  <c r="E46" i="4"/>
  <c r="B47" i="4"/>
  <c r="C47" i="4"/>
  <c r="D47" i="4"/>
  <c r="E47" i="4"/>
  <c r="F43" i="8"/>
  <c r="F44" i="8"/>
  <c r="F45" i="8"/>
  <c r="F46" i="8"/>
  <c r="F47" i="8"/>
  <c r="F43" i="49"/>
  <c r="F44" i="49"/>
  <c r="F45" i="49"/>
  <c r="F46" i="49"/>
  <c r="F47" i="49"/>
  <c r="F43" i="50"/>
  <c r="F44" i="50"/>
  <c r="F45" i="50"/>
  <c r="F46" i="50"/>
  <c r="F47" i="50"/>
  <c r="B43" i="6"/>
  <c r="C43" i="6"/>
  <c r="C45" i="3" s="1"/>
  <c r="D43" i="6"/>
  <c r="D45" i="3" s="1"/>
  <c r="B44" i="6"/>
  <c r="F44" i="6" s="1"/>
  <c r="C44" i="6"/>
  <c r="C46" i="3" s="1"/>
  <c r="D44" i="6"/>
  <c r="D46" i="3" s="1"/>
  <c r="B45" i="6"/>
  <c r="F45" i="6" s="1"/>
  <c r="C45" i="6"/>
  <c r="C47" i="3" s="1"/>
  <c r="D45" i="6"/>
  <c r="D47" i="3" s="1"/>
  <c r="B46" i="6"/>
  <c r="F46" i="6" s="1"/>
  <c r="C46" i="6"/>
  <c r="C48" i="3" s="1"/>
  <c r="D46" i="6"/>
  <c r="D48" i="3" s="1"/>
  <c r="B47" i="6"/>
  <c r="C47" i="6"/>
  <c r="C49" i="3" s="1"/>
  <c r="D47" i="6"/>
  <c r="D49" i="3" s="1"/>
  <c r="B44" i="3"/>
  <c r="C44" i="3"/>
  <c r="D44" i="3"/>
  <c r="E44" i="3"/>
  <c r="F44" i="3"/>
  <c r="A7" i="11"/>
  <c r="E58" i="49"/>
  <c r="L24" i="50"/>
  <c r="F47" i="4"/>
  <c r="F46" i="11"/>
  <c r="F43" i="11"/>
  <c r="F47" i="6"/>
  <c r="F43" i="6"/>
  <c r="F44" i="4"/>
  <c r="F47" i="11"/>
  <c r="F44" i="11"/>
  <c r="C45" i="11"/>
  <c r="F43" i="4"/>
  <c r="F45" i="4"/>
  <c r="F45" i="11"/>
  <c r="D23" i="8"/>
  <c r="C23" i="8"/>
  <c r="F59" i="50"/>
  <c r="C56" i="7"/>
  <c r="F59" i="8"/>
  <c r="C56" i="9"/>
  <c r="B56" i="9"/>
  <c r="B56" i="7"/>
  <c r="C16" i="49"/>
  <c r="B58" i="49"/>
  <c r="F59" i="49"/>
  <c r="D24" i="49"/>
  <c r="C32" i="49"/>
  <c r="B57" i="6"/>
  <c r="F57" i="6" s="1"/>
  <c r="B55" i="6"/>
  <c r="F55" i="6" s="1"/>
  <c r="B54" i="6"/>
  <c r="F54" i="6" s="1"/>
  <c r="B53" i="6"/>
  <c r="F53" i="6" s="1"/>
  <c r="B52" i="6"/>
  <c r="F52" i="6" s="1"/>
  <c r="B51" i="6"/>
  <c r="F51" i="6" s="1"/>
  <c r="B50" i="6"/>
  <c r="B49" i="6"/>
  <c r="B48" i="6"/>
  <c r="B51" i="3" s="1"/>
  <c r="B42" i="6"/>
  <c r="B41" i="6"/>
  <c r="B40" i="6"/>
  <c r="F40" i="6" s="1"/>
  <c r="B39" i="6"/>
  <c r="F39" i="6" s="1"/>
  <c r="B38" i="6"/>
  <c r="F38" i="6" s="1"/>
  <c r="B37" i="6"/>
  <c r="B38" i="3" s="1"/>
  <c r="B36" i="6"/>
  <c r="B37" i="3" s="1"/>
  <c r="B35" i="6"/>
  <c r="F35" i="6" s="1"/>
  <c r="B34" i="6"/>
  <c r="F34" i="6" s="1"/>
  <c r="B33" i="6"/>
  <c r="B32" i="6"/>
  <c r="B31" i="6"/>
  <c r="B30" i="6"/>
  <c r="B30" i="3" s="1"/>
  <c r="B29" i="6"/>
  <c r="B28" i="6"/>
  <c r="B27" i="6"/>
  <c r="F27" i="6" s="1"/>
  <c r="B26" i="6"/>
  <c r="F26" i="6" s="1"/>
  <c r="B25" i="6"/>
  <c r="F25" i="6" s="1"/>
  <c r="B24" i="6"/>
  <c r="F24" i="6" s="1"/>
  <c r="B23" i="6"/>
  <c r="F23" i="6" s="1"/>
  <c r="B22" i="6"/>
  <c r="F22" i="6" s="1"/>
  <c r="B21" i="6"/>
  <c r="B20" i="6"/>
  <c r="B19" i="6"/>
  <c r="B19" i="3" s="1"/>
  <c r="B18" i="6"/>
  <c r="B18" i="3" s="1"/>
  <c r="B17" i="6"/>
  <c r="B16" i="6"/>
  <c r="B15" i="6"/>
  <c r="F15" i="6" s="1"/>
  <c r="B14" i="6"/>
  <c r="F14" i="6" s="1"/>
  <c r="B13" i="6"/>
  <c r="F13" i="6" s="1"/>
  <c r="B12" i="6"/>
  <c r="B63" i="6" s="1"/>
  <c r="B11" i="6"/>
  <c r="F11" i="6" s="1"/>
  <c r="B10" i="6"/>
  <c r="F10" i="6" s="1"/>
  <c r="B9" i="6"/>
  <c r="C57" i="6"/>
  <c r="C55" i="6"/>
  <c r="C61" i="3" s="1"/>
  <c r="C54" i="6"/>
  <c r="C53" i="6"/>
  <c r="C52" i="6"/>
  <c r="C51" i="6"/>
  <c r="C55" i="3" s="1"/>
  <c r="C50" i="6"/>
  <c r="C54" i="3" s="1"/>
  <c r="C49" i="6"/>
  <c r="C52" i="3" s="1"/>
  <c r="C48" i="6"/>
  <c r="C51" i="3" s="1"/>
  <c r="C42" i="6"/>
  <c r="C43" i="3" s="1"/>
  <c r="C41" i="6"/>
  <c r="C42" i="3" s="1"/>
  <c r="C40" i="6"/>
  <c r="C41" i="3" s="1"/>
  <c r="C39" i="6"/>
  <c r="C40" i="3" s="1"/>
  <c r="C38" i="6"/>
  <c r="C37" i="6"/>
  <c r="C36" i="6"/>
  <c r="C37" i="3" s="1"/>
  <c r="C35" i="6"/>
  <c r="C34" i="6"/>
  <c r="C33" i="6"/>
  <c r="C30" i="6"/>
  <c r="C28" i="6"/>
  <c r="C28" i="3" s="1"/>
  <c r="C27" i="6"/>
  <c r="C27" i="3" s="1"/>
  <c r="C26" i="6"/>
  <c r="C26" i="3" s="1"/>
  <c r="C25" i="6"/>
  <c r="C25" i="3" s="1"/>
  <c r="C24" i="6"/>
  <c r="C23" i="6"/>
  <c r="C22" i="6"/>
  <c r="C21" i="6"/>
  <c r="C20" i="6"/>
  <c r="C19" i="6"/>
  <c r="C18" i="6"/>
  <c r="C18" i="3" s="1"/>
  <c r="C17" i="6"/>
  <c r="C17" i="3" s="1"/>
  <c r="C15" i="6"/>
  <c r="C14" i="6"/>
  <c r="C14" i="3" s="1"/>
  <c r="C13" i="6"/>
  <c r="C13" i="3" s="1"/>
  <c r="C12" i="6"/>
  <c r="C9" i="6"/>
  <c r="F56" i="50"/>
  <c r="E63" i="50"/>
  <c r="D63" i="50"/>
  <c r="C63" i="50"/>
  <c r="B63" i="50"/>
  <c r="E58" i="50"/>
  <c r="E60" i="50"/>
  <c r="B58" i="50"/>
  <c r="B60" i="50"/>
  <c r="F57" i="50"/>
  <c r="F55" i="50"/>
  <c r="F54" i="50"/>
  <c r="F53" i="50"/>
  <c r="F52" i="50"/>
  <c r="F51" i="50"/>
  <c r="F50" i="50"/>
  <c r="F49" i="50"/>
  <c r="F48" i="50"/>
  <c r="F42" i="50"/>
  <c r="F41" i="50"/>
  <c r="F40" i="50"/>
  <c r="F39" i="50"/>
  <c r="F38" i="50"/>
  <c r="F37" i="50"/>
  <c r="F36" i="50"/>
  <c r="F35" i="50"/>
  <c r="F34" i="50"/>
  <c r="F33" i="50"/>
  <c r="F32" i="50"/>
  <c r="F31" i="50"/>
  <c r="F30" i="50"/>
  <c r="C58" i="50"/>
  <c r="C60" i="50" s="1"/>
  <c r="F28" i="50"/>
  <c r="F27" i="50"/>
  <c r="F26" i="50"/>
  <c r="F25" i="50"/>
  <c r="F24" i="50"/>
  <c r="F23" i="50"/>
  <c r="F22" i="50"/>
  <c r="F21" i="50"/>
  <c r="F20" i="50"/>
  <c r="F19" i="50"/>
  <c r="F18" i="50"/>
  <c r="F17" i="50"/>
  <c r="F16" i="50"/>
  <c r="F15" i="50"/>
  <c r="F14" i="50"/>
  <c r="F13" i="50"/>
  <c r="F12" i="50"/>
  <c r="D58" i="50"/>
  <c r="D60" i="50" s="1"/>
  <c r="F10" i="50"/>
  <c r="F9" i="50"/>
  <c r="A7" i="50"/>
  <c r="F1" i="50"/>
  <c r="F63" i="50"/>
  <c r="F29" i="50"/>
  <c r="F11" i="50"/>
  <c r="C11" i="8"/>
  <c r="C11" i="6"/>
  <c r="D11" i="49"/>
  <c r="D58" i="49"/>
  <c r="D11" i="8"/>
  <c r="C23" i="7"/>
  <c r="D23" i="7"/>
  <c r="C31" i="49"/>
  <c r="H24" i="49"/>
  <c r="L24" i="49"/>
  <c r="C56" i="6"/>
  <c r="C62" i="3" s="1"/>
  <c r="E24" i="12"/>
  <c r="E1" i="12"/>
  <c r="A1" i="11"/>
  <c r="E1" i="10"/>
  <c r="E1" i="7"/>
  <c r="B59" i="7"/>
  <c r="F59" i="7"/>
  <c r="B56" i="6"/>
  <c r="B62" i="3" s="1"/>
  <c r="F56" i="8"/>
  <c r="F58" i="8" s="1"/>
  <c r="F60" i="8" s="1"/>
  <c r="C29" i="49"/>
  <c r="C58" i="49"/>
  <c r="C60" i="49" s="1"/>
  <c r="C29" i="6"/>
  <c r="C29" i="3" s="1"/>
  <c r="C16" i="8"/>
  <c r="C16" i="6"/>
  <c r="C16" i="3" s="1"/>
  <c r="C31" i="8"/>
  <c r="C31" i="6"/>
  <c r="C32" i="8"/>
  <c r="C32" i="6"/>
  <c r="C32" i="3" s="1"/>
  <c r="A7" i="49"/>
  <c r="D57" i="6"/>
  <c r="D56" i="6"/>
  <c r="D55" i="6"/>
  <c r="D61" i="3" s="1"/>
  <c r="D54" i="6"/>
  <c r="D59" i="3" s="1"/>
  <c r="D53" i="6"/>
  <c r="D57" i="3" s="1"/>
  <c r="D52" i="6"/>
  <c r="D56" i="3" s="1"/>
  <c r="D51" i="6"/>
  <c r="D55" i="3" s="1"/>
  <c r="D50" i="6"/>
  <c r="D54" i="3" s="1"/>
  <c r="D49" i="6"/>
  <c r="D48" i="6"/>
  <c r="D42" i="6"/>
  <c r="D41" i="6"/>
  <c r="D40" i="6"/>
  <c r="D41" i="3" s="1"/>
  <c r="D39" i="6"/>
  <c r="D40" i="3" s="1"/>
  <c r="D38" i="6"/>
  <c r="D37" i="6"/>
  <c r="D38" i="3" s="1"/>
  <c r="D36" i="6"/>
  <c r="D37" i="3" s="1"/>
  <c r="D35" i="6"/>
  <c r="D36" i="3" s="1"/>
  <c r="D34" i="6"/>
  <c r="D35" i="3" s="1"/>
  <c r="D33" i="6"/>
  <c r="D30" i="6"/>
  <c r="D29" i="6"/>
  <c r="D29" i="3" s="1"/>
  <c r="D28" i="6"/>
  <c r="D27" i="6"/>
  <c r="D26" i="6"/>
  <c r="D26" i="3" s="1"/>
  <c r="D25" i="6"/>
  <c r="D25" i="3" s="1"/>
  <c r="D22" i="6"/>
  <c r="D22" i="3" s="1"/>
  <c r="D20" i="6"/>
  <c r="D20" i="3" s="1"/>
  <c r="D19" i="6"/>
  <c r="F19" i="6" s="1"/>
  <c r="D21" i="6"/>
  <c r="D21" i="3" s="1"/>
  <c r="D18" i="6"/>
  <c r="F18" i="6" s="1"/>
  <c r="D17" i="6"/>
  <c r="D16" i="6"/>
  <c r="D15" i="6"/>
  <c r="D14" i="6"/>
  <c r="D13" i="6"/>
  <c r="D13" i="3" s="1"/>
  <c r="D12" i="6"/>
  <c r="D63" i="6" s="1"/>
  <c r="D9" i="6"/>
  <c r="F9" i="6" s="1"/>
  <c r="D32" i="8"/>
  <c r="D24" i="8"/>
  <c r="C20" i="37"/>
  <c r="D20" i="37"/>
  <c r="E63" i="49"/>
  <c r="D63" i="49"/>
  <c r="C63" i="49"/>
  <c r="B63" i="49"/>
  <c r="E60" i="49"/>
  <c r="D60" i="49"/>
  <c r="B60" i="49"/>
  <c r="F57" i="49"/>
  <c r="F56" i="49"/>
  <c r="F58" i="49" s="1"/>
  <c r="F60" i="49" s="1"/>
  <c r="F55" i="49"/>
  <c r="F54" i="49"/>
  <c r="F53" i="49"/>
  <c r="F52" i="49"/>
  <c r="F51" i="49"/>
  <c r="F50" i="49"/>
  <c r="F49" i="49"/>
  <c r="F48" i="49"/>
  <c r="F42" i="49"/>
  <c r="F41" i="49"/>
  <c r="F40" i="49"/>
  <c r="F39" i="49"/>
  <c r="F38" i="49"/>
  <c r="F37" i="49"/>
  <c r="F36" i="49"/>
  <c r="F35" i="49"/>
  <c r="F34" i="49"/>
  <c r="F33" i="49"/>
  <c r="F32" i="49"/>
  <c r="F31" i="49"/>
  <c r="F30" i="49"/>
  <c r="F29" i="49"/>
  <c r="F28" i="49"/>
  <c r="F27" i="49"/>
  <c r="F26" i="49"/>
  <c r="F25" i="49"/>
  <c r="F24" i="49"/>
  <c r="F23" i="49"/>
  <c r="F22" i="49"/>
  <c r="F21" i="49"/>
  <c r="F20" i="49"/>
  <c r="F19" i="49"/>
  <c r="F18" i="49"/>
  <c r="F17" i="49"/>
  <c r="F16" i="49"/>
  <c r="F15" i="49"/>
  <c r="F14" i="49"/>
  <c r="F13" i="49"/>
  <c r="F12" i="49"/>
  <c r="F11" i="49"/>
  <c r="F10" i="49"/>
  <c r="F9" i="49"/>
  <c r="F63" i="49"/>
  <c r="D20" i="35"/>
  <c r="C63" i="8"/>
  <c r="D23" i="13"/>
  <c r="C23" i="13"/>
  <c r="B59" i="11"/>
  <c r="B59" i="15"/>
  <c r="C10" i="7"/>
  <c r="D10" i="7"/>
  <c r="D16" i="22"/>
  <c r="C16" i="22"/>
  <c r="D15" i="24"/>
  <c r="C15" i="24"/>
  <c r="D14" i="32"/>
  <c r="C14" i="32"/>
  <c r="D23" i="12"/>
  <c r="C23" i="12"/>
  <c r="D23" i="16"/>
  <c r="C23" i="16"/>
  <c r="D21" i="24"/>
  <c r="C21" i="24"/>
  <c r="D19" i="28"/>
  <c r="C19" i="28"/>
  <c r="D21" i="35"/>
  <c r="C21" i="35"/>
  <c r="D21" i="40"/>
  <c r="C21" i="40"/>
  <c r="D21" i="42"/>
  <c r="C21" i="42"/>
  <c r="D50" i="13"/>
  <c r="C50" i="13"/>
  <c r="D38" i="28"/>
  <c r="C38" i="28"/>
  <c r="A7" i="8"/>
  <c r="A7" i="3"/>
  <c r="D23" i="39"/>
  <c r="C23" i="39"/>
  <c r="C10" i="4"/>
  <c r="F60" i="3"/>
  <c r="E60" i="3"/>
  <c r="D60" i="3"/>
  <c r="C60" i="3"/>
  <c r="B60" i="3"/>
  <c r="F58" i="3"/>
  <c r="E58" i="3"/>
  <c r="D58" i="3"/>
  <c r="C58" i="3"/>
  <c r="B58" i="3"/>
  <c r="F53" i="3"/>
  <c r="E53" i="3"/>
  <c r="D53" i="3"/>
  <c r="C53" i="3"/>
  <c r="B53" i="3"/>
  <c r="F50" i="3"/>
  <c r="E50" i="3"/>
  <c r="D50" i="3"/>
  <c r="C50" i="3"/>
  <c r="B50" i="3"/>
  <c r="F34" i="3"/>
  <c r="E34" i="3"/>
  <c r="D34" i="3"/>
  <c r="C34" i="3"/>
  <c r="B34" i="3"/>
  <c r="E57" i="4"/>
  <c r="D57" i="4"/>
  <c r="C57" i="4"/>
  <c r="B57" i="4"/>
  <c r="E56" i="4"/>
  <c r="D56" i="4"/>
  <c r="E55" i="4"/>
  <c r="D55" i="4"/>
  <c r="B55" i="4"/>
  <c r="E54" i="4"/>
  <c r="D54" i="4"/>
  <c r="C54" i="4"/>
  <c r="B54" i="4"/>
  <c r="E53" i="4"/>
  <c r="D53" i="4"/>
  <c r="C53" i="4"/>
  <c r="B53" i="4"/>
  <c r="E52" i="4"/>
  <c r="D52" i="4"/>
  <c r="C52" i="4"/>
  <c r="B52" i="4"/>
  <c r="E51" i="4"/>
  <c r="D51" i="4"/>
  <c r="C51" i="4"/>
  <c r="B51" i="4"/>
  <c r="E50" i="4"/>
  <c r="D50" i="4"/>
  <c r="B50" i="4"/>
  <c r="E49" i="4"/>
  <c r="D49" i="4"/>
  <c r="C49" i="4"/>
  <c r="B49" i="4"/>
  <c r="E48" i="4"/>
  <c r="D48" i="4"/>
  <c r="C48" i="4"/>
  <c r="B48" i="4"/>
  <c r="E42" i="4"/>
  <c r="D42" i="4"/>
  <c r="C42" i="4"/>
  <c r="B42" i="4"/>
  <c r="E41" i="4"/>
  <c r="D41" i="4"/>
  <c r="B41" i="4"/>
  <c r="E40" i="4"/>
  <c r="D40" i="4"/>
  <c r="C40" i="4"/>
  <c r="B40" i="4"/>
  <c r="E39" i="4"/>
  <c r="D39" i="4"/>
  <c r="C39" i="4"/>
  <c r="B39" i="4"/>
  <c r="E38" i="4"/>
  <c r="D38" i="4"/>
  <c r="C38" i="4"/>
  <c r="B38" i="4"/>
  <c r="E37" i="4"/>
  <c r="D37" i="4"/>
  <c r="C37" i="4"/>
  <c r="B37" i="4"/>
  <c r="E36" i="4"/>
  <c r="D36" i="4"/>
  <c r="B36" i="4"/>
  <c r="E35" i="4"/>
  <c r="D35" i="4"/>
  <c r="C35" i="4"/>
  <c r="B35" i="4"/>
  <c r="E34" i="4"/>
  <c r="D34" i="4"/>
  <c r="C34" i="4"/>
  <c r="B34" i="4"/>
  <c r="E33" i="4"/>
  <c r="D33" i="4"/>
  <c r="C33" i="4"/>
  <c r="B33" i="4"/>
  <c r="E32" i="4"/>
  <c r="D32" i="4"/>
  <c r="E31" i="4"/>
  <c r="D31" i="4"/>
  <c r="B31" i="4"/>
  <c r="E30" i="4"/>
  <c r="D30" i="4"/>
  <c r="C30" i="4"/>
  <c r="B30" i="4"/>
  <c r="E29" i="4"/>
  <c r="D29" i="4"/>
  <c r="C29" i="4"/>
  <c r="B29" i="4"/>
  <c r="E28" i="4"/>
  <c r="D28" i="4"/>
  <c r="C28" i="4"/>
  <c r="B28" i="4"/>
  <c r="E27" i="4"/>
  <c r="D27" i="4"/>
  <c r="C27" i="4"/>
  <c r="B27" i="4"/>
  <c r="E26" i="4"/>
  <c r="D26" i="4"/>
  <c r="C26" i="4"/>
  <c r="B26" i="4"/>
  <c r="E25" i="4"/>
  <c r="D25" i="4"/>
  <c r="C25" i="4"/>
  <c r="B25" i="4"/>
  <c r="E24" i="4"/>
  <c r="B24" i="4"/>
  <c r="E23" i="4"/>
  <c r="B23" i="4"/>
  <c r="E22" i="4"/>
  <c r="D22" i="4"/>
  <c r="C22" i="4"/>
  <c r="B22" i="4"/>
  <c r="E21" i="4"/>
  <c r="D21" i="4"/>
  <c r="C21" i="4"/>
  <c r="B21" i="4"/>
  <c r="E20" i="4"/>
  <c r="D20" i="4"/>
  <c r="C20" i="4"/>
  <c r="B20" i="4"/>
  <c r="E19" i="4"/>
  <c r="D19" i="4"/>
  <c r="C19" i="4"/>
  <c r="B19" i="4"/>
  <c r="E18" i="4"/>
  <c r="D18" i="4"/>
  <c r="C18" i="4"/>
  <c r="B18" i="4"/>
  <c r="E17" i="4"/>
  <c r="D17" i="4"/>
  <c r="C17" i="4"/>
  <c r="B17" i="4"/>
  <c r="E16" i="4"/>
  <c r="B16" i="4"/>
  <c r="E15" i="4"/>
  <c r="D15" i="4"/>
  <c r="C15" i="4"/>
  <c r="B15" i="4"/>
  <c r="E14" i="4"/>
  <c r="D14" i="4"/>
  <c r="C14" i="4"/>
  <c r="B14" i="4"/>
  <c r="E13" i="4"/>
  <c r="D13" i="4"/>
  <c r="C13" i="4"/>
  <c r="B13" i="4"/>
  <c r="E12" i="4"/>
  <c r="D12" i="4"/>
  <c r="C12" i="4"/>
  <c r="B12" i="4"/>
  <c r="E11" i="4"/>
  <c r="D11" i="4"/>
  <c r="B11" i="4"/>
  <c r="E10" i="4"/>
  <c r="D10" i="4"/>
  <c r="B10" i="4"/>
  <c r="E9" i="4"/>
  <c r="D9" i="4"/>
  <c r="C9" i="4"/>
  <c r="B9" i="4"/>
  <c r="E57" i="11"/>
  <c r="D57" i="11"/>
  <c r="C57" i="11"/>
  <c r="B57" i="11"/>
  <c r="E56" i="11"/>
  <c r="D56" i="11"/>
  <c r="E55" i="11"/>
  <c r="D55" i="11"/>
  <c r="C55" i="11"/>
  <c r="B55" i="11"/>
  <c r="E54" i="11"/>
  <c r="D54" i="11"/>
  <c r="C54" i="11"/>
  <c r="B54" i="11"/>
  <c r="E53" i="11"/>
  <c r="D53" i="11"/>
  <c r="C53" i="11"/>
  <c r="B53" i="11"/>
  <c r="E52" i="11"/>
  <c r="D52" i="11"/>
  <c r="C52" i="11"/>
  <c r="B52" i="11"/>
  <c r="E51" i="11"/>
  <c r="D51" i="11"/>
  <c r="C51" i="11"/>
  <c r="B51" i="11"/>
  <c r="E50" i="11"/>
  <c r="D50" i="11"/>
  <c r="C50" i="11"/>
  <c r="B50" i="11"/>
  <c r="E49" i="11"/>
  <c r="D49" i="11"/>
  <c r="B49" i="11"/>
  <c r="E48" i="11"/>
  <c r="D48" i="11"/>
  <c r="B48" i="11"/>
  <c r="E42" i="11"/>
  <c r="D42" i="11"/>
  <c r="C42" i="11"/>
  <c r="B42" i="11"/>
  <c r="E41" i="11"/>
  <c r="D41" i="11"/>
  <c r="B41" i="11"/>
  <c r="E40" i="11"/>
  <c r="D40" i="11"/>
  <c r="C40" i="11"/>
  <c r="B40" i="11"/>
  <c r="E39" i="11"/>
  <c r="D39" i="11"/>
  <c r="C39" i="11"/>
  <c r="B39" i="11"/>
  <c r="E38" i="11"/>
  <c r="D38" i="11"/>
  <c r="C38" i="11"/>
  <c r="B38" i="11"/>
  <c r="E37" i="11"/>
  <c r="D37" i="11"/>
  <c r="C37" i="11"/>
  <c r="B37" i="11"/>
  <c r="E36" i="11"/>
  <c r="D36" i="11"/>
  <c r="C36" i="11"/>
  <c r="B36" i="11"/>
  <c r="E35" i="11"/>
  <c r="D35" i="11"/>
  <c r="C35" i="11"/>
  <c r="B35" i="11"/>
  <c r="E34" i="11"/>
  <c r="D34" i="11"/>
  <c r="B34" i="11"/>
  <c r="E33" i="11"/>
  <c r="D33" i="11"/>
  <c r="B33" i="11"/>
  <c r="E32" i="11"/>
  <c r="B32" i="11"/>
  <c r="E31" i="11"/>
  <c r="B31" i="11"/>
  <c r="E30" i="11"/>
  <c r="D30" i="11"/>
  <c r="C30" i="11"/>
  <c r="B30" i="11"/>
  <c r="E29" i="11"/>
  <c r="D29" i="11"/>
  <c r="C29" i="11"/>
  <c r="B29" i="11"/>
  <c r="E28" i="11"/>
  <c r="D28" i="11"/>
  <c r="B28" i="11"/>
  <c r="E27" i="11"/>
  <c r="D27" i="11"/>
  <c r="C27" i="11"/>
  <c r="B27" i="11"/>
  <c r="E26" i="11"/>
  <c r="D26" i="11"/>
  <c r="C26" i="11"/>
  <c r="B26" i="11"/>
  <c r="E25" i="11"/>
  <c r="D25" i="11"/>
  <c r="C25" i="11"/>
  <c r="B25" i="11"/>
  <c r="B24" i="11"/>
  <c r="E23" i="11"/>
  <c r="B23" i="11"/>
  <c r="E22" i="11"/>
  <c r="D22" i="11"/>
  <c r="C22" i="11"/>
  <c r="B22" i="11"/>
  <c r="E21" i="11"/>
  <c r="D21" i="11"/>
  <c r="C21" i="11"/>
  <c r="B21" i="11"/>
  <c r="E20" i="11"/>
  <c r="D20" i="11"/>
  <c r="C20" i="11"/>
  <c r="B20" i="11"/>
  <c r="E19" i="11"/>
  <c r="D19" i="11"/>
  <c r="B19" i="11"/>
  <c r="E18" i="11"/>
  <c r="D18" i="11"/>
  <c r="C18" i="11"/>
  <c r="B18" i="11"/>
  <c r="E17" i="11"/>
  <c r="D17" i="11"/>
  <c r="B17" i="11"/>
  <c r="E16" i="11"/>
  <c r="D16" i="11"/>
  <c r="B16" i="11"/>
  <c r="E15" i="11"/>
  <c r="D15" i="11"/>
  <c r="C15" i="11"/>
  <c r="B15" i="11"/>
  <c r="E14" i="11"/>
  <c r="D14" i="11"/>
  <c r="C14" i="11"/>
  <c r="B14" i="11"/>
  <c r="E13" i="11"/>
  <c r="D13" i="11"/>
  <c r="C13" i="11"/>
  <c r="B13" i="11"/>
  <c r="E12" i="11"/>
  <c r="D12" i="11"/>
  <c r="C12" i="11"/>
  <c r="B12" i="11"/>
  <c r="E11" i="11"/>
  <c r="D11" i="11"/>
  <c r="C11" i="11"/>
  <c r="B11" i="11"/>
  <c r="E10" i="11"/>
  <c r="D10" i="11"/>
  <c r="C10" i="11"/>
  <c r="B10" i="11"/>
  <c r="E9" i="11"/>
  <c r="D9" i="11"/>
  <c r="C9" i="11"/>
  <c r="B9" i="11"/>
  <c r="C56" i="15"/>
  <c r="E57" i="15"/>
  <c r="D57" i="15"/>
  <c r="C57" i="15"/>
  <c r="B57" i="15"/>
  <c r="E56" i="15"/>
  <c r="D56" i="15"/>
  <c r="B56" i="15"/>
  <c r="E55" i="15"/>
  <c r="D55" i="15"/>
  <c r="C55" i="15"/>
  <c r="B55" i="15"/>
  <c r="E54" i="15"/>
  <c r="D54" i="15"/>
  <c r="C54" i="15"/>
  <c r="B54" i="15"/>
  <c r="E53" i="15"/>
  <c r="D53" i="15"/>
  <c r="C53" i="15"/>
  <c r="B53" i="15"/>
  <c r="E52" i="15"/>
  <c r="D52" i="15"/>
  <c r="C52" i="15"/>
  <c r="B52" i="15"/>
  <c r="E51" i="15"/>
  <c r="D51" i="15"/>
  <c r="C51" i="15"/>
  <c r="B51" i="15"/>
  <c r="E50" i="15"/>
  <c r="D50" i="15"/>
  <c r="C50" i="15"/>
  <c r="B50" i="15"/>
  <c r="E49" i="15"/>
  <c r="D49" i="15"/>
  <c r="C49" i="15"/>
  <c r="B49" i="15"/>
  <c r="E48" i="15"/>
  <c r="D48" i="15"/>
  <c r="C48" i="15"/>
  <c r="B48" i="15"/>
  <c r="E42" i="15"/>
  <c r="D42" i="15"/>
  <c r="C42" i="15"/>
  <c r="B42" i="15"/>
  <c r="E41" i="15"/>
  <c r="D41" i="15"/>
  <c r="C41" i="15"/>
  <c r="B41" i="15"/>
  <c r="E40" i="15"/>
  <c r="D40" i="15"/>
  <c r="C40" i="15"/>
  <c r="B40" i="15"/>
  <c r="E39" i="15"/>
  <c r="D39" i="15"/>
  <c r="C39" i="15"/>
  <c r="B39" i="15"/>
  <c r="E38" i="15"/>
  <c r="D38" i="15"/>
  <c r="C38" i="15"/>
  <c r="B38" i="15"/>
  <c r="E37" i="15"/>
  <c r="D37" i="15"/>
  <c r="C37" i="15"/>
  <c r="B37" i="15"/>
  <c r="E36" i="15"/>
  <c r="D36" i="15"/>
  <c r="C36" i="15"/>
  <c r="B36" i="15"/>
  <c r="E35" i="15"/>
  <c r="D35" i="15"/>
  <c r="C35" i="15"/>
  <c r="B35" i="15"/>
  <c r="E34" i="15"/>
  <c r="D34" i="15"/>
  <c r="C34" i="15"/>
  <c r="B34" i="15"/>
  <c r="E33" i="15"/>
  <c r="D33" i="15"/>
  <c r="C33" i="15"/>
  <c r="B33" i="15"/>
  <c r="E32" i="15"/>
  <c r="D32" i="15"/>
  <c r="C32" i="15"/>
  <c r="B32" i="15"/>
  <c r="E31" i="15"/>
  <c r="D31" i="15"/>
  <c r="C31" i="15"/>
  <c r="B31" i="15"/>
  <c r="E30" i="15"/>
  <c r="D30" i="15"/>
  <c r="C30" i="15"/>
  <c r="B30" i="15"/>
  <c r="E29" i="15"/>
  <c r="D29" i="15"/>
  <c r="C29" i="15"/>
  <c r="B29" i="15"/>
  <c r="E28" i="15"/>
  <c r="D28" i="15"/>
  <c r="C28" i="15"/>
  <c r="B28" i="15"/>
  <c r="E27" i="15"/>
  <c r="D27" i="15"/>
  <c r="C27" i="15"/>
  <c r="B27" i="15"/>
  <c r="E26" i="15"/>
  <c r="D26" i="15"/>
  <c r="C26" i="15"/>
  <c r="B26" i="15"/>
  <c r="E25" i="15"/>
  <c r="D25" i="15"/>
  <c r="C25" i="15"/>
  <c r="B25" i="15"/>
  <c r="E24" i="15"/>
  <c r="D24" i="15"/>
  <c r="C24" i="15"/>
  <c r="B24" i="15"/>
  <c r="E23" i="15"/>
  <c r="D23" i="15"/>
  <c r="C23" i="15"/>
  <c r="B23" i="15"/>
  <c r="E22" i="15"/>
  <c r="D22" i="15"/>
  <c r="C22" i="15"/>
  <c r="B22" i="15"/>
  <c r="E21" i="15"/>
  <c r="D21" i="15"/>
  <c r="C21" i="15"/>
  <c r="B21" i="15"/>
  <c r="E20" i="15"/>
  <c r="D20" i="15"/>
  <c r="C20" i="15"/>
  <c r="B20" i="15"/>
  <c r="E19" i="15"/>
  <c r="D19" i="15"/>
  <c r="C19" i="15"/>
  <c r="B19" i="15"/>
  <c r="E18" i="15"/>
  <c r="D18" i="15"/>
  <c r="C18" i="15"/>
  <c r="B18" i="15"/>
  <c r="E17" i="15"/>
  <c r="D17" i="15"/>
  <c r="C17" i="15"/>
  <c r="B17" i="15"/>
  <c r="E16" i="15"/>
  <c r="D16" i="15"/>
  <c r="C16" i="15"/>
  <c r="B16" i="15"/>
  <c r="E15" i="15"/>
  <c r="D15" i="15"/>
  <c r="C15" i="15"/>
  <c r="B15" i="15"/>
  <c r="E14" i="15"/>
  <c r="D14" i="15"/>
  <c r="C14" i="15"/>
  <c r="B14" i="15"/>
  <c r="E13" i="15"/>
  <c r="D13" i="15"/>
  <c r="C13" i="15"/>
  <c r="B13" i="15"/>
  <c r="E12" i="15"/>
  <c r="D12" i="15"/>
  <c r="C12" i="15"/>
  <c r="B12" i="15"/>
  <c r="E11" i="15"/>
  <c r="D11" i="15"/>
  <c r="C11" i="15"/>
  <c r="B11" i="15"/>
  <c r="E10" i="15"/>
  <c r="D10" i="15"/>
  <c r="C10" i="15"/>
  <c r="B10" i="15"/>
  <c r="E9" i="15"/>
  <c r="D9" i="15"/>
  <c r="C9" i="15"/>
  <c r="B9" i="15"/>
  <c r="H32" i="2"/>
  <c r="H15" i="2"/>
  <c r="H10" i="2"/>
  <c r="C54" i="19"/>
  <c r="E55" i="19"/>
  <c r="D55" i="19"/>
  <c r="C55" i="19"/>
  <c r="B55" i="19"/>
  <c r="E54" i="19"/>
  <c r="D54" i="19"/>
  <c r="B54" i="19"/>
  <c r="E53" i="19"/>
  <c r="D53" i="19"/>
  <c r="C53" i="19"/>
  <c r="B53" i="19"/>
  <c r="E52" i="19"/>
  <c r="D52" i="19"/>
  <c r="C52" i="19"/>
  <c r="B52" i="19"/>
  <c r="E51" i="19"/>
  <c r="D51" i="19"/>
  <c r="C51" i="19"/>
  <c r="B51" i="19"/>
  <c r="E50" i="19"/>
  <c r="D50" i="19"/>
  <c r="C50" i="19"/>
  <c r="B50" i="19"/>
  <c r="E49" i="19"/>
  <c r="D49" i="19"/>
  <c r="C49" i="19"/>
  <c r="B49" i="19"/>
  <c r="E48" i="19"/>
  <c r="D48" i="19"/>
  <c r="C48" i="19"/>
  <c r="B48" i="19"/>
  <c r="E47" i="19"/>
  <c r="D47" i="19"/>
  <c r="C47" i="19"/>
  <c r="B47" i="19"/>
  <c r="E46" i="19"/>
  <c r="D46" i="19"/>
  <c r="C46" i="19"/>
  <c r="B46" i="19"/>
  <c r="E45" i="19"/>
  <c r="D45" i="19"/>
  <c r="C45" i="19"/>
  <c r="B45" i="19"/>
  <c r="E44" i="19"/>
  <c r="D44" i="19"/>
  <c r="C44" i="19"/>
  <c r="B44" i="19"/>
  <c r="E43" i="19"/>
  <c r="D43" i="19"/>
  <c r="C43" i="19"/>
  <c r="B43" i="19"/>
  <c r="E42" i="19"/>
  <c r="D42" i="19"/>
  <c r="C42" i="19"/>
  <c r="B42" i="19"/>
  <c r="E41" i="19"/>
  <c r="D41" i="19"/>
  <c r="C41" i="19"/>
  <c r="B41" i="19"/>
  <c r="E40" i="19"/>
  <c r="D40" i="19"/>
  <c r="C40" i="19"/>
  <c r="B40" i="19"/>
  <c r="E39" i="19"/>
  <c r="D39" i="19"/>
  <c r="C39" i="19"/>
  <c r="B39" i="19"/>
  <c r="E38" i="19"/>
  <c r="D38" i="19"/>
  <c r="C38" i="19"/>
  <c r="B38" i="19"/>
  <c r="E37" i="19"/>
  <c r="D37" i="19"/>
  <c r="C37" i="19"/>
  <c r="B37" i="19"/>
  <c r="E36" i="19"/>
  <c r="D36" i="19"/>
  <c r="C36" i="19"/>
  <c r="B36" i="19"/>
  <c r="E35" i="19"/>
  <c r="D35" i="19"/>
  <c r="C35" i="19"/>
  <c r="B35" i="19"/>
  <c r="E34" i="19"/>
  <c r="D34" i="19"/>
  <c r="C34" i="19"/>
  <c r="B34" i="19"/>
  <c r="E33" i="19"/>
  <c r="D33" i="19"/>
  <c r="C33" i="19"/>
  <c r="B33" i="19"/>
  <c r="E32" i="19"/>
  <c r="D32" i="19"/>
  <c r="C32" i="19"/>
  <c r="B32" i="19"/>
  <c r="E31" i="19"/>
  <c r="D31" i="19"/>
  <c r="C31" i="19"/>
  <c r="B31" i="19"/>
  <c r="E30" i="19"/>
  <c r="D30" i="19"/>
  <c r="C30" i="19"/>
  <c r="B30" i="19"/>
  <c r="E29" i="19"/>
  <c r="D29" i="19"/>
  <c r="C29" i="19"/>
  <c r="B29" i="19"/>
  <c r="E28" i="19"/>
  <c r="D28" i="19"/>
  <c r="C28" i="19"/>
  <c r="B28" i="19"/>
  <c r="E27" i="19"/>
  <c r="D27" i="19"/>
  <c r="C27" i="19"/>
  <c r="B27" i="19"/>
  <c r="E26" i="19"/>
  <c r="D26" i="19"/>
  <c r="C26" i="19"/>
  <c r="B26" i="19"/>
  <c r="E25" i="19"/>
  <c r="D25" i="19"/>
  <c r="C25" i="19"/>
  <c r="B25" i="19"/>
  <c r="E24" i="19"/>
  <c r="D24" i="19"/>
  <c r="C24" i="19"/>
  <c r="B24" i="19"/>
  <c r="E23" i="19"/>
  <c r="D23" i="19"/>
  <c r="C23" i="19"/>
  <c r="B23" i="19"/>
  <c r="E22" i="19"/>
  <c r="D22" i="19"/>
  <c r="C22" i="19"/>
  <c r="B22" i="19"/>
  <c r="E21" i="19"/>
  <c r="D21" i="19"/>
  <c r="C21" i="19"/>
  <c r="B21" i="19"/>
  <c r="E20" i="19"/>
  <c r="D20" i="19"/>
  <c r="C20" i="19"/>
  <c r="B20" i="19"/>
  <c r="E19" i="19"/>
  <c r="D19" i="19"/>
  <c r="C19" i="19"/>
  <c r="B19" i="19"/>
  <c r="E18" i="19"/>
  <c r="D18" i="19"/>
  <c r="C18" i="19"/>
  <c r="B18" i="19"/>
  <c r="E17" i="19"/>
  <c r="D17" i="19"/>
  <c r="C17" i="19"/>
  <c r="B17" i="19"/>
  <c r="E16" i="19"/>
  <c r="D16" i="19"/>
  <c r="C16" i="19"/>
  <c r="B16" i="19"/>
  <c r="E15" i="19"/>
  <c r="D15" i="19"/>
  <c r="C15" i="19"/>
  <c r="B15" i="19"/>
  <c r="E14" i="19"/>
  <c r="D14" i="19"/>
  <c r="C14" i="19"/>
  <c r="B14" i="19"/>
  <c r="E13" i="19"/>
  <c r="D13" i="19"/>
  <c r="C13" i="19"/>
  <c r="B13" i="19"/>
  <c r="E12" i="19"/>
  <c r="D12" i="19"/>
  <c r="C12" i="19"/>
  <c r="B12" i="19"/>
  <c r="E11" i="19"/>
  <c r="D11" i="19"/>
  <c r="C11" i="19"/>
  <c r="B11" i="19"/>
  <c r="E10" i="19"/>
  <c r="D10" i="19"/>
  <c r="C10" i="19"/>
  <c r="B10" i="19"/>
  <c r="C9" i="19"/>
  <c r="E9" i="19"/>
  <c r="D9" i="19"/>
  <c r="B9" i="19"/>
  <c r="G32" i="2"/>
  <c r="G15" i="2"/>
  <c r="G10" i="2"/>
  <c r="B55" i="23"/>
  <c r="E53" i="23"/>
  <c r="D53" i="23"/>
  <c r="C53" i="23"/>
  <c r="B53" i="23"/>
  <c r="E52" i="23"/>
  <c r="D52" i="23"/>
  <c r="C52" i="23"/>
  <c r="B52" i="23"/>
  <c r="E51" i="23"/>
  <c r="D51" i="23"/>
  <c r="C51" i="23"/>
  <c r="B51" i="23"/>
  <c r="E50" i="23"/>
  <c r="D50" i="23"/>
  <c r="C50" i="23"/>
  <c r="B50" i="23"/>
  <c r="E49" i="23"/>
  <c r="D49" i="23"/>
  <c r="C49" i="23"/>
  <c r="B49" i="23"/>
  <c r="E48" i="23"/>
  <c r="D48" i="23"/>
  <c r="C48" i="23"/>
  <c r="B48" i="23"/>
  <c r="E47" i="23"/>
  <c r="D47" i="23"/>
  <c r="C47" i="23"/>
  <c r="B47" i="23"/>
  <c r="E46" i="23"/>
  <c r="D46" i="23"/>
  <c r="C46" i="23"/>
  <c r="B46" i="23"/>
  <c r="E45" i="23"/>
  <c r="D45" i="23"/>
  <c r="C45" i="23"/>
  <c r="B45" i="23"/>
  <c r="E44" i="23"/>
  <c r="D44" i="23"/>
  <c r="C44" i="23"/>
  <c r="B44" i="23"/>
  <c r="E43" i="23"/>
  <c r="D43" i="23"/>
  <c r="C43" i="23"/>
  <c r="B43" i="23"/>
  <c r="E42" i="23"/>
  <c r="D42" i="23"/>
  <c r="C42" i="23"/>
  <c r="B42" i="23"/>
  <c r="E41" i="23"/>
  <c r="D41" i="23"/>
  <c r="C41" i="23"/>
  <c r="B41" i="23"/>
  <c r="E40" i="23"/>
  <c r="D40" i="23"/>
  <c r="C40" i="23"/>
  <c r="B40" i="23"/>
  <c r="E39" i="23"/>
  <c r="D39" i="23"/>
  <c r="C39" i="23"/>
  <c r="B39" i="23"/>
  <c r="E38" i="23"/>
  <c r="D38" i="23"/>
  <c r="C38" i="23"/>
  <c r="B38" i="23"/>
  <c r="E37" i="23"/>
  <c r="D37" i="23"/>
  <c r="C37" i="23"/>
  <c r="B37" i="23"/>
  <c r="E36" i="23"/>
  <c r="D36" i="23"/>
  <c r="C36" i="23"/>
  <c r="B36" i="23"/>
  <c r="E35" i="23"/>
  <c r="D35" i="23"/>
  <c r="C35" i="23"/>
  <c r="B35" i="23"/>
  <c r="E34" i="23"/>
  <c r="D34" i="23"/>
  <c r="C34" i="23"/>
  <c r="B34" i="23"/>
  <c r="E33" i="23"/>
  <c r="D33" i="23"/>
  <c r="C33" i="23"/>
  <c r="B33" i="23"/>
  <c r="E32" i="23"/>
  <c r="D32" i="23"/>
  <c r="C32" i="23"/>
  <c r="B32" i="23"/>
  <c r="E31" i="23"/>
  <c r="D31" i="23"/>
  <c r="C31" i="23"/>
  <c r="B31" i="23"/>
  <c r="E30" i="23"/>
  <c r="D30" i="23"/>
  <c r="C30" i="23"/>
  <c r="B30" i="23"/>
  <c r="E29" i="23"/>
  <c r="D29" i="23"/>
  <c r="C29" i="23"/>
  <c r="B29" i="23"/>
  <c r="E28" i="23"/>
  <c r="D28" i="23"/>
  <c r="C28" i="23"/>
  <c r="B28" i="23"/>
  <c r="C27" i="23"/>
  <c r="B27" i="23"/>
  <c r="E26" i="23"/>
  <c r="D26" i="23"/>
  <c r="C26" i="23"/>
  <c r="B26" i="23"/>
  <c r="E25" i="23"/>
  <c r="D25" i="23"/>
  <c r="C25" i="23"/>
  <c r="B25" i="23"/>
  <c r="E24" i="23"/>
  <c r="D24" i="23"/>
  <c r="C24" i="23"/>
  <c r="B24" i="23"/>
  <c r="E23" i="23"/>
  <c r="D23" i="23"/>
  <c r="C23" i="23"/>
  <c r="B23" i="23"/>
  <c r="E22" i="23"/>
  <c r="D22" i="23"/>
  <c r="C22" i="23"/>
  <c r="B22" i="23"/>
  <c r="E21" i="23"/>
  <c r="D21" i="23"/>
  <c r="C21" i="23"/>
  <c r="B21" i="23"/>
  <c r="E20" i="23"/>
  <c r="D20" i="23"/>
  <c r="C20" i="23"/>
  <c r="B20" i="23"/>
  <c r="E19" i="23"/>
  <c r="D19" i="23"/>
  <c r="C19" i="23"/>
  <c r="B19" i="23"/>
  <c r="E18" i="23"/>
  <c r="D18" i="23"/>
  <c r="C18" i="23"/>
  <c r="B18" i="23"/>
  <c r="E17" i="23"/>
  <c r="D17" i="23"/>
  <c r="C17" i="23"/>
  <c r="B17" i="23"/>
  <c r="E16" i="23"/>
  <c r="D16" i="23"/>
  <c r="C16" i="23"/>
  <c r="B16" i="23"/>
  <c r="E15" i="23"/>
  <c r="D15" i="23"/>
  <c r="C15" i="23"/>
  <c r="B15" i="23"/>
  <c r="E14" i="23"/>
  <c r="D14" i="23"/>
  <c r="C14" i="23"/>
  <c r="B14" i="23"/>
  <c r="E13" i="23"/>
  <c r="D13" i="23"/>
  <c r="C13" i="23"/>
  <c r="B13" i="23"/>
  <c r="E12" i="23"/>
  <c r="D12" i="23"/>
  <c r="C12" i="23"/>
  <c r="B12" i="23"/>
  <c r="E11" i="23"/>
  <c r="D11" i="23"/>
  <c r="C11" i="23"/>
  <c r="B11" i="23"/>
  <c r="E10" i="23"/>
  <c r="D10" i="23"/>
  <c r="C10" i="23"/>
  <c r="B10" i="23"/>
  <c r="E9" i="23"/>
  <c r="D9" i="23"/>
  <c r="C9" i="23"/>
  <c r="B9" i="23"/>
  <c r="F41" i="26"/>
  <c r="F41" i="25"/>
  <c r="F32" i="2"/>
  <c r="F13" i="2"/>
  <c r="F10" i="2"/>
  <c r="E50" i="27"/>
  <c r="D50" i="27"/>
  <c r="C50" i="27"/>
  <c r="B50" i="27"/>
  <c r="E49" i="27"/>
  <c r="D49" i="27"/>
  <c r="C49" i="27"/>
  <c r="B49" i="27"/>
  <c r="E48" i="27"/>
  <c r="D48" i="27"/>
  <c r="C48" i="27"/>
  <c r="B48" i="27"/>
  <c r="E47" i="27"/>
  <c r="D47" i="27"/>
  <c r="C47" i="27"/>
  <c r="B47" i="27"/>
  <c r="E46" i="27"/>
  <c r="D46" i="27"/>
  <c r="C46" i="27"/>
  <c r="B46" i="27"/>
  <c r="E45" i="27"/>
  <c r="D45" i="27"/>
  <c r="C45" i="27"/>
  <c r="B45" i="27"/>
  <c r="E44" i="27"/>
  <c r="D44" i="27"/>
  <c r="C44" i="27"/>
  <c r="B44" i="27"/>
  <c r="E43" i="27"/>
  <c r="D43" i="27"/>
  <c r="C43" i="27"/>
  <c r="B43" i="27"/>
  <c r="E42" i="27"/>
  <c r="D42" i="27"/>
  <c r="C42" i="27"/>
  <c r="B42" i="27"/>
  <c r="E41" i="27"/>
  <c r="D41" i="27"/>
  <c r="C41" i="27"/>
  <c r="B41" i="27"/>
  <c r="E40" i="27"/>
  <c r="D40" i="27"/>
  <c r="C40" i="27"/>
  <c r="B40" i="27"/>
  <c r="E39" i="27"/>
  <c r="D39" i="27"/>
  <c r="C39" i="27"/>
  <c r="B39" i="27"/>
  <c r="E38" i="27"/>
  <c r="D38" i="27"/>
  <c r="C38" i="27"/>
  <c r="B38" i="27"/>
  <c r="E37" i="27"/>
  <c r="D37" i="27"/>
  <c r="C37" i="27"/>
  <c r="B37" i="27"/>
  <c r="E36" i="27"/>
  <c r="D36" i="27"/>
  <c r="C36" i="27"/>
  <c r="B36" i="27"/>
  <c r="E35" i="27"/>
  <c r="D35" i="27"/>
  <c r="C35" i="27"/>
  <c r="B35" i="27"/>
  <c r="E34" i="27"/>
  <c r="D34" i="27"/>
  <c r="C34" i="27"/>
  <c r="B34" i="27"/>
  <c r="E33" i="27"/>
  <c r="D33" i="27"/>
  <c r="C33" i="27"/>
  <c r="B33" i="27"/>
  <c r="E32" i="27"/>
  <c r="D32" i="27"/>
  <c r="C32" i="27"/>
  <c r="B32" i="27"/>
  <c r="E31" i="27"/>
  <c r="D31" i="27"/>
  <c r="C31" i="27"/>
  <c r="B31" i="27"/>
  <c r="E30" i="27"/>
  <c r="D30" i="27"/>
  <c r="C30" i="27"/>
  <c r="B30" i="27"/>
  <c r="E29" i="27"/>
  <c r="D29" i="27"/>
  <c r="C29" i="27"/>
  <c r="B29" i="27"/>
  <c r="E28" i="27"/>
  <c r="D28" i="27"/>
  <c r="C28" i="27"/>
  <c r="B28" i="27"/>
  <c r="E27" i="27"/>
  <c r="D27" i="27"/>
  <c r="C27" i="27"/>
  <c r="B27" i="27"/>
  <c r="E26" i="27"/>
  <c r="D26" i="27"/>
  <c r="C26" i="27"/>
  <c r="B26" i="27"/>
  <c r="E25" i="27"/>
  <c r="D25" i="27"/>
  <c r="C25" i="27"/>
  <c r="B25" i="27"/>
  <c r="E24" i="27"/>
  <c r="D24" i="27"/>
  <c r="C24" i="27"/>
  <c r="B24" i="27"/>
  <c r="E23" i="27"/>
  <c r="D23" i="27"/>
  <c r="C23" i="27"/>
  <c r="B23" i="27"/>
  <c r="E22" i="27"/>
  <c r="D22" i="27"/>
  <c r="C22" i="27"/>
  <c r="B22" i="27"/>
  <c r="E21" i="27"/>
  <c r="D21" i="27"/>
  <c r="C21" i="27"/>
  <c r="B21" i="27"/>
  <c r="E20" i="27"/>
  <c r="D20" i="27"/>
  <c r="C20" i="27"/>
  <c r="B20" i="27"/>
  <c r="E19" i="27"/>
  <c r="D19" i="27"/>
  <c r="C19" i="27"/>
  <c r="B19" i="27"/>
  <c r="E18" i="27"/>
  <c r="D18" i="27"/>
  <c r="C18" i="27"/>
  <c r="B18" i="27"/>
  <c r="E17" i="27"/>
  <c r="D17" i="27"/>
  <c r="C17" i="27"/>
  <c r="B17" i="27"/>
  <c r="E16" i="27"/>
  <c r="D16" i="27"/>
  <c r="C16" i="27"/>
  <c r="B16" i="27"/>
  <c r="E15" i="27"/>
  <c r="D15" i="27"/>
  <c r="C15" i="27"/>
  <c r="B15" i="27"/>
  <c r="E14" i="27"/>
  <c r="D14" i="27"/>
  <c r="C14" i="27"/>
  <c r="B14" i="27"/>
  <c r="E13" i="27"/>
  <c r="D13" i="27"/>
  <c r="C13" i="27"/>
  <c r="B13" i="27"/>
  <c r="E12" i="27"/>
  <c r="D12" i="27"/>
  <c r="C12" i="27"/>
  <c r="B12" i="27"/>
  <c r="E11" i="27"/>
  <c r="D11" i="27"/>
  <c r="C11" i="27"/>
  <c r="B11" i="27"/>
  <c r="E10" i="27"/>
  <c r="D10" i="27"/>
  <c r="C10" i="27"/>
  <c r="B10" i="27"/>
  <c r="E9" i="27"/>
  <c r="D9" i="27"/>
  <c r="C9" i="27"/>
  <c r="B9" i="27"/>
  <c r="B8" i="27"/>
  <c r="C8" i="27"/>
  <c r="E8" i="27"/>
  <c r="D8" i="27"/>
  <c r="E32" i="2"/>
  <c r="E13" i="2"/>
  <c r="E10" i="2"/>
  <c r="E50" i="31"/>
  <c r="D50" i="31"/>
  <c r="C50" i="31"/>
  <c r="B50" i="31"/>
  <c r="E49" i="31"/>
  <c r="D49" i="31"/>
  <c r="C49" i="31"/>
  <c r="B49" i="31"/>
  <c r="E48" i="31"/>
  <c r="D48" i="31"/>
  <c r="C48" i="31"/>
  <c r="B48" i="31"/>
  <c r="E47" i="31"/>
  <c r="D47" i="31"/>
  <c r="C47" i="31"/>
  <c r="B47" i="31"/>
  <c r="E46" i="31"/>
  <c r="D46" i="31"/>
  <c r="C46" i="31"/>
  <c r="B46" i="31"/>
  <c r="E45" i="31"/>
  <c r="D45" i="31"/>
  <c r="C45" i="31"/>
  <c r="B45" i="31"/>
  <c r="E44" i="31"/>
  <c r="D44" i="31"/>
  <c r="C44" i="31"/>
  <c r="B44" i="31"/>
  <c r="E43" i="31"/>
  <c r="D43" i="31"/>
  <c r="C43" i="31"/>
  <c r="B43" i="31"/>
  <c r="E42" i="31"/>
  <c r="D42" i="31"/>
  <c r="C42" i="31"/>
  <c r="B42" i="31"/>
  <c r="E41" i="31"/>
  <c r="D41" i="31"/>
  <c r="C41" i="31"/>
  <c r="B41" i="31"/>
  <c r="E40" i="31"/>
  <c r="D40" i="31"/>
  <c r="C40" i="31"/>
  <c r="B40" i="31"/>
  <c r="E39" i="31"/>
  <c r="D39" i="31"/>
  <c r="C39" i="31"/>
  <c r="B39" i="31"/>
  <c r="E38" i="31"/>
  <c r="D38" i="31"/>
  <c r="C38" i="31"/>
  <c r="B38" i="31"/>
  <c r="E37" i="31"/>
  <c r="D37" i="31"/>
  <c r="C37" i="31"/>
  <c r="B37" i="31"/>
  <c r="E36" i="31"/>
  <c r="D36" i="31"/>
  <c r="C36" i="31"/>
  <c r="B36" i="31"/>
  <c r="E35" i="31"/>
  <c r="D35" i="31"/>
  <c r="C35" i="31"/>
  <c r="B35" i="31"/>
  <c r="E34" i="31"/>
  <c r="D34" i="31"/>
  <c r="C34" i="31"/>
  <c r="B34" i="31"/>
  <c r="E33" i="31"/>
  <c r="D33" i="31"/>
  <c r="C33" i="31"/>
  <c r="B33" i="31"/>
  <c r="E32" i="31"/>
  <c r="D32" i="31"/>
  <c r="C32" i="31"/>
  <c r="B32" i="31"/>
  <c r="E31" i="31"/>
  <c r="D31" i="31"/>
  <c r="C31" i="31"/>
  <c r="B31" i="31"/>
  <c r="E30" i="31"/>
  <c r="D30" i="31"/>
  <c r="C30" i="31"/>
  <c r="B30" i="31"/>
  <c r="E29" i="31"/>
  <c r="D29" i="31"/>
  <c r="C29" i="31"/>
  <c r="B29" i="31"/>
  <c r="E28" i="31"/>
  <c r="D28" i="31"/>
  <c r="C28" i="31"/>
  <c r="B28" i="31"/>
  <c r="E27" i="31"/>
  <c r="D27" i="31"/>
  <c r="C27" i="31"/>
  <c r="B27" i="31"/>
  <c r="E26" i="31"/>
  <c r="D26" i="31"/>
  <c r="C26" i="31"/>
  <c r="B26" i="31"/>
  <c r="E25" i="31"/>
  <c r="D25" i="31"/>
  <c r="C25" i="31"/>
  <c r="B25" i="31"/>
  <c r="E24" i="31"/>
  <c r="D24" i="31"/>
  <c r="C24" i="31"/>
  <c r="B24" i="31"/>
  <c r="E23" i="31"/>
  <c r="D23" i="31"/>
  <c r="C23" i="31"/>
  <c r="B23" i="31"/>
  <c r="E22" i="31"/>
  <c r="D22" i="31"/>
  <c r="C22" i="31"/>
  <c r="B22" i="31"/>
  <c r="E21" i="31"/>
  <c r="D21" i="31"/>
  <c r="C21" i="31"/>
  <c r="B21" i="31"/>
  <c r="E20" i="31"/>
  <c r="D20" i="31"/>
  <c r="C20" i="31"/>
  <c r="B20" i="31"/>
  <c r="E19" i="31"/>
  <c r="D19" i="31"/>
  <c r="C19" i="31"/>
  <c r="B19" i="31"/>
  <c r="E18" i="31"/>
  <c r="D18" i="31"/>
  <c r="C18" i="31"/>
  <c r="B18" i="31"/>
  <c r="E17" i="31"/>
  <c r="D17" i="31"/>
  <c r="C17" i="31"/>
  <c r="B17" i="31"/>
  <c r="E16" i="31"/>
  <c r="D16" i="31"/>
  <c r="C16" i="31"/>
  <c r="B16" i="31"/>
  <c r="E15" i="31"/>
  <c r="D15" i="31"/>
  <c r="C15" i="31"/>
  <c r="B15" i="31"/>
  <c r="E14" i="31"/>
  <c r="D14" i="31"/>
  <c r="C14" i="31"/>
  <c r="B14" i="31"/>
  <c r="E13" i="31"/>
  <c r="D13" i="31"/>
  <c r="C13" i="31"/>
  <c r="B13" i="31"/>
  <c r="E12" i="31"/>
  <c r="D12" i="31"/>
  <c r="C12" i="31"/>
  <c r="B12" i="31"/>
  <c r="E11" i="31"/>
  <c r="D11" i="31"/>
  <c r="C11" i="31"/>
  <c r="B11" i="31"/>
  <c r="E10" i="31"/>
  <c r="D10" i="31"/>
  <c r="C10" i="31"/>
  <c r="B10" i="31"/>
  <c r="E9" i="31"/>
  <c r="D9" i="31"/>
  <c r="C9" i="31"/>
  <c r="B9" i="31"/>
  <c r="C8" i="31"/>
  <c r="E8" i="31"/>
  <c r="D8" i="31"/>
  <c r="B8" i="31"/>
  <c r="B58" i="35"/>
  <c r="B57" i="35"/>
  <c r="B56" i="35"/>
  <c r="B54" i="35"/>
  <c r="B53" i="35"/>
  <c r="B52" i="35"/>
  <c r="B51" i="35"/>
  <c r="B50" i="35"/>
  <c r="B49" i="35"/>
  <c r="B48" i="35"/>
  <c r="E55" i="35"/>
  <c r="D55" i="35"/>
  <c r="F55" i="35"/>
  <c r="C55" i="35"/>
  <c r="B55" i="35"/>
  <c r="E47" i="35"/>
  <c r="F47" i="35"/>
  <c r="D47" i="35"/>
  <c r="C47" i="35"/>
  <c r="B47" i="35"/>
  <c r="B44" i="35"/>
  <c r="B43" i="35"/>
  <c r="B42" i="35"/>
  <c r="E45" i="35"/>
  <c r="D45" i="35"/>
  <c r="F45" i="35"/>
  <c r="C45" i="35"/>
  <c r="B45" i="35"/>
  <c r="E41" i="35"/>
  <c r="D41" i="35"/>
  <c r="C41" i="35"/>
  <c r="B41" i="35"/>
  <c r="F41" i="35"/>
  <c r="B40" i="35"/>
  <c r="B39" i="35"/>
  <c r="B38" i="35"/>
  <c r="B37" i="35"/>
  <c r="E35" i="35"/>
  <c r="D35" i="35"/>
  <c r="C35" i="35"/>
  <c r="B35" i="35"/>
  <c r="E34" i="35"/>
  <c r="D34" i="35"/>
  <c r="C34" i="35"/>
  <c r="B34" i="35"/>
  <c r="E33" i="35"/>
  <c r="D33" i="35"/>
  <c r="C33" i="35"/>
  <c r="B33" i="35"/>
  <c r="E32" i="35"/>
  <c r="D32" i="35"/>
  <c r="C32" i="35"/>
  <c r="B32" i="35"/>
  <c r="E36" i="35"/>
  <c r="D36" i="35"/>
  <c r="C36" i="35"/>
  <c r="F36" i="35"/>
  <c r="B36" i="35"/>
  <c r="E31" i="35"/>
  <c r="D31" i="35"/>
  <c r="C31" i="35"/>
  <c r="F31" i="35"/>
  <c r="B31" i="35"/>
  <c r="D30" i="35"/>
  <c r="C30" i="35"/>
  <c r="E30" i="35"/>
  <c r="B30" i="35"/>
  <c r="E29" i="35"/>
  <c r="D29" i="35"/>
  <c r="C29" i="35"/>
  <c r="B29" i="35"/>
  <c r="E28" i="35"/>
  <c r="D28" i="35"/>
  <c r="C28" i="35"/>
  <c r="B28" i="35"/>
  <c r="E27" i="35"/>
  <c r="D27" i="35"/>
  <c r="C27" i="35"/>
  <c r="B27" i="35"/>
  <c r="E26" i="35"/>
  <c r="D26" i="35"/>
  <c r="C26" i="35"/>
  <c r="B26" i="35"/>
  <c r="E25" i="35"/>
  <c r="D25" i="35"/>
  <c r="C25" i="35"/>
  <c r="B25" i="35"/>
  <c r="E24" i="35"/>
  <c r="D24" i="35"/>
  <c r="C24" i="35"/>
  <c r="B24" i="35"/>
  <c r="E23" i="35"/>
  <c r="C23" i="35"/>
  <c r="D23" i="35"/>
  <c r="B23" i="35"/>
  <c r="E22" i="35"/>
  <c r="D22" i="35"/>
  <c r="C22" i="35"/>
  <c r="B22" i="35"/>
  <c r="F22" i="35"/>
  <c r="B21" i="35"/>
  <c r="C20" i="35"/>
  <c r="E20" i="35"/>
  <c r="B20" i="35"/>
  <c r="E19" i="35"/>
  <c r="D19" i="35"/>
  <c r="C19" i="35"/>
  <c r="B19" i="35"/>
  <c r="E18" i="35"/>
  <c r="D18" i="35"/>
  <c r="C18" i="35"/>
  <c r="B18" i="35"/>
  <c r="E17" i="35"/>
  <c r="D17" i="35"/>
  <c r="C17" i="35"/>
  <c r="B17" i="35"/>
  <c r="F16" i="35"/>
  <c r="E16" i="35"/>
  <c r="D16" i="35"/>
  <c r="C16" i="35"/>
  <c r="B16" i="35"/>
  <c r="E15" i="35"/>
  <c r="D15" i="35"/>
  <c r="C15" i="35"/>
  <c r="B15" i="35"/>
  <c r="D12" i="35"/>
  <c r="C12" i="35"/>
  <c r="E14" i="35"/>
  <c r="D14" i="35"/>
  <c r="C14" i="35"/>
  <c r="B14" i="35"/>
  <c r="E13" i="35"/>
  <c r="D13" i="35"/>
  <c r="C13" i="35"/>
  <c r="B13" i="35"/>
  <c r="E12" i="35"/>
  <c r="B12" i="35"/>
  <c r="E11" i="35"/>
  <c r="D11" i="35"/>
  <c r="C11" i="35"/>
  <c r="B11" i="35"/>
  <c r="B10" i="35"/>
  <c r="E9" i="35"/>
  <c r="D9" i="35"/>
  <c r="C9" i="35"/>
  <c r="B9" i="35"/>
  <c r="E8" i="35"/>
  <c r="D8" i="35"/>
  <c r="C8" i="35"/>
  <c r="B8" i="35"/>
  <c r="C15" i="2"/>
  <c r="C10" i="2"/>
  <c r="B56" i="39"/>
  <c r="E58" i="39"/>
  <c r="D58" i="39"/>
  <c r="C58" i="39"/>
  <c r="B58" i="39"/>
  <c r="E57" i="39"/>
  <c r="D57" i="39"/>
  <c r="C57" i="39"/>
  <c r="B57" i="39"/>
  <c r="E56" i="39"/>
  <c r="D56" i="39"/>
  <c r="C56" i="39"/>
  <c r="E55" i="39"/>
  <c r="D55" i="39"/>
  <c r="C55" i="39"/>
  <c r="B55" i="39"/>
  <c r="F55" i="39"/>
  <c r="E54" i="39"/>
  <c r="D54" i="39"/>
  <c r="C54" i="39"/>
  <c r="B54" i="39"/>
  <c r="E53" i="39"/>
  <c r="D53" i="39"/>
  <c r="C53" i="39"/>
  <c r="B53" i="39"/>
  <c r="E52" i="39"/>
  <c r="D52" i="39"/>
  <c r="C52" i="39"/>
  <c r="B52" i="39"/>
  <c r="E51" i="39"/>
  <c r="D51" i="39"/>
  <c r="C51" i="39"/>
  <c r="B51" i="39"/>
  <c r="E50" i="39"/>
  <c r="D50" i="39"/>
  <c r="C50" i="39"/>
  <c r="B50" i="39"/>
  <c r="E49" i="39"/>
  <c r="D49" i="39"/>
  <c r="C49" i="39"/>
  <c r="B49" i="39"/>
  <c r="E48" i="39"/>
  <c r="D48" i="39"/>
  <c r="C48" i="39"/>
  <c r="B48" i="39"/>
  <c r="E47" i="39"/>
  <c r="D47" i="39"/>
  <c r="C47" i="39"/>
  <c r="B47" i="39"/>
  <c r="E46" i="39"/>
  <c r="D46" i="39"/>
  <c r="C46" i="39"/>
  <c r="B46" i="39"/>
  <c r="E45" i="39"/>
  <c r="D45" i="39"/>
  <c r="C45" i="39"/>
  <c r="B45" i="39"/>
  <c r="E44" i="39"/>
  <c r="D44" i="39"/>
  <c r="C44" i="39"/>
  <c r="B44" i="39"/>
  <c r="E43" i="39"/>
  <c r="D43" i="39"/>
  <c r="C43" i="39"/>
  <c r="B43" i="39"/>
  <c r="E42" i="39"/>
  <c r="D42" i="39"/>
  <c r="C42" i="39"/>
  <c r="B42" i="39"/>
  <c r="E41" i="39"/>
  <c r="D41" i="39"/>
  <c r="C41" i="39"/>
  <c r="B41" i="39"/>
  <c r="E40" i="39"/>
  <c r="D40" i="39"/>
  <c r="C40" i="39"/>
  <c r="B40" i="39"/>
  <c r="E39" i="39"/>
  <c r="D39" i="39"/>
  <c r="C39" i="39"/>
  <c r="B39" i="39"/>
  <c r="E38" i="39"/>
  <c r="D38" i="39"/>
  <c r="C38" i="39"/>
  <c r="B38" i="39"/>
  <c r="E37" i="39"/>
  <c r="D37" i="39"/>
  <c r="C37" i="39"/>
  <c r="B37" i="39"/>
  <c r="E36" i="39"/>
  <c r="D36" i="39"/>
  <c r="C36" i="39"/>
  <c r="B36" i="39"/>
  <c r="E35" i="39"/>
  <c r="D35" i="39"/>
  <c r="C35" i="39"/>
  <c r="B35" i="39"/>
  <c r="E34" i="39"/>
  <c r="D34" i="39"/>
  <c r="C34" i="39"/>
  <c r="B34" i="39"/>
  <c r="E33" i="39"/>
  <c r="D33" i="39"/>
  <c r="C33" i="39"/>
  <c r="B33" i="39"/>
  <c r="E32" i="39"/>
  <c r="D32" i="39"/>
  <c r="C32" i="39"/>
  <c r="B32" i="39"/>
  <c r="E31" i="39"/>
  <c r="D31" i="39"/>
  <c r="C31" i="39"/>
  <c r="B31" i="39"/>
  <c r="B30" i="39"/>
  <c r="E30" i="39"/>
  <c r="D30" i="39"/>
  <c r="C30" i="39"/>
  <c r="B29" i="39"/>
  <c r="E29" i="39"/>
  <c r="D29" i="39"/>
  <c r="C29" i="39"/>
  <c r="E28" i="39"/>
  <c r="D28" i="39"/>
  <c r="C28" i="39"/>
  <c r="B28" i="39"/>
  <c r="E27" i="39"/>
  <c r="D27" i="39"/>
  <c r="C27" i="39"/>
  <c r="B27" i="39"/>
  <c r="E26" i="39"/>
  <c r="D26" i="39"/>
  <c r="C26" i="39"/>
  <c r="B26" i="39"/>
  <c r="E25" i="39"/>
  <c r="D25" i="39"/>
  <c r="C25" i="39"/>
  <c r="B25" i="39"/>
  <c r="E24" i="39"/>
  <c r="D24" i="39"/>
  <c r="C24" i="39"/>
  <c r="B24" i="39"/>
  <c r="E22" i="39"/>
  <c r="D22" i="39"/>
  <c r="C22" i="39"/>
  <c r="B22" i="39"/>
  <c r="B23" i="39"/>
  <c r="D21" i="39"/>
  <c r="C21" i="39"/>
  <c r="B21" i="39"/>
  <c r="E21" i="39"/>
  <c r="E20" i="39"/>
  <c r="D20" i="39"/>
  <c r="C20" i="39"/>
  <c r="B20" i="39"/>
  <c r="E19" i="39"/>
  <c r="D19" i="39"/>
  <c r="C19" i="39"/>
  <c r="B19" i="39"/>
  <c r="D18" i="39"/>
  <c r="C18" i="39"/>
  <c r="E18" i="39"/>
  <c r="B18" i="39"/>
  <c r="E17" i="39"/>
  <c r="D17" i="39"/>
  <c r="C17" i="39"/>
  <c r="B17" i="39"/>
  <c r="E16" i="39"/>
  <c r="D16" i="39"/>
  <c r="C16" i="39"/>
  <c r="B16" i="39"/>
  <c r="E15" i="39"/>
  <c r="D15" i="39"/>
  <c r="C15" i="39"/>
  <c r="B15" i="39"/>
  <c r="E14" i="39"/>
  <c r="D14" i="39"/>
  <c r="C14" i="39"/>
  <c r="B14" i="39"/>
  <c r="E13" i="39"/>
  <c r="D13" i="39"/>
  <c r="C13" i="39"/>
  <c r="B13" i="39"/>
  <c r="E12" i="39"/>
  <c r="D12" i="39"/>
  <c r="C12" i="39"/>
  <c r="B12" i="39"/>
  <c r="E11" i="39"/>
  <c r="D11" i="39"/>
  <c r="C11" i="39"/>
  <c r="B11" i="39"/>
  <c r="D10" i="39"/>
  <c r="B10" i="39"/>
  <c r="E9" i="39"/>
  <c r="D9" i="39"/>
  <c r="C9" i="39"/>
  <c r="B9" i="39"/>
  <c r="D8" i="39"/>
  <c r="C8" i="39"/>
  <c r="E8" i="39"/>
  <c r="B8" i="39"/>
  <c r="B32" i="2"/>
  <c r="B13" i="2"/>
  <c r="B12" i="2"/>
  <c r="B11" i="2"/>
  <c r="B10" i="2"/>
  <c r="F36" i="39"/>
  <c r="F22" i="39"/>
  <c r="F31" i="39"/>
  <c r="E58" i="43"/>
  <c r="D58" i="43"/>
  <c r="C58" i="43"/>
  <c r="B58" i="43"/>
  <c r="E57" i="43"/>
  <c r="D57" i="43"/>
  <c r="C57" i="43"/>
  <c r="B57" i="43"/>
  <c r="E56" i="43"/>
  <c r="D56" i="43"/>
  <c r="C56" i="43"/>
  <c r="B56" i="43"/>
  <c r="E55" i="43"/>
  <c r="D55" i="43"/>
  <c r="F55" i="43"/>
  <c r="C55" i="43"/>
  <c r="B55" i="43"/>
  <c r="B54" i="43"/>
  <c r="C54" i="43"/>
  <c r="D54" i="43"/>
  <c r="E54" i="43"/>
  <c r="E53" i="43"/>
  <c r="D53" i="43"/>
  <c r="C53" i="43"/>
  <c r="B53" i="43"/>
  <c r="E52" i="43"/>
  <c r="D52" i="43"/>
  <c r="C52" i="43"/>
  <c r="B52" i="43"/>
  <c r="E51" i="43"/>
  <c r="D51" i="43"/>
  <c r="C51" i="43"/>
  <c r="B51" i="43"/>
  <c r="E50" i="43"/>
  <c r="D50" i="43"/>
  <c r="C50" i="43"/>
  <c r="B50" i="43"/>
  <c r="E49" i="43"/>
  <c r="D49" i="43"/>
  <c r="C49" i="43"/>
  <c r="B49" i="43"/>
  <c r="E48" i="43"/>
  <c r="D48" i="43"/>
  <c r="C48" i="43"/>
  <c r="B48" i="43"/>
  <c r="E47" i="43"/>
  <c r="D47" i="43"/>
  <c r="C47" i="43"/>
  <c r="B47" i="43"/>
  <c r="E46" i="43"/>
  <c r="D46" i="43"/>
  <c r="C46" i="43"/>
  <c r="B46" i="43"/>
  <c r="E45" i="43"/>
  <c r="D45" i="43"/>
  <c r="C45" i="43"/>
  <c r="B45" i="43"/>
  <c r="E44" i="43"/>
  <c r="D44" i="43"/>
  <c r="C44" i="43"/>
  <c r="B44" i="43"/>
  <c r="E43" i="43"/>
  <c r="D43" i="43"/>
  <c r="C43" i="43"/>
  <c r="B43" i="43"/>
  <c r="E42" i="43"/>
  <c r="D42" i="43"/>
  <c r="C42" i="43"/>
  <c r="B42" i="43"/>
  <c r="E41" i="43"/>
  <c r="D41" i="43"/>
  <c r="C41" i="43"/>
  <c r="B41" i="43"/>
  <c r="E40" i="43"/>
  <c r="D40" i="43"/>
  <c r="C40" i="43"/>
  <c r="B40" i="43"/>
  <c r="E39" i="43"/>
  <c r="D39" i="43"/>
  <c r="C39" i="43"/>
  <c r="B39" i="43"/>
  <c r="E38" i="43"/>
  <c r="D38" i="43"/>
  <c r="C38" i="43"/>
  <c r="B38" i="43"/>
  <c r="E37" i="43"/>
  <c r="D37" i="43"/>
  <c r="C37" i="43"/>
  <c r="B37" i="43"/>
  <c r="E36" i="43"/>
  <c r="D36" i="43"/>
  <c r="C36" i="43"/>
  <c r="B36" i="43"/>
  <c r="E35" i="43"/>
  <c r="D35" i="43"/>
  <c r="C35" i="43"/>
  <c r="B35" i="43"/>
  <c r="E34" i="43"/>
  <c r="D34" i="43"/>
  <c r="C34" i="43"/>
  <c r="B34" i="43"/>
  <c r="E33" i="43"/>
  <c r="D33" i="43"/>
  <c r="C33" i="43"/>
  <c r="B33" i="43"/>
  <c r="E32" i="43"/>
  <c r="D32" i="43"/>
  <c r="C32" i="43"/>
  <c r="B32" i="43"/>
  <c r="E31" i="43"/>
  <c r="D31" i="43"/>
  <c r="C31" i="43"/>
  <c r="B31" i="43"/>
  <c r="E30" i="43"/>
  <c r="D30" i="43"/>
  <c r="C30" i="43"/>
  <c r="B30" i="43"/>
  <c r="E29" i="43"/>
  <c r="D29" i="43"/>
  <c r="C29" i="43"/>
  <c r="B29" i="43"/>
  <c r="E28" i="43"/>
  <c r="D28" i="43"/>
  <c r="C28" i="43"/>
  <c r="B28" i="43"/>
  <c r="E27" i="43"/>
  <c r="D27" i="43"/>
  <c r="C27" i="43"/>
  <c r="B27" i="43"/>
  <c r="E26" i="43"/>
  <c r="D26" i="43"/>
  <c r="C26" i="43"/>
  <c r="B26" i="43"/>
  <c r="F26" i="43"/>
  <c r="E25" i="43"/>
  <c r="D25" i="43"/>
  <c r="C25" i="43"/>
  <c r="B25" i="43"/>
  <c r="E24" i="43"/>
  <c r="D24" i="43"/>
  <c r="C24" i="43"/>
  <c r="B24" i="43"/>
  <c r="E23" i="43"/>
  <c r="D23" i="43"/>
  <c r="C23" i="43"/>
  <c r="B23" i="43"/>
  <c r="E22" i="43"/>
  <c r="D22" i="43"/>
  <c r="C22" i="43"/>
  <c r="B22" i="43"/>
  <c r="E21" i="43"/>
  <c r="D21" i="43"/>
  <c r="C21" i="43"/>
  <c r="B21" i="43"/>
  <c r="E20" i="43"/>
  <c r="D20" i="43"/>
  <c r="C20" i="43"/>
  <c r="B20" i="43"/>
  <c r="E19" i="43"/>
  <c r="D19" i="43"/>
  <c r="C19" i="43"/>
  <c r="F19" i="43"/>
  <c r="B19" i="43"/>
  <c r="E18" i="43"/>
  <c r="D18" i="43"/>
  <c r="C18" i="43"/>
  <c r="B18" i="43"/>
  <c r="E17" i="43"/>
  <c r="D17" i="43"/>
  <c r="C17" i="43"/>
  <c r="F17" i="43"/>
  <c r="B17" i="43"/>
  <c r="E16" i="43"/>
  <c r="D16" i="43"/>
  <c r="C16" i="43"/>
  <c r="B16" i="43"/>
  <c r="C15" i="43"/>
  <c r="E15" i="43"/>
  <c r="D15" i="43"/>
  <c r="B15" i="43"/>
  <c r="H15" i="46"/>
  <c r="E14" i="43"/>
  <c r="D14" i="43"/>
  <c r="C14" i="43"/>
  <c r="B14" i="43"/>
  <c r="E13" i="43"/>
  <c r="D13" i="43"/>
  <c r="C13" i="43"/>
  <c r="B13" i="43"/>
  <c r="E12" i="43"/>
  <c r="D12" i="43"/>
  <c r="C12" i="43"/>
  <c r="B12" i="43"/>
  <c r="E11" i="43"/>
  <c r="D11" i="43"/>
  <c r="C11" i="43"/>
  <c r="B11" i="43"/>
  <c r="E10" i="43"/>
  <c r="D10" i="43"/>
  <c r="C10" i="43"/>
  <c r="B10" i="43"/>
  <c r="F21" i="43"/>
  <c r="E9" i="43"/>
  <c r="D9" i="43"/>
  <c r="C9" i="43"/>
  <c r="B9" i="43"/>
  <c r="E8" i="43"/>
  <c r="D8" i="43"/>
  <c r="C8" i="43"/>
  <c r="B8" i="43"/>
  <c r="A6" i="46"/>
  <c r="F1" i="46"/>
  <c r="E59" i="46"/>
  <c r="D59" i="46"/>
  <c r="C59" i="46"/>
  <c r="B59" i="46"/>
  <c r="F58" i="46"/>
  <c r="F57" i="46"/>
  <c r="F56" i="46"/>
  <c r="F55" i="46"/>
  <c r="F54" i="46"/>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3" i="46"/>
  <c r="F22" i="46"/>
  <c r="F21" i="46"/>
  <c r="F20" i="46"/>
  <c r="F19" i="46"/>
  <c r="F18" i="46"/>
  <c r="F17" i="46"/>
  <c r="F16" i="46"/>
  <c r="F15" i="46"/>
  <c r="F14" i="46"/>
  <c r="F13" i="46"/>
  <c r="F12" i="46"/>
  <c r="F11" i="46"/>
  <c r="F10" i="46"/>
  <c r="F9" i="46"/>
  <c r="F8" i="46"/>
  <c r="F59" i="46"/>
  <c r="A6" i="45"/>
  <c r="A1" i="45"/>
  <c r="E59" i="45"/>
  <c r="D59" i="45"/>
  <c r="C59" i="45"/>
  <c r="B59" i="45"/>
  <c r="F58" i="45"/>
  <c r="F57" i="45"/>
  <c r="F56" i="45"/>
  <c r="F55" i="45"/>
  <c r="F54" i="45"/>
  <c r="F53" i="45"/>
  <c r="F52" i="45"/>
  <c r="F51" i="45"/>
  <c r="F50" i="45"/>
  <c r="F49" i="45"/>
  <c r="F48" i="45"/>
  <c r="F47" i="45"/>
  <c r="F46" i="45"/>
  <c r="F45" i="45"/>
  <c r="F44" i="45"/>
  <c r="F43" i="45"/>
  <c r="F42" i="45"/>
  <c r="F41" i="45"/>
  <c r="F40" i="45"/>
  <c r="F39" i="45"/>
  <c r="F38" i="45"/>
  <c r="F37" i="45"/>
  <c r="F36" i="45"/>
  <c r="F35" i="45"/>
  <c r="F34" i="45"/>
  <c r="F33" i="45"/>
  <c r="F32" i="45"/>
  <c r="F31" i="45"/>
  <c r="F30" i="45"/>
  <c r="F29" i="45"/>
  <c r="F28" i="45"/>
  <c r="F27" i="45"/>
  <c r="F26" i="45"/>
  <c r="F25" i="45"/>
  <c r="F24" i="45"/>
  <c r="F23" i="45"/>
  <c r="F22" i="45"/>
  <c r="F21" i="45"/>
  <c r="F20" i="45"/>
  <c r="F19" i="45"/>
  <c r="F18" i="45"/>
  <c r="F17" i="45"/>
  <c r="F16" i="45"/>
  <c r="F15" i="45"/>
  <c r="F14" i="45"/>
  <c r="F13" i="45"/>
  <c r="F12" i="45"/>
  <c r="F11" i="45"/>
  <c r="F10" i="45"/>
  <c r="F9" i="45"/>
  <c r="F8" i="45"/>
  <c r="F59" i="45"/>
  <c r="F1" i="44"/>
  <c r="E59" i="44"/>
  <c r="D59" i="44"/>
  <c r="C59" i="44"/>
  <c r="B59" i="44"/>
  <c r="F58" i="44"/>
  <c r="F57" i="44"/>
  <c r="F56" i="44"/>
  <c r="F55" i="44"/>
  <c r="F54" i="44"/>
  <c r="F53" i="44"/>
  <c r="F52" i="44"/>
  <c r="F51" i="44"/>
  <c r="F50" i="44"/>
  <c r="F49" i="44"/>
  <c r="F48" i="44"/>
  <c r="F47" i="44"/>
  <c r="F46" i="44"/>
  <c r="F45" i="44"/>
  <c r="F44" i="44"/>
  <c r="F43" i="44"/>
  <c r="F42" i="44"/>
  <c r="F41" i="44"/>
  <c r="F40" i="44"/>
  <c r="F39" i="44"/>
  <c r="F38" i="44"/>
  <c r="F37" i="44"/>
  <c r="F36" i="44"/>
  <c r="F35" i="44"/>
  <c r="F34" i="44"/>
  <c r="F33" i="44"/>
  <c r="F32" i="44"/>
  <c r="F31" i="44"/>
  <c r="F30" i="44"/>
  <c r="F29" i="44"/>
  <c r="F28" i="44"/>
  <c r="F27" i="44"/>
  <c r="F26" i="44"/>
  <c r="F25" i="44"/>
  <c r="F24" i="44"/>
  <c r="F23" i="44"/>
  <c r="F22" i="44"/>
  <c r="F21" i="44"/>
  <c r="F20" i="44"/>
  <c r="F19" i="44"/>
  <c r="F18" i="44"/>
  <c r="F17" i="44"/>
  <c r="F16" i="44"/>
  <c r="F15" i="44"/>
  <c r="D15" i="44"/>
  <c r="F14" i="44"/>
  <c r="F13" i="44"/>
  <c r="F12" i="44"/>
  <c r="F11" i="44"/>
  <c r="F10" i="44"/>
  <c r="F9" i="44"/>
  <c r="F8" i="44"/>
  <c r="F59" i="44"/>
  <c r="A6" i="43"/>
  <c r="A1" i="43"/>
  <c r="F9" i="43"/>
  <c r="A6" i="42"/>
  <c r="A1" i="42"/>
  <c r="E59" i="42"/>
  <c r="D59" i="42"/>
  <c r="C59" i="42"/>
  <c r="B59" i="42"/>
  <c r="F58" i="42"/>
  <c r="F57" i="42"/>
  <c r="F56" i="42"/>
  <c r="F55" i="42"/>
  <c r="F54" i="42"/>
  <c r="F53" i="42"/>
  <c r="F52" i="42"/>
  <c r="F51" i="42"/>
  <c r="F50" i="42"/>
  <c r="F49" i="42"/>
  <c r="F48" i="42"/>
  <c r="F47" i="42"/>
  <c r="F46" i="42"/>
  <c r="F45" i="42"/>
  <c r="F44" i="42"/>
  <c r="F43" i="42"/>
  <c r="F42" i="42"/>
  <c r="F41" i="42"/>
  <c r="F40" i="42"/>
  <c r="F39" i="42"/>
  <c r="F38" i="42"/>
  <c r="F37" i="42"/>
  <c r="F36" i="42"/>
  <c r="F35" i="42"/>
  <c r="F34" i="42"/>
  <c r="F33" i="42"/>
  <c r="F32" i="42"/>
  <c r="F31" i="42"/>
  <c r="F30" i="42"/>
  <c r="F29" i="42"/>
  <c r="F28" i="42"/>
  <c r="F27" i="42"/>
  <c r="F26" i="42"/>
  <c r="F25" i="42"/>
  <c r="F24" i="42"/>
  <c r="F23" i="42"/>
  <c r="F22" i="42"/>
  <c r="F21" i="42"/>
  <c r="F20" i="42"/>
  <c r="F19" i="42"/>
  <c r="F18" i="42"/>
  <c r="F17" i="42"/>
  <c r="F16" i="42"/>
  <c r="F15" i="42"/>
  <c r="F14" i="42"/>
  <c r="F13" i="42"/>
  <c r="F12" i="42"/>
  <c r="F11" i="42"/>
  <c r="F10" i="42"/>
  <c r="F9" i="42"/>
  <c r="F8" i="42"/>
  <c r="A6" i="41"/>
  <c r="F1" i="41"/>
  <c r="E59" i="41"/>
  <c r="D59" i="41"/>
  <c r="C59" i="41"/>
  <c r="B59" i="41"/>
  <c r="F58" i="41"/>
  <c r="F57" i="41"/>
  <c r="F56" i="41"/>
  <c r="F55" i="41"/>
  <c r="F54" i="41"/>
  <c r="F53" i="41"/>
  <c r="F52" i="41"/>
  <c r="F51" i="41"/>
  <c r="F50" i="41"/>
  <c r="F49" i="41"/>
  <c r="F48" i="41"/>
  <c r="F47" i="41"/>
  <c r="F46" i="41"/>
  <c r="F45" i="41"/>
  <c r="F44" i="41"/>
  <c r="F43" i="41"/>
  <c r="F42" i="41"/>
  <c r="F41" i="41"/>
  <c r="F40" i="41"/>
  <c r="F39" i="41"/>
  <c r="F38" i="41"/>
  <c r="F37" i="41"/>
  <c r="F36" i="41"/>
  <c r="F35" i="41"/>
  <c r="F34" i="41"/>
  <c r="F33" i="41"/>
  <c r="F32" i="41"/>
  <c r="F31" i="41"/>
  <c r="F30" i="41"/>
  <c r="F29" i="41"/>
  <c r="F28" i="41"/>
  <c r="F27" i="41"/>
  <c r="F26" i="41"/>
  <c r="F25" i="41"/>
  <c r="F24" i="41"/>
  <c r="F23" i="41"/>
  <c r="F22" i="41"/>
  <c r="F21" i="41"/>
  <c r="F20" i="41"/>
  <c r="F19" i="41"/>
  <c r="F18" i="41"/>
  <c r="F17" i="41"/>
  <c r="F16" i="41"/>
  <c r="F15" i="41"/>
  <c r="F14" i="41"/>
  <c r="F13" i="41"/>
  <c r="F12" i="41"/>
  <c r="F11" i="41"/>
  <c r="F10" i="41"/>
  <c r="F59" i="41"/>
  <c r="F9" i="41"/>
  <c r="F8" i="41"/>
  <c r="A6" i="40"/>
  <c r="A1" i="40"/>
  <c r="F59" i="40"/>
  <c r="E59" i="40"/>
  <c r="D59" i="40"/>
  <c r="C59" i="40"/>
  <c r="G58" i="40"/>
  <c r="G57" i="40"/>
  <c r="G56" i="40"/>
  <c r="G55" i="40"/>
  <c r="G54" i="40"/>
  <c r="G53" i="40"/>
  <c r="G52" i="40"/>
  <c r="G51" i="40"/>
  <c r="G50" i="40"/>
  <c r="G49" i="40"/>
  <c r="G48" i="40"/>
  <c r="G47" i="40"/>
  <c r="G46" i="40"/>
  <c r="G45" i="40"/>
  <c r="G44" i="40"/>
  <c r="G43" i="40"/>
  <c r="G42" i="40"/>
  <c r="G41" i="40"/>
  <c r="G40" i="40"/>
  <c r="G39" i="40"/>
  <c r="G38" i="40"/>
  <c r="G37" i="40"/>
  <c r="G36" i="40"/>
  <c r="G35" i="40"/>
  <c r="G34" i="40"/>
  <c r="G33" i="40"/>
  <c r="G32" i="40"/>
  <c r="G31" i="40"/>
  <c r="G30" i="40"/>
  <c r="B30" i="40"/>
  <c r="B59" i="40"/>
  <c r="G29" i="40"/>
  <c r="G28" i="40"/>
  <c r="G27" i="40"/>
  <c r="G26" i="40"/>
  <c r="G25" i="40"/>
  <c r="G24" i="40"/>
  <c r="G23" i="40"/>
  <c r="G22" i="40"/>
  <c r="G21" i="40"/>
  <c r="G20" i="40"/>
  <c r="G19" i="40"/>
  <c r="G18" i="40"/>
  <c r="G17" i="40"/>
  <c r="G16" i="40"/>
  <c r="G15" i="40"/>
  <c r="G14" i="40"/>
  <c r="G13" i="40"/>
  <c r="G12" i="40"/>
  <c r="G11" i="40"/>
  <c r="G10" i="40"/>
  <c r="G9" i="40"/>
  <c r="G59" i="40"/>
  <c r="G8" i="40"/>
  <c r="A6" i="39"/>
  <c r="F1" i="39"/>
  <c r="B60" i="39"/>
  <c r="F60" i="39"/>
  <c r="C10" i="39"/>
  <c r="D59" i="39"/>
  <c r="A6" i="38"/>
  <c r="F1" i="38"/>
  <c r="E59" i="38"/>
  <c r="B59" i="38"/>
  <c r="F58" i="38"/>
  <c r="F57" i="38"/>
  <c r="F56" i="38"/>
  <c r="F55" i="38"/>
  <c r="F54" i="38"/>
  <c r="F53" i="38"/>
  <c r="F52" i="38"/>
  <c r="F51" i="38"/>
  <c r="F50" i="38"/>
  <c r="F49" i="38"/>
  <c r="F48" i="38"/>
  <c r="F47" i="38"/>
  <c r="F46" i="38"/>
  <c r="F45" i="38"/>
  <c r="F44" i="38"/>
  <c r="F43" i="38"/>
  <c r="F42" i="38"/>
  <c r="F41" i="38"/>
  <c r="F40" i="38"/>
  <c r="F39" i="38"/>
  <c r="F38" i="38"/>
  <c r="F37" i="38"/>
  <c r="F36" i="38"/>
  <c r="F35" i="38"/>
  <c r="F34" i="38"/>
  <c r="F33" i="38"/>
  <c r="F32" i="38"/>
  <c r="F31" i="38"/>
  <c r="F30" i="38"/>
  <c r="F29" i="38"/>
  <c r="F28" i="38"/>
  <c r="F27" i="38"/>
  <c r="F26" i="38"/>
  <c r="F25" i="38"/>
  <c r="F24" i="38"/>
  <c r="D23" i="38"/>
  <c r="D59" i="38"/>
  <c r="C23" i="38"/>
  <c r="C59" i="38"/>
  <c r="F22" i="38"/>
  <c r="F21" i="38"/>
  <c r="F20" i="38"/>
  <c r="F19" i="38"/>
  <c r="F18" i="38"/>
  <c r="F17" i="38"/>
  <c r="F16" i="38"/>
  <c r="F15" i="38"/>
  <c r="F14" i="38"/>
  <c r="F13" i="38"/>
  <c r="F12" i="38"/>
  <c r="F11" i="38"/>
  <c r="F10" i="38"/>
  <c r="F9" i="38"/>
  <c r="F8" i="38"/>
  <c r="A6" i="37"/>
  <c r="A1" i="37"/>
  <c r="E59" i="37"/>
  <c r="B59" i="37"/>
  <c r="F58" i="37"/>
  <c r="F57" i="37"/>
  <c r="F56" i="37"/>
  <c r="F55" i="37"/>
  <c r="F54" i="37"/>
  <c r="F53" i="37"/>
  <c r="F52" i="37"/>
  <c r="F51" i="37"/>
  <c r="F50" i="37"/>
  <c r="F49" i="37"/>
  <c r="F48" i="37"/>
  <c r="F47" i="37"/>
  <c r="F46" i="37"/>
  <c r="F45" i="37"/>
  <c r="F44" i="37"/>
  <c r="F43" i="37"/>
  <c r="F42" i="37"/>
  <c r="F41" i="37"/>
  <c r="F40" i="37"/>
  <c r="F39" i="37"/>
  <c r="F38" i="37"/>
  <c r="F37" i="37"/>
  <c r="F36" i="37"/>
  <c r="F35" i="37"/>
  <c r="F34" i="37"/>
  <c r="F33" i="37"/>
  <c r="F32" i="37"/>
  <c r="F31" i="37"/>
  <c r="C30" i="37"/>
  <c r="F30" i="37"/>
  <c r="F29" i="37"/>
  <c r="F28" i="37"/>
  <c r="F27" i="37"/>
  <c r="F26" i="37"/>
  <c r="F25" i="37"/>
  <c r="F24" i="37"/>
  <c r="D23" i="37"/>
  <c r="F23" i="37"/>
  <c r="C23" i="37"/>
  <c r="C59" i="37"/>
  <c r="F22" i="37"/>
  <c r="F21" i="37"/>
  <c r="F20" i="37"/>
  <c r="F19" i="37"/>
  <c r="F18" i="37"/>
  <c r="F17" i="37"/>
  <c r="F16" i="37"/>
  <c r="F15" i="37"/>
  <c r="F14" i="37"/>
  <c r="F13" i="37"/>
  <c r="F12" i="37"/>
  <c r="F11" i="37"/>
  <c r="F10" i="37"/>
  <c r="F9" i="37"/>
  <c r="F8" i="37"/>
  <c r="A6" i="36"/>
  <c r="F1" i="36"/>
  <c r="E59" i="36"/>
  <c r="B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D23" i="36"/>
  <c r="F23" i="36"/>
  <c r="C23" i="36"/>
  <c r="C59" i="36"/>
  <c r="F22" i="36"/>
  <c r="F21" i="36"/>
  <c r="F20" i="36"/>
  <c r="F19" i="36"/>
  <c r="F18" i="36"/>
  <c r="F17" i="36"/>
  <c r="F16" i="36"/>
  <c r="F15" i="36"/>
  <c r="F14" i="36"/>
  <c r="F13" i="36"/>
  <c r="F12" i="36"/>
  <c r="F11" i="36"/>
  <c r="F10" i="36"/>
  <c r="F9" i="36"/>
  <c r="F8" i="36"/>
  <c r="F59" i="36"/>
  <c r="A6" i="34"/>
  <c r="A6" i="35"/>
  <c r="A1" i="35"/>
  <c r="I64" i="35"/>
  <c r="H64" i="35"/>
  <c r="I63" i="35"/>
  <c r="H63" i="35"/>
  <c r="I62" i="35"/>
  <c r="H62" i="35"/>
  <c r="I61" i="35"/>
  <c r="H61" i="35"/>
  <c r="I60" i="35"/>
  <c r="H60" i="35"/>
  <c r="I58" i="35"/>
  <c r="H58" i="35"/>
  <c r="F58" i="35"/>
  <c r="I57" i="35"/>
  <c r="E57" i="35"/>
  <c r="C57" i="35"/>
  <c r="H57" i="35"/>
  <c r="F57" i="35"/>
  <c r="I56" i="35"/>
  <c r="C56" i="35"/>
  <c r="H56" i="35"/>
  <c r="F56" i="35"/>
  <c r="I54" i="35"/>
  <c r="H54" i="35"/>
  <c r="F54" i="35"/>
  <c r="I53" i="35"/>
  <c r="H53" i="35"/>
  <c r="F53" i="35"/>
  <c r="I52" i="35"/>
  <c r="C52" i="35"/>
  <c r="H52" i="35"/>
  <c r="I51" i="35"/>
  <c r="H51" i="35"/>
  <c r="F51" i="35"/>
  <c r="I50" i="35"/>
  <c r="H50" i="35"/>
  <c r="F50" i="35"/>
  <c r="I49" i="35"/>
  <c r="H49" i="35"/>
  <c r="F49" i="35"/>
  <c r="I48" i="35"/>
  <c r="H48" i="35"/>
  <c r="F48" i="35"/>
  <c r="I47" i="35"/>
  <c r="H47" i="35"/>
  <c r="I46" i="35"/>
  <c r="H46" i="35"/>
  <c r="I44" i="35"/>
  <c r="H44" i="35"/>
  <c r="F44" i="35"/>
  <c r="I43" i="35"/>
  <c r="H43" i="35"/>
  <c r="F43" i="35"/>
  <c r="I42" i="35"/>
  <c r="H42" i="35"/>
  <c r="F42" i="35"/>
  <c r="I40" i="35"/>
  <c r="H40" i="35"/>
  <c r="F40" i="35"/>
  <c r="I39" i="35"/>
  <c r="H39" i="35"/>
  <c r="F39" i="35"/>
  <c r="I38" i="35"/>
  <c r="H38" i="35"/>
  <c r="F38" i="35"/>
  <c r="I37" i="35"/>
  <c r="H37" i="35"/>
  <c r="F37" i="35"/>
  <c r="I35" i="35"/>
  <c r="H35" i="35"/>
  <c r="I34" i="35"/>
  <c r="H34" i="35"/>
  <c r="I33" i="35"/>
  <c r="H33" i="35"/>
  <c r="I32" i="35"/>
  <c r="H32" i="35"/>
  <c r="I30" i="35"/>
  <c r="H30" i="35"/>
  <c r="I29" i="35"/>
  <c r="H29" i="35"/>
  <c r="I28" i="35"/>
  <c r="H28" i="35"/>
  <c r="I27" i="35"/>
  <c r="H27" i="35"/>
  <c r="I26" i="35"/>
  <c r="H26" i="35"/>
  <c r="I25" i="35"/>
  <c r="H25" i="35"/>
  <c r="I24" i="35"/>
  <c r="H24" i="35"/>
  <c r="I23" i="35"/>
  <c r="H23" i="35"/>
  <c r="I21" i="35"/>
  <c r="H21" i="35"/>
  <c r="I20" i="35"/>
  <c r="H20" i="35"/>
  <c r="I19" i="35"/>
  <c r="H19" i="35"/>
  <c r="I18" i="35"/>
  <c r="H18" i="35"/>
  <c r="I17" i="35"/>
  <c r="H17" i="35"/>
  <c r="I15" i="35"/>
  <c r="H15" i="35"/>
  <c r="I14" i="35"/>
  <c r="H14" i="35"/>
  <c r="I12" i="35"/>
  <c r="H12" i="35"/>
  <c r="I11" i="35"/>
  <c r="H11" i="35"/>
  <c r="H10" i="35"/>
  <c r="I9" i="35"/>
  <c r="H9" i="35"/>
  <c r="I8" i="35"/>
  <c r="H8" i="35"/>
  <c r="A1" i="34"/>
  <c r="E56" i="34"/>
  <c r="D56" i="34"/>
  <c r="B56" i="34"/>
  <c r="B50" i="34"/>
  <c r="F49" i="34"/>
  <c r="K48" i="34"/>
  <c r="F48" i="34"/>
  <c r="E48" i="34"/>
  <c r="C48" i="34"/>
  <c r="C47" i="34"/>
  <c r="F47" i="34"/>
  <c r="F46" i="34"/>
  <c r="F45" i="34"/>
  <c r="F44" i="34"/>
  <c r="F43" i="34"/>
  <c r="D43" i="34"/>
  <c r="C43" i="34"/>
  <c r="C42" i="34"/>
  <c r="F42" i="34"/>
  <c r="F41" i="34"/>
  <c r="F40" i="34"/>
  <c r="F39" i="34"/>
  <c r="F38" i="34"/>
  <c r="C37" i="34"/>
  <c r="F37" i="34"/>
  <c r="F36" i="34"/>
  <c r="F35" i="34"/>
  <c r="C35" i="34"/>
  <c r="C34" i="34"/>
  <c r="F34" i="34"/>
  <c r="F33" i="34"/>
  <c r="C33" i="34"/>
  <c r="C32" i="34"/>
  <c r="F32" i="34"/>
  <c r="C31" i="34"/>
  <c r="F31" i="34"/>
  <c r="F30" i="34"/>
  <c r="C29" i="34"/>
  <c r="F29" i="34"/>
  <c r="C28" i="34"/>
  <c r="F28" i="34"/>
  <c r="D27" i="34"/>
  <c r="D50" i="34"/>
  <c r="C27" i="34"/>
  <c r="F27" i="34"/>
  <c r="D26" i="34"/>
  <c r="C26" i="34"/>
  <c r="F26" i="34"/>
  <c r="C25" i="34"/>
  <c r="F25" i="34"/>
  <c r="C24" i="34"/>
  <c r="F24" i="34"/>
  <c r="F23" i="34"/>
  <c r="F22" i="34"/>
  <c r="C21" i="34"/>
  <c r="F21" i="34"/>
  <c r="C20" i="34"/>
  <c r="F20" i="34"/>
  <c r="E19" i="34"/>
  <c r="E50" i="34"/>
  <c r="C19" i="34"/>
  <c r="F19" i="34"/>
  <c r="F18" i="34"/>
  <c r="C18" i="34"/>
  <c r="F17" i="34"/>
  <c r="C16" i="34"/>
  <c r="F16" i="34"/>
  <c r="C15" i="34"/>
  <c r="C56" i="34"/>
  <c r="F14" i="34"/>
  <c r="C14" i="34"/>
  <c r="F13" i="34"/>
  <c r="F12" i="34"/>
  <c r="C12" i="34"/>
  <c r="F11" i="34"/>
  <c r="F10" i="34"/>
  <c r="C9" i="34"/>
  <c r="F9" i="34"/>
  <c r="D8" i="34"/>
  <c r="C8" i="34"/>
  <c r="F8" i="34"/>
  <c r="A6" i="33"/>
  <c r="F1" i="33"/>
  <c r="E57" i="33"/>
  <c r="B57" i="33"/>
  <c r="D51" i="33"/>
  <c r="B51" i="33"/>
  <c r="F50" i="33"/>
  <c r="F49" i="33"/>
  <c r="E49" i="33"/>
  <c r="C49" i="33"/>
  <c r="E48" i="33"/>
  <c r="C48" i="33"/>
  <c r="F48" i="33"/>
  <c r="F47" i="33"/>
  <c r="F46" i="33"/>
  <c r="F45" i="33"/>
  <c r="D44" i="33"/>
  <c r="F44" i="33"/>
  <c r="C44" i="33"/>
  <c r="F43" i="33"/>
  <c r="D43" i="33"/>
  <c r="C43" i="33"/>
  <c r="C42" i="33"/>
  <c r="F42" i="33"/>
  <c r="F41" i="33"/>
  <c r="F40" i="33"/>
  <c r="C40" i="33"/>
  <c r="F39" i="33"/>
  <c r="F38" i="33"/>
  <c r="C38" i="33"/>
  <c r="D37" i="33"/>
  <c r="D57" i="33"/>
  <c r="C37" i="33"/>
  <c r="F37" i="33"/>
  <c r="F36" i="33"/>
  <c r="C36" i="33"/>
  <c r="F35" i="33"/>
  <c r="C35" i="33"/>
  <c r="F34" i="33"/>
  <c r="C34" i="33"/>
  <c r="F33" i="33"/>
  <c r="C33" i="33"/>
  <c r="F32" i="33"/>
  <c r="C32" i="33"/>
  <c r="F31" i="33"/>
  <c r="F30" i="33"/>
  <c r="C30" i="33"/>
  <c r="C29" i="33"/>
  <c r="F29" i="33"/>
  <c r="F28" i="33"/>
  <c r="D27" i="33"/>
  <c r="C27" i="33"/>
  <c r="F27" i="33"/>
  <c r="F26" i="33"/>
  <c r="D26" i="33"/>
  <c r="C26" i="33"/>
  <c r="F25" i="33"/>
  <c r="C25" i="33"/>
  <c r="F24" i="33"/>
  <c r="C24" i="33"/>
  <c r="F23" i="33"/>
  <c r="C23" i="33"/>
  <c r="F22" i="33"/>
  <c r="C21" i="33"/>
  <c r="F21" i="33"/>
  <c r="E20" i="33"/>
  <c r="F20" i="33"/>
  <c r="C20" i="33"/>
  <c r="F19" i="33"/>
  <c r="E19" i="33"/>
  <c r="E51" i="33"/>
  <c r="D19" i="33"/>
  <c r="C19" i="33"/>
  <c r="F18" i="33"/>
  <c r="C18" i="33"/>
  <c r="F17" i="33"/>
  <c r="C17" i="33"/>
  <c r="F16" i="33"/>
  <c r="C16" i="33"/>
  <c r="F15" i="33"/>
  <c r="C15" i="33"/>
  <c r="F14" i="33"/>
  <c r="C13" i="33"/>
  <c r="F13" i="33"/>
  <c r="C12" i="33"/>
  <c r="F12" i="33"/>
  <c r="F11" i="33"/>
  <c r="F57" i="33"/>
  <c r="F10" i="33"/>
  <c r="C9" i="33"/>
  <c r="C51" i="33"/>
  <c r="D8" i="33"/>
  <c r="F8" i="33"/>
  <c r="C8" i="33"/>
  <c r="A6" i="32"/>
  <c r="E57" i="32"/>
  <c r="D57" i="32"/>
  <c r="B57" i="32"/>
  <c r="B51" i="32"/>
  <c r="F50" i="32"/>
  <c r="E49" i="32"/>
  <c r="C49" i="32"/>
  <c r="F49" i="32"/>
  <c r="E48" i="32"/>
  <c r="F48" i="32"/>
  <c r="C48" i="32"/>
  <c r="F47" i="32"/>
  <c r="F46" i="32"/>
  <c r="F45" i="32"/>
  <c r="C44" i="32"/>
  <c r="F44" i="32"/>
  <c r="D43" i="32"/>
  <c r="F43" i="32"/>
  <c r="C43" i="32"/>
  <c r="C42" i="32"/>
  <c r="F42" i="32"/>
  <c r="F41" i="32"/>
  <c r="F40" i="32"/>
  <c r="F39" i="32"/>
  <c r="C38" i="32"/>
  <c r="F38" i="32"/>
  <c r="F37" i="32"/>
  <c r="C36" i="32"/>
  <c r="F36" i="32"/>
  <c r="C35" i="32"/>
  <c r="F35" i="32"/>
  <c r="E34" i="32"/>
  <c r="C34" i="32"/>
  <c r="F34" i="32"/>
  <c r="F33" i="32"/>
  <c r="C32" i="32"/>
  <c r="F32" i="32"/>
  <c r="F31" i="32"/>
  <c r="C30" i="32"/>
  <c r="F30" i="32"/>
  <c r="C29" i="32"/>
  <c r="F29" i="32"/>
  <c r="F28" i="32"/>
  <c r="D27" i="32"/>
  <c r="F27" i="32"/>
  <c r="C27" i="32"/>
  <c r="D26" i="32"/>
  <c r="C26" i="32"/>
  <c r="F26" i="32"/>
  <c r="F25" i="32"/>
  <c r="D25" i="32"/>
  <c r="C24" i="32"/>
  <c r="F24" i="32"/>
  <c r="F23" i="32"/>
  <c r="C23" i="32"/>
  <c r="F22" i="32"/>
  <c r="C21" i="32"/>
  <c r="F21" i="32"/>
  <c r="E20" i="32"/>
  <c r="D20" i="32"/>
  <c r="C20" i="32"/>
  <c r="F20" i="32"/>
  <c r="E19" i="32"/>
  <c r="D19" i="32"/>
  <c r="C19" i="32"/>
  <c r="F19" i="32"/>
  <c r="C18" i="32"/>
  <c r="F18" i="32"/>
  <c r="F17" i="32"/>
  <c r="C17" i="32"/>
  <c r="C16" i="32"/>
  <c r="F16" i="32"/>
  <c r="C15" i="32"/>
  <c r="F15" i="32"/>
  <c r="E14" i="32"/>
  <c r="E51" i="32"/>
  <c r="F14" i="32"/>
  <c r="F13" i="32"/>
  <c r="C13" i="32"/>
  <c r="C57" i="32"/>
  <c r="F12" i="32"/>
  <c r="C12" i="32"/>
  <c r="F11" i="32"/>
  <c r="F10" i="32"/>
  <c r="C9" i="32"/>
  <c r="F9" i="32"/>
  <c r="F8" i="32"/>
  <c r="C8" i="32"/>
  <c r="C51" i="32"/>
  <c r="A6" i="31"/>
  <c r="F1" i="31"/>
  <c r="F49" i="31"/>
  <c r="F48" i="31"/>
  <c r="F47" i="31"/>
  <c r="F42" i="31"/>
  <c r="F41" i="31"/>
  <c r="F37" i="31"/>
  <c r="F35" i="31"/>
  <c r="F33" i="31"/>
  <c r="F29" i="31"/>
  <c r="F28" i="31"/>
  <c r="F26" i="31"/>
  <c r="F18" i="31"/>
  <c r="F10" i="31"/>
  <c r="A6" i="30"/>
  <c r="A1" i="30"/>
  <c r="E57" i="30"/>
  <c r="D57" i="30"/>
  <c r="B57" i="30"/>
  <c r="D51" i="30"/>
  <c r="B51" i="30"/>
  <c r="I50" i="30"/>
  <c r="F50" i="30"/>
  <c r="F49" i="30"/>
  <c r="C49" i="30"/>
  <c r="E48" i="30"/>
  <c r="C48" i="30"/>
  <c r="F48" i="30"/>
  <c r="F47" i="30"/>
  <c r="F46" i="30"/>
  <c r="F45" i="30"/>
  <c r="F44" i="30"/>
  <c r="C44" i="30"/>
  <c r="D43" i="30"/>
  <c r="C43" i="30"/>
  <c r="F43" i="30"/>
  <c r="C42" i="30"/>
  <c r="F42" i="30"/>
  <c r="F41" i="30"/>
  <c r="F40" i="30"/>
  <c r="C40" i="30"/>
  <c r="F39" i="30"/>
  <c r="F38" i="30"/>
  <c r="C38" i="30"/>
  <c r="C37" i="30"/>
  <c r="F37" i="30"/>
  <c r="F36" i="30"/>
  <c r="F35" i="30"/>
  <c r="E34" i="30"/>
  <c r="F34" i="30"/>
  <c r="F33" i="30"/>
  <c r="F32" i="30"/>
  <c r="F31" i="30"/>
  <c r="F30" i="30"/>
  <c r="F29" i="30"/>
  <c r="F28" i="30"/>
  <c r="F27" i="30"/>
  <c r="F26" i="30"/>
  <c r="F25" i="30"/>
  <c r="F24" i="30"/>
  <c r="F23" i="30"/>
  <c r="F22" i="30"/>
  <c r="C22" i="30"/>
  <c r="F21" i="30"/>
  <c r="C21" i="30"/>
  <c r="E20" i="30"/>
  <c r="E51" i="30"/>
  <c r="D20" i="30"/>
  <c r="F20" i="30"/>
  <c r="C20" i="30"/>
  <c r="F19" i="30"/>
  <c r="F18" i="30"/>
  <c r="F17" i="30"/>
  <c r="F16" i="30"/>
  <c r="C15" i="30"/>
  <c r="C57" i="30"/>
  <c r="F57" i="30"/>
  <c r="D14" i="30"/>
  <c r="C14" i="30"/>
  <c r="F14" i="30"/>
  <c r="F13" i="30"/>
  <c r="F12" i="30"/>
  <c r="C12" i="30"/>
  <c r="F11" i="30"/>
  <c r="F10" i="30"/>
  <c r="F9" i="30"/>
  <c r="C8" i="30"/>
  <c r="C51" i="30"/>
  <c r="A6" i="29"/>
  <c r="F1" i="29"/>
  <c r="E57" i="29"/>
  <c r="D57" i="29"/>
  <c r="B57" i="29"/>
  <c r="B51" i="29"/>
  <c r="F50" i="29"/>
  <c r="E49" i="29"/>
  <c r="D49" i="29"/>
  <c r="D51" i="29"/>
  <c r="C49" i="29"/>
  <c r="F49" i="29"/>
  <c r="F48" i="29"/>
  <c r="E48" i="29"/>
  <c r="F47" i="29"/>
  <c r="F46" i="29"/>
  <c r="C46" i="29"/>
  <c r="F45" i="29"/>
  <c r="F44" i="29"/>
  <c r="D44" i="29"/>
  <c r="C44" i="29"/>
  <c r="F43" i="29"/>
  <c r="D43" i="29"/>
  <c r="C43" i="29"/>
  <c r="D42" i="29"/>
  <c r="C42" i="29"/>
  <c r="F42" i="29"/>
  <c r="F41" i="29"/>
  <c r="F40" i="29"/>
  <c r="F39" i="29"/>
  <c r="F38" i="29"/>
  <c r="F37" i="29"/>
  <c r="F36" i="29"/>
  <c r="F35" i="29"/>
  <c r="F34" i="29"/>
  <c r="E34" i="29"/>
  <c r="F33" i="29"/>
  <c r="F32" i="29"/>
  <c r="F31" i="29"/>
  <c r="F30" i="29"/>
  <c r="F29" i="29"/>
  <c r="F28" i="29"/>
  <c r="F27" i="29"/>
  <c r="F26" i="29"/>
  <c r="F25" i="29"/>
  <c r="F24" i="29"/>
  <c r="F23" i="29"/>
  <c r="F22" i="29"/>
  <c r="F21" i="29"/>
  <c r="E20" i="29"/>
  <c r="D20" i="29"/>
  <c r="C20" i="29"/>
  <c r="F20" i="29"/>
  <c r="F19" i="29"/>
  <c r="D19" i="29"/>
  <c r="C19" i="29"/>
  <c r="F18" i="29"/>
  <c r="F17" i="29"/>
  <c r="F16" i="29"/>
  <c r="C15" i="29"/>
  <c r="C51" i="29"/>
  <c r="F14" i="29"/>
  <c r="E14" i="29"/>
  <c r="E51" i="29"/>
  <c r="D14" i="29"/>
  <c r="C14" i="29"/>
  <c r="F13" i="29"/>
  <c r="F12" i="29"/>
  <c r="F11" i="29"/>
  <c r="F10" i="29"/>
  <c r="F9" i="29"/>
  <c r="F8" i="29"/>
  <c r="C8" i="29"/>
  <c r="A6" i="28"/>
  <c r="A1" i="28"/>
  <c r="E57" i="28"/>
  <c r="D57" i="28"/>
  <c r="B57" i="28"/>
  <c r="B51" i="28"/>
  <c r="F50" i="28"/>
  <c r="E49" i="28"/>
  <c r="C49" i="28"/>
  <c r="F49" i="28"/>
  <c r="F48" i="28"/>
  <c r="F47" i="28"/>
  <c r="F46" i="28"/>
  <c r="F45" i="28"/>
  <c r="F44" i="28"/>
  <c r="C44" i="28"/>
  <c r="F43" i="28"/>
  <c r="D43" i="28"/>
  <c r="C43" i="28"/>
  <c r="D42" i="28"/>
  <c r="C42" i="28"/>
  <c r="F42" i="28"/>
  <c r="F41" i="28"/>
  <c r="F40" i="28"/>
  <c r="F39" i="28"/>
  <c r="F38" i="28"/>
  <c r="F37" i="28"/>
  <c r="F36" i="28"/>
  <c r="F35" i="28"/>
  <c r="E34" i="28"/>
  <c r="F34" i="28"/>
  <c r="F33" i="28"/>
  <c r="F32" i="28"/>
  <c r="F31" i="28"/>
  <c r="F30" i="28"/>
  <c r="F29" i="28"/>
  <c r="F28" i="28"/>
  <c r="D27" i="28"/>
  <c r="C27" i="28"/>
  <c r="F27" i="28"/>
  <c r="C26" i="28"/>
  <c r="F26" i="28"/>
  <c r="F25" i="28"/>
  <c r="F24" i="28"/>
  <c r="F23" i="28"/>
  <c r="F22" i="28"/>
  <c r="F21" i="28"/>
  <c r="E20" i="28"/>
  <c r="D20" i="28"/>
  <c r="C20" i="28"/>
  <c r="C51" i="28"/>
  <c r="F19" i="28"/>
  <c r="F18" i="28"/>
  <c r="F17" i="28"/>
  <c r="F16" i="28"/>
  <c r="F15" i="28"/>
  <c r="F14" i="28"/>
  <c r="E14" i="28"/>
  <c r="E51" i="28"/>
  <c r="D14" i="28"/>
  <c r="D51" i="28"/>
  <c r="C14" i="28"/>
  <c r="F13" i="28"/>
  <c r="C13" i="28"/>
  <c r="C57" i="28"/>
  <c r="F57" i="28"/>
  <c r="F12" i="28"/>
  <c r="F11" i="28"/>
  <c r="F10" i="28"/>
  <c r="F9" i="28"/>
  <c r="F8" i="28"/>
  <c r="A6" i="27"/>
  <c r="F1" i="27"/>
  <c r="F48" i="27"/>
  <c r="F43" i="27"/>
  <c r="F42" i="27"/>
  <c r="F38" i="27"/>
  <c r="F36" i="27"/>
  <c r="F34" i="27"/>
  <c r="F33" i="27"/>
  <c r="F30" i="27"/>
  <c r="F28" i="27"/>
  <c r="F26" i="27"/>
  <c r="F24" i="27"/>
  <c r="F23" i="27"/>
  <c r="F21" i="27"/>
  <c r="F19" i="27"/>
  <c r="F15" i="27"/>
  <c r="F10" i="27"/>
  <c r="A6" i="26"/>
  <c r="E1" i="26"/>
  <c r="E55" i="26"/>
  <c r="D55" i="26"/>
  <c r="B55" i="26"/>
  <c r="B53" i="26"/>
  <c r="F52" i="26"/>
  <c r="E51" i="26"/>
  <c r="E53" i="26"/>
  <c r="C51" i="26"/>
  <c r="F51" i="26"/>
  <c r="F50" i="26"/>
  <c r="F49" i="26"/>
  <c r="F48" i="26"/>
  <c r="F47" i="26"/>
  <c r="F46" i="26"/>
  <c r="C45" i="26"/>
  <c r="F45" i="26"/>
  <c r="F44" i="26"/>
  <c r="F43" i="26"/>
  <c r="F42" i="26"/>
  <c r="F40" i="26"/>
  <c r="F39" i="26"/>
  <c r="C39" i="26"/>
  <c r="C55" i="26"/>
  <c r="F38" i="26"/>
  <c r="F37" i="26"/>
  <c r="F36" i="26"/>
  <c r="F35" i="26"/>
  <c r="F34" i="26"/>
  <c r="F33" i="26"/>
  <c r="F32" i="26"/>
  <c r="F31" i="26"/>
  <c r="F30" i="26"/>
  <c r="F29" i="26"/>
  <c r="F28" i="26"/>
  <c r="C28" i="26"/>
  <c r="C27" i="26"/>
  <c r="F27" i="26"/>
  <c r="F26" i="26"/>
  <c r="F25" i="26"/>
  <c r="F24" i="26"/>
  <c r="F23" i="26"/>
  <c r="F22" i="26"/>
  <c r="D21" i="26"/>
  <c r="D53" i="26"/>
  <c r="C21" i="26"/>
  <c r="C53" i="26"/>
  <c r="F20" i="26"/>
  <c r="D20" i="26"/>
  <c r="C20" i="26"/>
  <c r="F19" i="26"/>
  <c r="F18" i="26"/>
  <c r="F17" i="26"/>
  <c r="F16" i="26"/>
  <c r="F15" i="26"/>
  <c r="C15" i="26"/>
  <c r="D14" i="26"/>
  <c r="C14" i="26"/>
  <c r="F14" i="26"/>
  <c r="F13" i="26"/>
  <c r="F12" i="26"/>
  <c r="F11" i="26"/>
  <c r="F10" i="26"/>
  <c r="F55" i="26"/>
  <c r="F9" i="26"/>
  <c r="F8" i="26"/>
  <c r="A6" i="25"/>
  <c r="A1" i="25"/>
  <c r="E58" i="25"/>
  <c r="D58" i="25"/>
  <c r="B58" i="25"/>
  <c r="F54" i="25"/>
  <c r="F52" i="25"/>
  <c r="C51" i="25"/>
  <c r="B51" i="25"/>
  <c r="B53" i="25"/>
  <c r="B55" i="25"/>
  <c r="F50" i="25"/>
  <c r="F49" i="25"/>
  <c r="F48" i="25"/>
  <c r="F47" i="25"/>
  <c r="F46" i="25"/>
  <c r="F45" i="25"/>
  <c r="F44" i="25"/>
  <c r="F43" i="25"/>
  <c r="F42" i="25"/>
  <c r="C40" i="25"/>
  <c r="F40" i="25"/>
  <c r="C39" i="25"/>
  <c r="F39" i="25"/>
  <c r="F38" i="25"/>
  <c r="F37" i="25"/>
  <c r="C36" i="25"/>
  <c r="F36" i="25"/>
  <c r="F35" i="25"/>
  <c r="F34" i="25"/>
  <c r="F33" i="25"/>
  <c r="F32" i="25"/>
  <c r="F31" i="25"/>
  <c r="F30" i="25"/>
  <c r="F29" i="25"/>
  <c r="C28" i="25"/>
  <c r="F28" i="25"/>
  <c r="D27" i="25"/>
  <c r="C27" i="25"/>
  <c r="F26" i="25"/>
  <c r="F25" i="25"/>
  <c r="F24" i="25"/>
  <c r="F23" i="25"/>
  <c r="F22" i="25"/>
  <c r="E21" i="25"/>
  <c r="E53" i="25"/>
  <c r="E55" i="25"/>
  <c r="D21" i="25"/>
  <c r="C21" i="25"/>
  <c r="D20" i="25"/>
  <c r="F20" i="25"/>
  <c r="F19" i="25"/>
  <c r="F18" i="25"/>
  <c r="F17" i="25"/>
  <c r="C16" i="25"/>
  <c r="C58" i="25"/>
  <c r="F15" i="25"/>
  <c r="F14" i="25"/>
  <c r="D14" i="25"/>
  <c r="C14" i="25"/>
  <c r="F13" i="25"/>
  <c r="F12" i="25"/>
  <c r="F11" i="25"/>
  <c r="F10" i="25"/>
  <c r="F9" i="25"/>
  <c r="C8" i="25"/>
  <c r="F8" i="25"/>
  <c r="A7" i="24"/>
  <c r="F1" i="24"/>
  <c r="E61" i="24"/>
  <c r="D61" i="24"/>
  <c r="B61" i="24"/>
  <c r="F55" i="24"/>
  <c r="E54" i="24"/>
  <c r="E56" i="24"/>
  <c r="F53" i="24"/>
  <c r="C52" i="24"/>
  <c r="B52" i="24"/>
  <c r="B54" i="24"/>
  <c r="B56" i="24"/>
  <c r="F51" i="24"/>
  <c r="F50" i="24"/>
  <c r="F49" i="24"/>
  <c r="F48" i="24"/>
  <c r="F47" i="24"/>
  <c r="D46" i="24"/>
  <c r="C46" i="24"/>
  <c r="F46" i="24"/>
  <c r="F45" i="24"/>
  <c r="F44" i="24"/>
  <c r="F43" i="24"/>
  <c r="F42" i="24"/>
  <c r="F41" i="24"/>
  <c r="C40" i="24"/>
  <c r="F40" i="24"/>
  <c r="F39" i="24"/>
  <c r="F38" i="24"/>
  <c r="F37" i="24"/>
  <c r="C37" i="24"/>
  <c r="F36" i="24"/>
  <c r="F35" i="24"/>
  <c r="F34" i="24"/>
  <c r="F33" i="24"/>
  <c r="F32" i="24"/>
  <c r="F31" i="24"/>
  <c r="F30" i="24"/>
  <c r="C29" i="24"/>
  <c r="F29" i="24"/>
  <c r="D28" i="24"/>
  <c r="F28" i="24"/>
  <c r="C28" i="24"/>
  <c r="F27" i="24"/>
  <c r="F26" i="24"/>
  <c r="F25" i="24"/>
  <c r="C24" i="24"/>
  <c r="F24" i="24"/>
  <c r="F23" i="24"/>
  <c r="F22" i="24"/>
  <c r="E22" i="24"/>
  <c r="D22" i="24"/>
  <c r="C22" i="24"/>
  <c r="F21" i="24"/>
  <c r="F20" i="24"/>
  <c r="F19" i="24"/>
  <c r="F18" i="24"/>
  <c r="C17" i="24"/>
  <c r="F16" i="24"/>
  <c r="D54" i="24"/>
  <c r="D56" i="24"/>
  <c r="C54" i="24"/>
  <c r="C56" i="24"/>
  <c r="F14" i="24"/>
  <c r="F13" i="24"/>
  <c r="F12" i="24"/>
  <c r="F11" i="24"/>
  <c r="F10" i="24"/>
  <c r="F9" i="24"/>
  <c r="A7" i="23"/>
  <c r="A1" i="23"/>
  <c r="F55" i="23"/>
  <c r="F53" i="23"/>
  <c r="F50" i="23"/>
  <c r="F48" i="23"/>
  <c r="F34" i="23"/>
  <c r="F32" i="23"/>
  <c r="F31" i="23"/>
  <c r="F30" i="23"/>
  <c r="F28" i="23"/>
  <c r="F26" i="23"/>
  <c r="F24" i="23"/>
  <c r="F22" i="23"/>
  <c r="F20" i="23"/>
  <c r="F19" i="23"/>
  <c r="F17" i="23"/>
  <c r="F15" i="23"/>
  <c r="C62" i="23"/>
  <c r="F11" i="23"/>
  <c r="A7" i="22"/>
  <c r="A1" i="22"/>
  <c r="E62" i="22"/>
  <c r="D62" i="22"/>
  <c r="B62" i="22"/>
  <c r="D56" i="22"/>
  <c r="B56" i="22"/>
  <c r="F55" i="22"/>
  <c r="C54" i="22"/>
  <c r="F54" i="22"/>
  <c r="F53" i="22"/>
  <c r="F52" i="22"/>
  <c r="F51" i="22"/>
  <c r="F50" i="22"/>
  <c r="F49" i="22"/>
  <c r="F48" i="22"/>
  <c r="C48" i="22"/>
  <c r="F47" i="22"/>
  <c r="F46" i="22"/>
  <c r="F45" i="22"/>
  <c r="F44" i="22"/>
  <c r="F43" i="22"/>
  <c r="F42" i="22"/>
  <c r="C42" i="22"/>
  <c r="C41" i="22"/>
  <c r="F41" i="22"/>
  <c r="F40" i="22"/>
  <c r="F39" i="22"/>
  <c r="F38" i="22"/>
  <c r="F37" i="22"/>
  <c r="F36" i="22"/>
  <c r="F35" i="22"/>
  <c r="F34" i="22"/>
  <c r="F33" i="22"/>
  <c r="F32" i="22"/>
  <c r="C32" i="22"/>
  <c r="F31" i="22"/>
  <c r="D30" i="22"/>
  <c r="C30" i="22"/>
  <c r="F30" i="22"/>
  <c r="C29" i="22"/>
  <c r="F29" i="22"/>
  <c r="F28" i="22"/>
  <c r="F27" i="22"/>
  <c r="F26" i="22"/>
  <c r="C25" i="22"/>
  <c r="F25" i="22"/>
  <c r="F24" i="22"/>
  <c r="C24" i="22"/>
  <c r="E23" i="22"/>
  <c r="E56" i="22"/>
  <c r="D23" i="22"/>
  <c r="C23" i="22"/>
  <c r="F23" i="22"/>
  <c r="D22" i="22"/>
  <c r="C22" i="22"/>
  <c r="F22" i="22"/>
  <c r="F21" i="22"/>
  <c r="F20" i="22"/>
  <c r="F19" i="22"/>
  <c r="C18" i="22"/>
  <c r="C62" i="22"/>
  <c r="F17" i="22"/>
  <c r="F16" i="22"/>
  <c r="C56" i="22"/>
  <c r="F15" i="22"/>
  <c r="F14" i="22"/>
  <c r="F13" i="22"/>
  <c r="F12" i="22"/>
  <c r="F11" i="22"/>
  <c r="F10" i="22"/>
  <c r="F9" i="22"/>
  <c r="A7" i="21"/>
  <c r="F1" i="21"/>
  <c r="E62" i="21"/>
  <c r="B62" i="21"/>
  <c r="F57" i="21"/>
  <c r="B57" i="21"/>
  <c r="B56" i="21"/>
  <c r="B58" i="21"/>
  <c r="F55" i="21"/>
  <c r="F54" i="21"/>
  <c r="C54" i="21"/>
  <c r="B54" i="21"/>
  <c r="F53" i="21"/>
  <c r="F52" i="21"/>
  <c r="F51" i="21"/>
  <c r="F50" i="21"/>
  <c r="F49" i="21"/>
  <c r="F48" i="21"/>
  <c r="D48" i="21"/>
  <c r="C48" i="21"/>
  <c r="F47" i="21"/>
  <c r="F46" i="21"/>
  <c r="F45" i="21"/>
  <c r="F44" i="21"/>
  <c r="F43" i="21"/>
  <c r="F42" i="21"/>
  <c r="C42" i="21"/>
  <c r="C41" i="21"/>
  <c r="F41" i="21"/>
  <c r="F40" i="21"/>
  <c r="F39" i="21"/>
  <c r="F38" i="21"/>
  <c r="C38" i="21"/>
  <c r="F37" i="21"/>
  <c r="F36" i="21"/>
  <c r="F35" i="21"/>
  <c r="F34" i="21"/>
  <c r="F33" i="21"/>
  <c r="F32" i="21"/>
  <c r="C32" i="21"/>
  <c r="F31" i="21"/>
  <c r="D30" i="21"/>
  <c r="C30" i="21"/>
  <c r="F30" i="21"/>
  <c r="D29" i="21"/>
  <c r="D56" i="21"/>
  <c r="D58" i="21"/>
  <c r="C29" i="21"/>
  <c r="C56" i="21"/>
  <c r="C58" i="21"/>
  <c r="F28" i="21"/>
  <c r="F27" i="21"/>
  <c r="F26" i="21"/>
  <c r="C25" i="21"/>
  <c r="F25" i="21"/>
  <c r="C24" i="21"/>
  <c r="F24" i="21"/>
  <c r="F23" i="21"/>
  <c r="E23" i="21"/>
  <c r="E56" i="21"/>
  <c r="E58" i="21"/>
  <c r="D23" i="21"/>
  <c r="C23" i="21"/>
  <c r="F22" i="21"/>
  <c r="F21" i="21"/>
  <c r="F20" i="21"/>
  <c r="F19" i="21"/>
  <c r="F18" i="21"/>
  <c r="D18" i="21"/>
  <c r="D62" i="21"/>
  <c r="C18" i="21"/>
  <c r="C62" i="21"/>
  <c r="F17" i="21"/>
  <c r="D16" i="21"/>
  <c r="C16" i="21"/>
  <c r="F16" i="21"/>
  <c r="F15" i="21"/>
  <c r="F14" i="21"/>
  <c r="F13" i="21"/>
  <c r="F12" i="21"/>
  <c r="F11" i="21"/>
  <c r="F10" i="21"/>
  <c r="C9" i="21"/>
  <c r="F9" i="21"/>
  <c r="A7" i="20"/>
  <c r="A1" i="20"/>
  <c r="E59" i="20"/>
  <c r="B59" i="20"/>
  <c r="B56" i="20"/>
  <c r="F55" i="20"/>
  <c r="C54" i="20"/>
  <c r="B54" i="20"/>
  <c r="F54" i="20"/>
  <c r="F53" i="20"/>
  <c r="F52" i="20"/>
  <c r="F51" i="20"/>
  <c r="F50" i="20"/>
  <c r="F49" i="20"/>
  <c r="C48" i="20"/>
  <c r="F48" i="20"/>
  <c r="F47" i="20"/>
  <c r="F46" i="20"/>
  <c r="F45" i="20"/>
  <c r="F44" i="20"/>
  <c r="F43" i="20"/>
  <c r="F42" i="20"/>
  <c r="F41" i="20"/>
  <c r="F40" i="20"/>
  <c r="F39" i="20"/>
  <c r="C38" i="20"/>
  <c r="F38" i="20"/>
  <c r="F37" i="20"/>
  <c r="F36" i="20"/>
  <c r="F35" i="20"/>
  <c r="F34" i="20"/>
  <c r="F33" i="20"/>
  <c r="F32" i="20"/>
  <c r="F31" i="20"/>
  <c r="D30" i="20"/>
  <c r="D56" i="20"/>
  <c r="C30" i="20"/>
  <c r="F29" i="20"/>
  <c r="C29" i="20"/>
  <c r="H28" i="20"/>
  <c r="H29" i="20"/>
  <c r="F28" i="20"/>
  <c r="F27" i="20"/>
  <c r="I26" i="20"/>
  <c r="F26" i="20"/>
  <c r="C25" i="20"/>
  <c r="C56" i="20"/>
  <c r="H24" i="20"/>
  <c r="H25" i="20"/>
  <c r="H26" i="20"/>
  <c r="F24" i="20"/>
  <c r="H23" i="20"/>
  <c r="E23" i="20"/>
  <c r="E56" i="20"/>
  <c r="D23" i="20"/>
  <c r="C23" i="20"/>
  <c r="F23" i="20"/>
  <c r="F22" i="20"/>
  <c r="F21" i="20"/>
  <c r="F20" i="20"/>
  <c r="F19" i="20"/>
  <c r="F18" i="20"/>
  <c r="D18" i="20"/>
  <c r="D59" i="20"/>
  <c r="C18" i="20"/>
  <c r="C59" i="20"/>
  <c r="F17" i="20"/>
  <c r="F16" i="20"/>
  <c r="C16" i="20"/>
  <c r="F15" i="20"/>
  <c r="F14" i="20"/>
  <c r="F13" i="20"/>
  <c r="F12" i="20"/>
  <c r="C11" i="20"/>
  <c r="F11" i="20"/>
  <c r="F10" i="20"/>
  <c r="C10" i="20"/>
  <c r="F9" i="20"/>
  <c r="A7" i="19"/>
  <c r="E1" i="19"/>
  <c r="F57" i="19"/>
  <c r="B57" i="19"/>
  <c r="F50" i="19"/>
  <c r="F44" i="19"/>
  <c r="F42" i="19"/>
  <c r="F41" i="19"/>
  <c r="F40" i="19"/>
  <c r="F38" i="19"/>
  <c r="F36" i="19"/>
  <c r="F34" i="19"/>
  <c r="F32" i="19"/>
  <c r="A7" i="18"/>
  <c r="A1" i="18"/>
  <c r="E64" i="18"/>
  <c r="D64" i="18"/>
  <c r="B64" i="18"/>
  <c r="F59" i="18"/>
  <c r="B58" i="18"/>
  <c r="B60" i="18"/>
  <c r="F57" i="18"/>
  <c r="F56" i="18"/>
  <c r="C56" i="18"/>
  <c r="B56" i="18"/>
  <c r="F55" i="18"/>
  <c r="F54" i="18"/>
  <c r="F53" i="18"/>
  <c r="F52" i="18"/>
  <c r="F51" i="18"/>
  <c r="F50" i="18"/>
  <c r="D50" i="18"/>
  <c r="C50" i="18"/>
  <c r="F49" i="18"/>
  <c r="F48" i="18"/>
  <c r="F47" i="18"/>
  <c r="F46" i="18"/>
  <c r="F45" i="18"/>
  <c r="F44" i="18"/>
  <c r="F43" i="18"/>
  <c r="F42" i="18"/>
  <c r="F41" i="18"/>
  <c r="F40" i="18"/>
  <c r="F39" i="18"/>
  <c r="F38" i="18"/>
  <c r="F37" i="18"/>
  <c r="F36" i="18"/>
  <c r="F35" i="18"/>
  <c r="F34" i="18"/>
  <c r="F33" i="18"/>
  <c r="D32" i="18"/>
  <c r="C32" i="18"/>
  <c r="F32" i="18"/>
  <c r="C31" i="18"/>
  <c r="F31" i="18"/>
  <c r="F30" i="18"/>
  <c r="F29" i="18"/>
  <c r="C28" i="18"/>
  <c r="F28" i="18"/>
  <c r="F27" i="18"/>
  <c r="F26" i="18"/>
  <c r="C25" i="18"/>
  <c r="F25" i="18"/>
  <c r="G24" i="18"/>
  <c r="F24" i="18"/>
  <c r="D24" i="18"/>
  <c r="C24" i="18"/>
  <c r="D23" i="18"/>
  <c r="D58" i="18"/>
  <c r="D60" i="18"/>
  <c r="C23" i="18"/>
  <c r="F22" i="18"/>
  <c r="F21" i="18"/>
  <c r="F20" i="18"/>
  <c r="C19" i="18"/>
  <c r="F19" i="18"/>
  <c r="F18" i="18"/>
  <c r="F16" i="18"/>
  <c r="C16" i="18"/>
  <c r="F15" i="18"/>
  <c r="F14" i="18"/>
  <c r="F13" i="18"/>
  <c r="F12" i="18"/>
  <c r="C11" i="18"/>
  <c r="C58" i="18"/>
  <c r="C60" i="18"/>
  <c r="F10" i="18"/>
  <c r="C10" i="18"/>
  <c r="F9" i="18"/>
  <c r="A7" i="17"/>
  <c r="F1" i="17"/>
  <c r="E64" i="17"/>
  <c r="D64" i="17"/>
  <c r="C64" i="17"/>
  <c r="B64" i="17"/>
  <c r="F64" i="17"/>
  <c r="D60" i="17"/>
  <c r="G59" i="17"/>
  <c r="G61" i="17"/>
  <c r="F59" i="17"/>
  <c r="B59" i="17"/>
  <c r="D58" i="17"/>
  <c r="H57" i="17"/>
  <c r="F57" i="17"/>
  <c r="F56" i="17"/>
  <c r="C56" i="17"/>
  <c r="B56" i="17"/>
  <c r="B58" i="17"/>
  <c r="B60" i="17"/>
  <c r="F55" i="17"/>
  <c r="F54" i="17"/>
  <c r="F53" i="17"/>
  <c r="F52" i="17"/>
  <c r="F51" i="17"/>
  <c r="F50" i="17"/>
  <c r="F49" i="17"/>
  <c r="F48" i="17"/>
  <c r="F47" i="17"/>
  <c r="F46" i="17"/>
  <c r="F45" i="17"/>
  <c r="F44" i="17"/>
  <c r="F43" i="17"/>
  <c r="F42" i="17"/>
  <c r="F41" i="17"/>
  <c r="F40" i="17"/>
  <c r="F39" i="17"/>
  <c r="F38" i="17"/>
  <c r="F37" i="17"/>
  <c r="F36" i="17"/>
  <c r="F35" i="17"/>
  <c r="F34" i="17"/>
  <c r="F33" i="17"/>
  <c r="C32" i="17"/>
  <c r="F32" i="17"/>
  <c r="F31" i="17"/>
  <c r="C31" i="17"/>
  <c r="F30" i="17"/>
  <c r="F29" i="17"/>
  <c r="F28" i="17"/>
  <c r="F27" i="17"/>
  <c r="F26" i="17"/>
  <c r="F25" i="17"/>
  <c r="D24" i="17"/>
  <c r="C24" i="17"/>
  <c r="F24" i="17"/>
  <c r="G24" i="17"/>
  <c r="F23" i="17"/>
  <c r="F22" i="17"/>
  <c r="F21" i="17"/>
  <c r="F20" i="17"/>
  <c r="F19" i="17"/>
  <c r="F18" i="17"/>
  <c r="C16" i="17"/>
  <c r="F16" i="17"/>
  <c r="F15" i="17"/>
  <c r="F14" i="17"/>
  <c r="F13" i="17"/>
  <c r="F12" i="17"/>
  <c r="F11" i="17"/>
  <c r="F10" i="17"/>
  <c r="F9" i="17"/>
  <c r="A7" i="16"/>
  <c r="A1" i="16"/>
  <c r="E64" i="16"/>
  <c r="D64" i="16"/>
  <c r="B64" i="16"/>
  <c r="F59" i="16"/>
  <c r="B58" i="16"/>
  <c r="B60" i="16"/>
  <c r="F57" i="16"/>
  <c r="C56" i="16"/>
  <c r="B56" i="16"/>
  <c r="F56" i="16"/>
  <c r="F55" i="16"/>
  <c r="F54" i="16"/>
  <c r="F53" i="16"/>
  <c r="F52" i="16"/>
  <c r="F51" i="16"/>
  <c r="F50" i="16"/>
  <c r="F49" i="16"/>
  <c r="F48" i="16"/>
  <c r="F47" i="16"/>
  <c r="C46" i="16"/>
  <c r="C64" i="16"/>
  <c r="F45" i="16"/>
  <c r="F44" i="16"/>
  <c r="F43" i="16"/>
  <c r="F42" i="16"/>
  <c r="F41" i="16"/>
  <c r="F40" i="16"/>
  <c r="F39" i="16"/>
  <c r="F38" i="16"/>
  <c r="F37" i="16"/>
  <c r="F36" i="16"/>
  <c r="F35" i="16"/>
  <c r="F34" i="16"/>
  <c r="F33" i="16"/>
  <c r="D32" i="16"/>
  <c r="C32" i="16"/>
  <c r="F32" i="16"/>
  <c r="F31" i="16"/>
  <c r="D31" i="16"/>
  <c r="C31" i="16"/>
  <c r="F30" i="16"/>
  <c r="F29" i="16"/>
  <c r="F28" i="16"/>
  <c r="F27" i="16"/>
  <c r="F26" i="16"/>
  <c r="F25" i="16"/>
  <c r="G24" i="16"/>
  <c r="E24" i="16"/>
  <c r="E58" i="16"/>
  <c r="E60" i="16"/>
  <c r="D24" i="16"/>
  <c r="C24" i="16"/>
  <c r="F24" i="16"/>
  <c r="D58" i="16"/>
  <c r="D60" i="16"/>
  <c r="F23" i="16"/>
  <c r="F22" i="16"/>
  <c r="F21" i="16"/>
  <c r="F20" i="16"/>
  <c r="F19" i="16"/>
  <c r="F18" i="16"/>
  <c r="F17" i="16"/>
  <c r="C16" i="16"/>
  <c r="F16" i="16"/>
  <c r="F15" i="16"/>
  <c r="F14" i="16"/>
  <c r="F13" i="16"/>
  <c r="F12" i="16"/>
  <c r="F11" i="16"/>
  <c r="F10" i="16"/>
  <c r="F9" i="16"/>
  <c r="A7" i="15"/>
  <c r="A7" i="14"/>
  <c r="F1" i="15"/>
  <c r="F48" i="15"/>
  <c r="F42" i="15"/>
  <c r="F38" i="15"/>
  <c r="A1" i="14"/>
  <c r="E64" i="14"/>
  <c r="D64" i="14"/>
  <c r="B64" i="14"/>
  <c r="F59" i="14"/>
  <c r="F57" i="14"/>
  <c r="C56" i="14"/>
  <c r="B56" i="14"/>
  <c r="F55" i="14"/>
  <c r="F54" i="14"/>
  <c r="F53" i="14"/>
  <c r="F52" i="14"/>
  <c r="F51" i="14"/>
  <c r="F50" i="14"/>
  <c r="C49" i="14"/>
  <c r="C49" i="11"/>
  <c r="C48" i="14"/>
  <c r="F42" i="14"/>
  <c r="F41" i="14"/>
  <c r="F40" i="14"/>
  <c r="F39" i="14"/>
  <c r="F38" i="14"/>
  <c r="F37" i="14"/>
  <c r="F36" i="14"/>
  <c r="F35" i="14"/>
  <c r="F34" i="14"/>
  <c r="C33" i="14"/>
  <c r="D32" i="14"/>
  <c r="C32" i="14"/>
  <c r="D31" i="14"/>
  <c r="C31" i="14"/>
  <c r="F30" i="14"/>
  <c r="F29" i="14"/>
  <c r="F28" i="14"/>
  <c r="F27" i="14"/>
  <c r="F26" i="14"/>
  <c r="F25" i="14"/>
  <c r="D24" i="14"/>
  <c r="C24" i="14"/>
  <c r="D23" i="14"/>
  <c r="D23" i="11"/>
  <c r="C23" i="14"/>
  <c r="C23" i="11"/>
  <c r="F22" i="14"/>
  <c r="F21" i="14"/>
  <c r="F20" i="14"/>
  <c r="F19" i="14"/>
  <c r="F18" i="14"/>
  <c r="C17" i="14"/>
  <c r="C17" i="11"/>
  <c r="C16" i="14"/>
  <c r="F15" i="14"/>
  <c r="F14" i="14"/>
  <c r="F13" i="14"/>
  <c r="F12" i="14"/>
  <c r="F11" i="14"/>
  <c r="F10" i="14"/>
  <c r="F9" i="14"/>
  <c r="A7" i="13"/>
  <c r="F1" i="13"/>
  <c r="E62" i="13"/>
  <c r="D62" i="13"/>
  <c r="B62" i="13"/>
  <c r="F59" i="13"/>
  <c r="B58" i="13"/>
  <c r="B60" i="13"/>
  <c r="F57" i="13"/>
  <c r="C56" i="13"/>
  <c r="B56" i="13"/>
  <c r="F55" i="13"/>
  <c r="F54" i="13"/>
  <c r="F53" i="13"/>
  <c r="F52" i="13"/>
  <c r="F51" i="13"/>
  <c r="F50" i="13"/>
  <c r="F49" i="13"/>
  <c r="C48" i="13"/>
  <c r="F48" i="13"/>
  <c r="F42" i="13"/>
  <c r="F41" i="13"/>
  <c r="F40" i="13"/>
  <c r="F39" i="13"/>
  <c r="F38" i="13"/>
  <c r="F37" i="13"/>
  <c r="F36" i="13"/>
  <c r="F35" i="13"/>
  <c r="C34" i="13"/>
  <c r="F33" i="13"/>
  <c r="D32" i="13"/>
  <c r="C32" i="13"/>
  <c r="F32" i="13"/>
  <c r="D31" i="13"/>
  <c r="C31" i="13"/>
  <c r="F30" i="13"/>
  <c r="F29" i="13"/>
  <c r="C28" i="13"/>
  <c r="C28" i="11"/>
  <c r="F27" i="13"/>
  <c r="F26" i="13"/>
  <c r="F25" i="13"/>
  <c r="E24" i="13"/>
  <c r="D24" i="13"/>
  <c r="C24" i="13"/>
  <c r="F23" i="13"/>
  <c r="F22" i="13"/>
  <c r="F21" i="13"/>
  <c r="F20" i="13"/>
  <c r="C19" i="13"/>
  <c r="F18" i="13"/>
  <c r="F17" i="13"/>
  <c r="C16" i="13"/>
  <c r="F16" i="13"/>
  <c r="F15" i="13"/>
  <c r="F14" i="13"/>
  <c r="F13" i="13"/>
  <c r="F12" i="13"/>
  <c r="F11" i="13"/>
  <c r="F10" i="13"/>
  <c r="F9" i="13"/>
  <c r="A7" i="12"/>
  <c r="E62" i="12"/>
  <c r="D62" i="12"/>
  <c r="C62" i="12"/>
  <c r="B62" i="12"/>
  <c r="B58" i="12"/>
  <c r="B60" i="12"/>
  <c r="F57" i="12"/>
  <c r="C56" i="12"/>
  <c r="F56" i="12"/>
  <c r="F55" i="12"/>
  <c r="F54" i="12"/>
  <c r="F53" i="12"/>
  <c r="F52" i="12"/>
  <c r="F51" i="12"/>
  <c r="F50" i="12"/>
  <c r="F49" i="12"/>
  <c r="F48" i="12"/>
  <c r="F42" i="12"/>
  <c r="C41" i="12"/>
  <c r="F40" i="12"/>
  <c r="F39" i="12"/>
  <c r="F38" i="12"/>
  <c r="F37" i="12"/>
  <c r="F36" i="12"/>
  <c r="F35" i="12"/>
  <c r="F34" i="12"/>
  <c r="F33" i="12"/>
  <c r="F32" i="12"/>
  <c r="C32" i="12"/>
  <c r="D31" i="12"/>
  <c r="C31" i="12"/>
  <c r="F30" i="12"/>
  <c r="F29" i="12"/>
  <c r="F28" i="12"/>
  <c r="F27" i="12"/>
  <c r="F26" i="12"/>
  <c r="F25" i="12"/>
  <c r="E58" i="12"/>
  <c r="E60" i="12"/>
  <c r="D24" i="12"/>
  <c r="C24" i="12"/>
  <c r="F22" i="12"/>
  <c r="F21" i="12"/>
  <c r="F20" i="12"/>
  <c r="F19" i="12"/>
  <c r="F18" i="12"/>
  <c r="F17" i="12"/>
  <c r="C16" i="12"/>
  <c r="F16" i="12"/>
  <c r="F15" i="12"/>
  <c r="F14" i="12"/>
  <c r="F13" i="12"/>
  <c r="F12" i="12"/>
  <c r="F11" i="12"/>
  <c r="F10" i="12"/>
  <c r="F9" i="12"/>
  <c r="J15" i="2"/>
  <c r="F42" i="11"/>
  <c r="F36" i="11"/>
  <c r="A7" i="10"/>
  <c r="E63" i="10"/>
  <c r="D63" i="10"/>
  <c r="B63" i="10"/>
  <c r="B59" i="10"/>
  <c r="F59" i="10"/>
  <c r="E58" i="10"/>
  <c r="E60" i="10"/>
  <c r="F57" i="10"/>
  <c r="C56" i="10"/>
  <c r="B56" i="10"/>
  <c r="F55" i="10"/>
  <c r="F54" i="10"/>
  <c r="F53" i="10"/>
  <c r="F52" i="10"/>
  <c r="F51" i="10"/>
  <c r="C50" i="10"/>
  <c r="C50" i="4"/>
  <c r="F49" i="10"/>
  <c r="F48" i="10"/>
  <c r="C63" i="10"/>
  <c r="F42" i="10"/>
  <c r="C41" i="10"/>
  <c r="F40" i="10"/>
  <c r="F39" i="10"/>
  <c r="F38" i="10"/>
  <c r="F37" i="10"/>
  <c r="F36" i="10"/>
  <c r="F35" i="10"/>
  <c r="F34" i="10"/>
  <c r="F33" i="10"/>
  <c r="C32" i="10"/>
  <c r="B32" i="10"/>
  <c r="C31" i="10"/>
  <c r="F31" i="10"/>
  <c r="F30" i="10"/>
  <c r="F29" i="10"/>
  <c r="F28" i="10"/>
  <c r="F27" i="10"/>
  <c r="F26" i="10"/>
  <c r="F25" i="10"/>
  <c r="D24" i="10"/>
  <c r="C24" i="10"/>
  <c r="D23" i="10"/>
  <c r="C23" i="10"/>
  <c r="F22" i="10"/>
  <c r="F21" i="10"/>
  <c r="F20" i="10"/>
  <c r="F19" i="10"/>
  <c r="F18" i="10"/>
  <c r="F17" i="10"/>
  <c r="C16" i="10"/>
  <c r="F15" i="10"/>
  <c r="F14" i="10"/>
  <c r="F13" i="10"/>
  <c r="F12" i="10"/>
  <c r="C11" i="10"/>
  <c r="C11" i="4"/>
  <c r="F10" i="10"/>
  <c r="F9" i="10"/>
  <c r="A7" i="9"/>
  <c r="E63" i="9"/>
  <c r="D63" i="9"/>
  <c r="B63" i="9"/>
  <c r="B59" i="9"/>
  <c r="E58" i="9"/>
  <c r="E60" i="9"/>
  <c r="F57" i="9"/>
  <c r="C56" i="4"/>
  <c r="B56" i="4"/>
  <c r="C55" i="9"/>
  <c r="C55" i="4"/>
  <c r="F54" i="9"/>
  <c r="F53" i="9"/>
  <c r="F52" i="9"/>
  <c r="F51" i="9"/>
  <c r="F50" i="9"/>
  <c r="F49" i="9"/>
  <c r="F48" i="9"/>
  <c r="F42" i="9"/>
  <c r="F41" i="9"/>
  <c r="F40" i="9"/>
  <c r="F39" i="9"/>
  <c r="F38" i="9"/>
  <c r="F37" i="9"/>
  <c r="C36" i="9"/>
  <c r="F35" i="9"/>
  <c r="F34" i="9"/>
  <c r="F33" i="9"/>
  <c r="C32" i="9"/>
  <c r="B32" i="9"/>
  <c r="C31" i="9"/>
  <c r="F31" i="9"/>
  <c r="F30" i="9"/>
  <c r="F29" i="9"/>
  <c r="F28" i="9"/>
  <c r="F27" i="9"/>
  <c r="F26" i="9"/>
  <c r="F25" i="9"/>
  <c r="D24" i="9"/>
  <c r="C24" i="9"/>
  <c r="C23" i="9"/>
  <c r="F22" i="9"/>
  <c r="F21" i="9"/>
  <c r="F20" i="9"/>
  <c r="F19" i="9"/>
  <c r="F18" i="9"/>
  <c r="F17" i="9"/>
  <c r="D16" i="9"/>
  <c r="C16" i="9"/>
  <c r="F15" i="9"/>
  <c r="F14" i="9"/>
  <c r="F13" i="9"/>
  <c r="F12" i="9"/>
  <c r="F11" i="9"/>
  <c r="F10" i="9"/>
  <c r="F9" i="9"/>
  <c r="F24" i="9"/>
  <c r="D58" i="12"/>
  <c r="D60" i="12"/>
  <c r="F17" i="14"/>
  <c r="F23" i="14"/>
  <c r="D32" i="11"/>
  <c r="D58" i="13"/>
  <c r="D60" i="13"/>
  <c r="F56" i="13"/>
  <c r="F62" i="12"/>
  <c r="B59" i="4"/>
  <c r="F59" i="9"/>
  <c r="E58" i="13"/>
  <c r="E60" i="13"/>
  <c r="E24" i="11"/>
  <c r="F56" i="14"/>
  <c r="B56" i="11"/>
  <c r="F56" i="10"/>
  <c r="F31" i="12"/>
  <c r="F41" i="12"/>
  <c r="C41" i="11"/>
  <c r="F41" i="11"/>
  <c r="C62" i="13"/>
  <c r="F62" i="13"/>
  <c r="C19" i="11"/>
  <c r="F28" i="13"/>
  <c r="F31" i="13"/>
  <c r="C58" i="14"/>
  <c r="C60" i="14"/>
  <c r="C24" i="11"/>
  <c r="F24" i="11"/>
  <c r="F31" i="14"/>
  <c r="C31" i="11"/>
  <c r="F33" i="14"/>
  <c r="C33" i="11"/>
  <c r="F49" i="14"/>
  <c r="C56" i="11"/>
  <c r="F24" i="13"/>
  <c r="F34" i="13"/>
  <c r="C34" i="11"/>
  <c r="F16" i="14"/>
  <c r="C16" i="11"/>
  <c r="D58" i="14"/>
  <c r="D60" i="14"/>
  <c r="D24" i="11"/>
  <c r="D31" i="11"/>
  <c r="F24" i="10"/>
  <c r="F50" i="10"/>
  <c r="F32" i="14"/>
  <c r="C32" i="11"/>
  <c r="F32" i="11"/>
  <c r="F48" i="14"/>
  <c r="C48" i="11"/>
  <c r="B58" i="14"/>
  <c r="B60" i="14"/>
  <c r="F11" i="10"/>
  <c r="F23" i="10"/>
  <c r="F63" i="10"/>
  <c r="C58" i="10"/>
  <c r="C60" i="10"/>
  <c r="D58" i="10"/>
  <c r="D60" i="10"/>
  <c r="D23" i="4"/>
  <c r="B58" i="10"/>
  <c r="B60" i="10"/>
  <c r="F41" i="10"/>
  <c r="C41" i="4"/>
  <c r="F16" i="9"/>
  <c r="F23" i="9"/>
  <c r="C23" i="4"/>
  <c r="B58" i="9"/>
  <c r="B60" i="9"/>
  <c r="D58" i="9"/>
  <c r="D60" i="9"/>
  <c r="C63" i="9"/>
  <c r="F56" i="9"/>
  <c r="F36" i="9"/>
  <c r="F55" i="9"/>
  <c r="F59" i="37"/>
  <c r="F59" i="42"/>
  <c r="F46" i="35"/>
  <c r="I10" i="35"/>
  <c r="F59" i="15"/>
  <c r="I15" i="2"/>
  <c r="F23" i="19"/>
  <c r="F35" i="11"/>
  <c r="F37" i="11"/>
  <c r="F39" i="11"/>
  <c r="F51" i="11"/>
  <c r="F10" i="15"/>
  <c r="F22" i="15"/>
  <c r="F24" i="15"/>
  <c r="F26" i="15"/>
  <c r="F28" i="15"/>
  <c r="F30" i="15"/>
  <c r="F32" i="15"/>
  <c r="F34" i="15"/>
  <c r="F36" i="15"/>
  <c r="D61" i="39"/>
  <c r="C12" i="2"/>
  <c r="F14" i="23"/>
  <c r="F26" i="11"/>
  <c r="F23" i="35"/>
  <c r="F15" i="35"/>
  <c r="F8" i="35"/>
  <c r="F12" i="35"/>
  <c r="F20" i="35"/>
  <c r="F53" i="39"/>
  <c r="F52" i="39"/>
  <c r="F27" i="39"/>
  <c r="C65" i="39"/>
  <c r="F9" i="39"/>
  <c r="F16" i="39"/>
  <c r="F18" i="39"/>
  <c r="F34" i="39"/>
  <c r="F37" i="39"/>
  <c r="F43" i="39"/>
  <c r="F45" i="39"/>
  <c r="F51" i="39"/>
  <c r="F39" i="15"/>
  <c r="F49" i="15"/>
  <c r="F51" i="15"/>
  <c r="F53" i="15"/>
  <c r="F55" i="15"/>
  <c r="F57" i="15"/>
  <c r="F43" i="19"/>
  <c r="F45" i="19"/>
  <c r="F47" i="19"/>
  <c r="E51" i="27"/>
  <c r="F10" i="35"/>
  <c r="F25" i="39"/>
  <c r="F21" i="11"/>
  <c r="F23" i="11"/>
  <c r="F25" i="11"/>
  <c r="F31" i="15"/>
  <c r="F25" i="19"/>
  <c r="F27" i="19"/>
  <c r="F29" i="19"/>
  <c r="F31" i="19"/>
  <c r="F29" i="23"/>
  <c r="F41" i="27"/>
  <c r="F27" i="23"/>
  <c r="F25" i="27"/>
  <c r="F44" i="27"/>
  <c r="F46" i="27"/>
  <c r="F49" i="11"/>
  <c r="F57" i="11"/>
  <c r="F20" i="15"/>
  <c r="D56" i="19"/>
  <c r="F44" i="23"/>
  <c r="F24" i="31"/>
  <c r="F42" i="23"/>
  <c r="F52" i="35"/>
  <c r="F10" i="11"/>
  <c r="F14" i="11"/>
  <c r="F16" i="11"/>
  <c r="F18" i="11"/>
  <c r="F22" i="11"/>
  <c r="E64" i="15"/>
  <c r="F54" i="15"/>
  <c r="F10" i="19"/>
  <c r="F14" i="19"/>
  <c r="F16" i="19"/>
  <c r="F18" i="19"/>
  <c r="F20" i="19"/>
  <c r="F22" i="19"/>
  <c r="F24" i="19"/>
  <c r="F26" i="19"/>
  <c r="F39" i="23"/>
  <c r="F43" i="23"/>
  <c r="F45" i="23"/>
  <c r="F47" i="23"/>
  <c r="F29" i="27"/>
  <c r="F50" i="11"/>
  <c r="F54" i="11"/>
  <c r="F59" i="11"/>
  <c r="F9" i="15"/>
  <c r="F11" i="15"/>
  <c r="F13" i="15"/>
  <c r="F17" i="15"/>
  <c r="F19" i="15"/>
  <c r="F21" i="15"/>
  <c r="F23" i="15"/>
  <c r="F25" i="15"/>
  <c r="F27" i="15"/>
  <c r="F29" i="15"/>
  <c r="F41" i="15"/>
  <c r="F37" i="23"/>
  <c r="F18" i="27"/>
  <c r="F49" i="27"/>
  <c r="C51" i="31"/>
  <c r="E11" i="2"/>
  <c r="F11" i="31"/>
  <c r="F13" i="31"/>
  <c r="F19" i="31"/>
  <c r="F21" i="31"/>
  <c r="F25" i="31"/>
  <c r="D63" i="11"/>
  <c r="F30" i="11"/>
  <c r="C58" i="15"/>
  <c r="E62" i="19"/>
  <c r="D62" i="19"/>
  <c r="F54" i="19"/>
  <c r="F10" i="23"/>
  <c r="F23" i="23"/>
  <c r="F36" i="23"/>
  <c r="F40" i="23"/>
  <c r="F51" i="23"/>
  <c r="C51" i="27"/>
  <c r="F11" i="2"/>
  <c r="C57" i="27"/>
  <c r="F14" i="27"/>
  <c r="F27" i="27"/>
  <c r="F39" i="27"/>
  <c r="F14" i="31"/>
  <c r="F11" i="35"/>
  <c r="F35" i="35"/>
  <c r="F20" i="39"/>
  <c r="F23" i="39"/>
  <c r="F38" i="39"/>
  <c r="F40" i="39"/>
  <c r="F42" i="39"/>
  <c r="F56" i="39"/>
  <c r="F58" i="39"/>
  <c r="E63" i="11"/>
  <c r="F20" i="11"/>
  <c r="F38" i="11"/>
  <c r="F40" i="11"/>
  <c r="F14" i="15"/>
  <c r="F16" i="15"/>
  <c r="F18" i="15"/>
  <c r="F33" i="15"/>
  <c r="F35" i="15"/>
  <c r="F37" i="15"/>
  <c r="F40" i="15"/>
  <c r="F50" i="15"/>
  <c r="F52" i="15"/>
  <c r="B56" i="19"/>
  <c r="B58" i="19"/>
  <c r="F11" i="19"/>
  <c r="F13" i="19"/>
  <c r="C54" i="23"/>
  <c r="F12" i="23"/>
  <c r="F21" i="23"/>
  <c r="F25" i="23"/>
  <c r="F33" i="23"/>
  <c r="D51" i="27"/>
  <c r="F12" i="2"/>
  <c r="D57" i="27"/>
  <c r="F16" i="27"/>
  <c r="F35" i="27"/>
  <c r="F45" i="27"/>
  <c r="E57" i="31"/>
  <c r="D51" i="31"/>
  <c r="E12" i="2"/>
  <c r="F16" i="31"/>
  <c r="F20" i="31"/>
  <c r="F23" i="31"/>
  <c r="F32" i="31"/>
  <c r="F39" i="31"/>
  <c r="E59" i="35"/>
  <c r="D13" i="2"/>
  <c r="C65" i="35"/>
  <c r="H65" i="35"/>
  <c r="B59" i="39"/>
  <c r="B61" i="39"/>
  <c r="F44" i="39"/>
  <c r="F11" i="11"/>
  <c r="F13" i="11"/>
  <c r="F15" i="11"/>
  <c r="F17" i="11"/>
  <c r="F28" i="11"/>
  <c r="F48" i="11"/>
  <c r="D64" i="15"/>
  <c r="C56" i="19"/>
  <c r="F15" i="19"/>
  <c r="F17" i="19"/>
  <c r="F19" i="19"/>
  <c r="F21" i="19"/>
  <c r="F33" i="19"/>
  <c r="F35" i="19"/>
  <c r="F37" i="19"/>
  <c r="F39" i="19"/>
  <c r="F52" i="19"/>
  <c r="D54" i="23"/>
  <c r="F18" i="23"/>
  <c r="F35" i="23"/>
  <c r="F46" i="23"/>
  <c r="E57" i="27"/>
  <c r="F12" i="27"/>
  <c r="F22" i="27"/>
  <c r="F47" i="27"/>
  <c r="F9" i="31"/>
  <c r="E51" i="31"/>
  <c r="F22" i="31"/>
  <c r="F34" i="31"/>
  <c r="F40" i="31"/>
  <c r="D59" i="35"/>
  <c r="F14" i="35"/>
  <c r="F18" i="35"/>
  <c r="F21" i="35"/>
  <c r="C59" i="39"/>
  <c r="F10" i="39"/>
  <c r="F12" i="39"/>
  <c r="F15" i="39"/>
  <c r="F29" i="39"/>
  <c r="F32" i="39"/>
  <c r="F46" i="39"/>
  <c r="F48" i="39"/>
  <c r="F50" i="39"/>
  <c r="E58" i="11"/>
  <c r="F27" i="11"/>
  <c r="F29" i="11"/>
  <c r="F12" i="15"/>
  <c r="E56" i="19"/>
  <c r="E58" i="19"/>
  <c r="F49" i="19"/>
  <c r="F51" i="19"/>
  <c r="F53" i="19"/>
  <c r="F55" i="19"/>
  <c r="B54" i="23"/>
  <c r="B56" i="23"/>
  <c r="F41" i="23"/>
  <c r="F11" i="27"/>
  <c r="F13" i="27"/>
  <c r="F20" i="27"/>
  <c r="F32" i="27"/>
  <c r="F17" i="31"/>
  <c r="F30" i="31"/>
  <c r="F36" i="31"/>
  <c r="F50" i="31"/>
  <c r="F24" i="35"/>
  <c r="F27" i="35"/>
  <c r="F30" i="35"/>
  <c r="D65" i="39"/>
  <c r="F17" i="39"/>
  <c r="F19" i="39"/>
  <c r="F21" i="39"/>
  <c r="F24" i="39"/>
  <c r="F39" i="39"/>
  <c r="F41" i="39"/>
  <c r="F54" i="39"/>
  <c r="F57" i="39"/>
  <c r="F52" i="11"/>
  <c r="D58" i="15"/>
  <c r="B58" i="15"/>
  <c r="F56" i="15"/>
  <c r="F16" i="23"/>
  <c r="F9" i="27"/>
  <c r="D57" i="31"/>
  <c r="F38" i="31"/>
  <c r="F44" i="31"/>
  <c r="E65" i="35"/>
  <c r="F25" i="35"/>
  <c r="F32" i="35"/>
  <c r="E65" i="39"/>
  <c r="E59" i="39"/>
  <c r="E58" i="15"/>
  <c r="C64" i="15"/>
  <c r="C62" i="19"/>
  <c r="D62" i="23"/>
  <c r="F52" i="23"/>
  <c r="F31" i="27"/>
  <c r="F40" i="27"/>
  <c r="B51" i="31"/>
  <c r="F31" i="31"/>
  <c r="F46" i="31"/>
  <c r="F33" i="35"/>
  <c r="F11" i="39"/>
  <c r="F14" i="39"/>
  <c r="F26" i="39"/>
  <c r="F28" i="39"/>
  <c r="F30" i="39"/>
  <c r="F33" i="39"/>
  <c r="F47" i="39"/>
  <c r="F49" i="39"/>
  <c r="C63" i="11"/>
  <c r="F53" i="11"/>
  <c r="F55" i="11"/>
  <c r="F28" i="19"/>
  <c r="F30" i="19"/>
  <c r="F46" i="19"/>
  <c r="F48" i="19"/>
  <c r="E54" i="23"/>
  <c r="E62" i="23"/>
  <c r="F13" i="23"/>
  <c r="F38" i="23"/>
  <c r="F49" i="23"/>
  <c r="B51" i="27"/>
  <c r="F17" i="27"/>
  <c r="F37" i="27"/>
  <c r="F50" i="27"/>
  <c r="C57" i="31"/>
  <c r="F12" i="31"/>
  <c r="F15" i="31"/>
  <c r="F27" i="31"/>
  <c r="F43" i="31"/>
  <c r="F45" i="31"/>
  <c r="F26" i="35"/>
  <c r="F29" i="35"/>
  <c r="F35" i="39"/>
  <c r="F12" i="43"/>
  <c r="F57" i="43"/>
  <c r="F53" i="43"/>
  <c r="F51" i="43"/>
  <c r="F49" i="43"/>
  <c r="F47" i="43"/>
  <c r="F43" i="43"/>
  <c r="F40" i="43"/>
  <c r="F38" i="43"/>
  <c r="F36" i="43"/>
  <c r="F34" i="43"/>
  <c r="F32" i="43"/>
  <c r="F30" i="43"/>
  <c r="F28" i="43"/>
  <c r="F24" i="43"/>
  <c r="F58" i="43"/>
  <c r="F56" i="43"/>
  <c r="F54" i="43"/>
  <c r="F52" i="43"/>
  <c r="F50" i="43"/>
  <c r="F48" i="43"/>
  <c r="F46" i="43"/>
  <c r="F44" i="43"/>
  <c r="F42" i="43"/>
  <c r="F39" i="43"/>
  <c r="F37" i="43"/>
  <c r="F35" i="43"/>
  <c r="F33" i="43"/>
  <c r="F31" i="43"/>
  <c r="F29" i="43"/>
  <c r="F15" i="43"/>
  <c r="C59" i="43"/>
  <c r="B59" i="43"/>
  <c r="F27" i="43"/>
  <c r="F25" i="43"/>
  <c r="F23" i="43"/>
  <c r="F20" i="43"/>
  <c r="F18" i="43"/>
  <c r="F16" i="43"/>
  <c r="F14" i="43"/>
  <c r="F11" i="43"/>
  <c r="D65" i="43"/>
  <c r="F45" i="43"/>
  <c r="E65" i="43"/>
  <c r="E59" i="43"/>
  <c r="C65" i="43"/>
  <c r="F10" i="43"/>
  <c r="D59" i="43"/>
  <c r="F8" i="43"/>
  <c r="F8" i="39"/>
  <c r="F23" i="38"/>
  <c r="F59" i="38"/>
  <c r="D59" i="37"/>
  <c r="D59" i="36"/>
  <c r="C59" i="35"/>
  <c r="B59" i="35"/>
  <c r="D10" i="2"/>
  <c r="F19" i="35"/>
  <c r="F28" i="35"/>
  <c r="D65" i="35"/>
  <c r="I65" i="35"/>
  <c r="F9" i="35"/>
  <c r="F17" i="35"/>
  <c r="F34" i="35"/>
  <c r="F15" i="34"/>
  <c r="F56" i="34"/>
  <c r="C50" i="34"/>
  <c r="C57" i="33"/>
  <c r="F9" i="33"/>
  <c r="F51" i="33"/>
  <c r="F51" i="32"/>
  <c r="F57" i="32"/>
  <c r="D51" i="32"/>
  <c r="F8" i="31"/>
  <c r="F15" i="30"/>
  <c r="F8" i="30"/>
  <c r="F51" i="30"/>
  <c r="F15" i="29"/>
  <c r="F51" i="29"/>
  <c r="C57" i="29"/>
  <c r="F57" i="29"/>
  <c r="F20" i="28"/>
  <c r="F51" i="28"/>
  <c r="F8" i="27"/>
  <c r="D53" i="25"/>
  <c r="D55" i="25"/>
  <c r="F21" i="25"/>
  <c r="F16" i="25"/>
  <c r="F53" i="25"/>
  <c r="F55" i="25"/>
  <c r="F58" i="25"/>
  <c r="F51" i="25"/>
  <c r="C53" i="25"/>
  <c r="C55" i="25"/>
  <c r="F21" i="26"/>
  <c r="F53" i="26"/>
  <c r="F27" i="25"/>
  <c r="F52" i="24"/>
  <c r="C61" i="24"/>
  <c r="F15" i="24"/>
  <c r="F17" i="24"/>
  <c r="F61" i="24"/>
  <c r="F9" i="23"/>
  <c r="F62" i="22"/>
  <c r="F18" i="22"/>
  <c r="F56" i="22"/>
  <c r="F56" i="21"/>
  <c r="F58" i="21"/>
  <c r="F62" i="21"/>
  <c r="F29" i="21"/>
  <c r="F59" i="20"/>
  <c r="F25" i="20"/>
  <c r="F56" i="20"/>
  <c r="F30" i="20"/>
  <c r="F12" i="19"/>
  <c r="F9" i="19"/>
  <c r="F58" i="18"/>
  <c r="F60" i="18"/>
  <c r="F23" i="18"/>
  <c r="F11" i="18"/>
  <c r="C64" i="18"/>
  <c r="F64" i="18"/>
  <c r="F58" i="17"/>
  <c r="F60" i="17"/>
  <c r="C58" i="17"/>
  <c r="C60" i="17"/>
  <c r="F58" i="16"/>
  <c r="F60" i="16"/>
  <c r="F64" i="16"/>
  <c r="F46" i="16"/>
  <c r="C58" i="16"/>
  <c r="C60" i="16"/>
  <c r="G24" i="15"/>
  <c r="F15" i="15"/>
  <c r="C64" i="14"/>
  <c r="F64" i="14"/>
  <c r="F24" i="14"/>
  <c r="F19" i="13"/>
  <c r="C58" i="13"/>
  <c r="C60" i="13"/>
  <c r="F23" i="12"/>
  <c r="F58" i="12"/>
  <c r="F60" i="12"/>
  <c r="F24" i="12"/>
  <c r="C58" i="12"/>
  <c r="C60" i="12"/>
  <c r="F12" i="11"/>
  <c r="F9" i="11"/>
  <c r="F16" i="10"/>
  <c r="F32" i="10"/>
  <c r="F63" i="9"/>
  <c r="F32" i="9"/>
  <c r="C58" i="9"/>
  <c r="C60" i="9"/>
  <c r="F34" i="11"/>
  <c r="B58" i="11"/>
  <c r="J10" i="2"/>
  <c r="D58" i="11"/>
  <c r="J12" i="2"/>
  <c r="F31" i="11"/>
  <c r="F56" i="11"/>
  <c r="F19" i="11"/>
  <c r="F33" i="11"/>
  <c r="F58" i="13"/>
  <c r="F60" i="13"/>
  <c r="F58" i="14"/>
  <c r="F60" i="14"/>
  <c r="F58" i="10"/>
  <c r="F60" i="10"/>
  <c r="E60" i="15"/>
  <c r="I13" i="2"/>
  <c r="B60" i="15"/>
  <c r="I10" i="2"/>
  <c r="E60" i="11"/>
  <c r="J13" i="2"/>
  <c r="B60" i="11"/>
  <c r="F58" i="9"/>
  <c r="F60" i="9"/>
  <c r="C58" i="11"/>
  <c r="C60" i="11"/>
  <c r="D58" i="19"/>
  <c r="H12" i="2"/>
  <c r="C58" i="19"/>
  <c r="H11" i="2"/>
  <c r="D60" i="15"/>
  <c r="I12" i="2"/>
  <c r="C60" i="15"/>
  <c r="I11" i="2"/>
  <c r="D56" i="23"/>
  <c r="G12" i="2"/>
  <c r="C56" i="23"/>
  <c r="G11" i="2"/>
  <c r="H59" i="35"/>
  <c r="D11" i="2"/>
  <c r="D60" i="11"/>
  <c r="E56" i="23"/>
  <c r="G13" i="2"/>
  <c r="F58" i="15"/>
  <c r="F60" i="15"/>
  <c r="F62" i="19"/>
  <c r="I59" i="35"/>
  <c r="D12" i="2"/>
  <c r="E61" i="39"/>
  <c r="C13" i="2"/>
  <c r="C61" i="39"/>
  <c r="C11" i="2"/>
  <c r="F65" i="39"/>
  <c r="C32" i="2"/>
  <c r="F64" i="15"/>
  <c r="I32" i="2"/>
  <c r="F63" i="11"/>
  <c r="J32" i="2"/>
  <c r="F62" i="23"/>
  <c r="F51" i="27"/>
  <c r="F59" i="35"/>
  <c r="F56" i="19"/>
  <c r="F58" i="19"/>
  <c r="F57" i="27"/>
  <c r="F51" i="31"/>
  <c r="F54" i="23"/>
  <c r="F56" i="23"/>
  <c r="F59" i="39"/>
  <c r="F61" i="39"/>
  <c r="F57" i="31"/>
  <c r="F65" i="35"/>
  <c r="D32" i="2"/>
  <c r="F65" i="43"/>
  <c r="F59" i="43"/>
  <c r="F50" i="34"/>
  <c r="F54" i="24"/>
  <c r="F56" i="24"/>
  <c r="J11" i="2"/>
  <c r="F58" i="11"/>
  <c r="F60" i="11"/>
  <c r="A7" i="7"/>
  <c r="A7" i="4"/>
  <c r="A7" i="6"/>
  <c r="A1" i="6"/>
  <c r="G1" i="3"/>
  <c r="A1" i="2"/>
  <c r="A8" i="2"/>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8" i="8"/>
  <c r="F49" i="8"/>
  <c r="F50" i="8"/>
  <c r="F51" i="8"/>
  <c r="F52" i="8"/>
  <c r="F53" i="8"/>
  <c r="F54" i="8"/>
  <c r="F55" i="8"/>
  <c r="B58" i="8"/>
  <c r="B60" i="8"/>
  <c r="F57" i="8"/>
  <c r="E63" i="8"/>
  <c r="D63" i="8"/>
  <c r="B63" i="8"/>
  <c r="E58" i="8"/>
  <c r="E60" i="8"/>
  <c r="E63" i="7"/>
  <c r="D63" i="7"/>
  <c r="B63" i="7"/>
  <c r="E58" i="7"/>
  <c r="E60" i="7"/>
  <c r="B58" i="7"/>
  <c r="B60" i="7"/>
  <c r="F57" i="7"/>
  <c r="F56" i="7"/>
  <c r="F55" i="7"/>
  <c r="F54" i="7"/>
  <c r="F53" i="7"/>
  <c r="F52" i="7"/>
  <c r="F51" i="7"/>
  <c r="F50" i="7"/>
  <c r="F49" i="7"/>
  <c r="F48" i="7"/>
  <c r="F42" i="7"/>
  <c r="F41" i="7"/>
  <c r="F40" i="7"/>
  <c r="F39" i="7"/>
  <c r="F38" i="7"/>
  <c r="F37" i="7"/>
  <c r="C36" i="7"/>
  <c r="F35" i="7"/>
  <c r="F34" i="7"/>
  <c r="F33" i="7"/>
  <c r="C32" i="7"/>
  <c r="B32" i="7"/>
  <c r="B32" i="4"/>
  <c r="F31" i="7"/>
  <c r="C31" i="7"/>
  <c r="C31" i="4"/>
  <c r="F30" i="7"/>
  <c r="F29" i="7"/>
  <c r="F28" i="7"/>
  <c r="F27" i="7"/>
  <c r="F26" i="7"/>
  <c r="F25" i="7"/>
  <c r="D24" i="7"/>
  <c r="D24" i="4"/>
  <c r="C24" i="7"/>
  <c r="F23" i="7"/>
  <c r="F22" i="7"/>
  <c r="F21" i="7"/>
  <c r="F20" i="7"/>
  <c r="F19" i="7"/>
  <c r="F18" i="7"/>
  <c r="F17" i="7"/>
  <c r="D16" i="7"/>
  <c r="C16" i="7"/>
  <c r="F15" i="7"/>
  <c r="F14" i="7"/>
  <c r="F13" i="7"/>
  <c r="F12" i="7"/>
  <c r="F11" i="7"/>
  <c r="F10" i="7"/>
  <c r="F9" i="7"/>
  <c r="F50" i="6"/>
  <c r="F49" i="6"/>
  <c r="F48" i="6"/>
  <c r="F42" i="6"/>
  <c r="F41" i="6"/>
  <c r="F33" i="6"/>
  <c r="F31" i="6"/>
  <c r="F30" i="6"/>
  <c r="F29" i="6"/>
  <c r="F28" i="6"/>
  <c r="F17" i="6"/>
  <c r="F16" i="6"/>
  <c r="E63" i="6"/>
  <c r="E58" i="6"/>
  <c r="E60" i="6" s="1"/>
  <c r="L13" i="2"/>
  <c r="K15" i="2"/>
  <c r="J21" i="2"/>
  <c r="I21" i="2"/>
  <c r="H21" i="2"/>
  <c r="G21" i="2"/>
  <c r="F21" i="2"/>
  <c r="E21" i="2"/>
  <c r="D21" i="2"/>
  <c r="C21" i="2"/>
  <c r="B21" i="2"/>
  <c r="I19" i="2"/>
  <c r="H19" i="2"/>
  <c r="G19" i="2"/>
  <c r="F19" i="2"/>
  <c r="E19" i="2"/>
  <c r="D19" i="2"/>
  <c r="C19" i="2"/>
  <c r="B19" i="2"/>
  <c r="F14" i="2"/>
  <c r="F16" i="2"/>
  <c r="D14" i="2"/>
  <c r="H26" i="2"/>
  <c r="E26" i="2"/>
  <c r="E33" i="2"/>
  <c r="D26" i="2"/>
  <c r="D33" i="2"/>
  <c r="C26" i="2"/>
  <c r="C33" i="2"/>
  <c r="C33" i="1"/>
  <c r="C31" i="1"/>
  <c r="C25" i="1"/>
  <c r="N21" i="2"/>
  <c r="C14" i="1" s="1"/>
  <c r="F16" i="7"/>
  <c r="C16" i="4"/>
  <c r="F32" i="7"/>
  <c r="C32" i="4"/>
  <c r="C63" i="7"/>
  <c r="F63" i="7"/>
  <c r="C36" i="4"/>
  <c r="F36" i="4"/>
  <c r="D58" i="7"/>
  <c r="D60" i="7"/>
  <c r="D16" i="4"/>
  <c r="F24" i="7"/>
  <c r="C24" i="4"/>
  <c r="F36" i="7"/>
  <c r="I14" i="2"/>
  <c r="I23" i="2"/>
  <c r="I29" i="2"/>
  <c r="J14" i="2"/>
  <c r="J23" i="2"/>
  <c r="J29" i="2"/>
  <c r="B14" i="2"/>
  <c r="B27" i="2"/>
  <c r="F11" i="4"/>
  <c r="F15" i="4"/>
  <c r="E14" i="2"/>
  <c r="E23" i="2"/>
  <c r="E29" i="2"/>
  <c r="D64" i="4"/>
  <c r="C14" i="2"/>
  <c r="F21" i="4"/>
  <c r="F39" i="4"/>
  <c r="F49" i="4"/>
  <c r="F51" i="4"/>
  <c r="F55" i="4"/>
  <c r="F57" i="4"/>
  <c r="G14" i="2"/>
  <c r="G17" i="2"/>
  <c r="F33" i="4"/>
  <c r="H14" i="2"/>
  <c r="H16" i="2"/>
  <c r="F14" i="4"/>
  <c r="F16" i="4"/>
  <c r="F18" i="4"/>
  <c r="F22" i="4"/>
  <c r="F26" i="4"/>
  <c r="F28" i="4"/>
  <c r="F40" i="4"/>
  <c r="F42" i="4"/>
  <c r="F54" i="4"/>
  <c r="F56" i="4"/>
  <c r="F59" i="4"/>
  <c r="C58" i="8"/>
  <c r="C60" i="8" s="1"/>
  <c r="F63" i="8"/>
  <c r="D58" i="8"/>
  <c r="D60" i="8"/>
  <c r="F58" i="7"/>
  <c r="F60" i="7"/>
  <c r="C58" i="7"/>
  <c r="C60" i="7"/>
  <c r="B58" i="4"/>
  <c r="D58" i="4"/>
  <c r="F20" i="4"/>
  <c r="F38" i="4"/>
  <c r="F53" i="4"/>
  <c r="F13" i="4"/>
  <c r="F34" i="4"/>
  <c r="F9" i="4"/>
  <c r="F30" i="4"/>
  <c r="F48" i="4"/>
  <c r="F50" i="4"/>
  <c r="E58" i="4"/>
  <c r="F17" i="4"/>
  <c r="F23" i="4"/>
  <c r="F25" i="4"/>
  <c r="F27" i="4"/>
  <c r="F29" i="4"/>
  <c r="F31" i="4"/>
  <c r="F10" i="4"/>
  <c r="F35" i="4"/>
  <c r="F37" i="4"/>
  <c r="E64" i="4"/>
  <c r="F41" i="4"/>
  <c r="F52" i="4"/>
  <c r="F19" i="4"/>
  <c r="F12" i="4"/>
  <c r="H33" i="2"/>
  <c r="F23" i="2"/>
  <c r="F29" i="2"/>
  <c r="F17" i="2"/>
  <c r="F27" i="2"/>
  <c r="D23" i="2"/>
  <c r="D29" i="2"/>
  <c r="D16" i="2"/>
  <c r="D17" i="2"/>
  <c r="D27" i="2"/>
  <c r="D28" i="2"/>
  <c r="F26" i="2"/>
  <c r="F33" i="2"/>
  <c r="G26" i="2"/>
  <c r="G33" i="2"/>
  <c r="I26" i="2"/>
  <c r="B26" i="2"/>
  <c r="B33" i="2"/>
  <c r="J26" i="2"/>
  <c r="F24" i="4"/>
  <c r="F32" i="4"/>
  <c r="C58" i="4"/>
  <c r="C64" i="4"/>
  <c r="E60" i="4"/>
  <c r="K13" i="2"/>
  <c r="B60" i="4"/>
  <c r="K10" i="2"/>
  <c r="K26" i="2"/>
  <c r="D60" i="4"/>
  <c r="K12" i="2"/>
  <c r="C23" i="2"/>
  <c r="C29" i="2"/>
  <c r="C60" i="4"/>
  <c r="K11" i="2"/>
  <c r="J17" i="2"/>
  <c r="J16" i="2"/>
  <c r="I27" i="2"/>
  <c r="I30" i="2"/>
  <c r="I31" i="2"/>
  <c r="I17" i="2"/>
  <c r="H23" i="2"/>
  <c r="H29" i="2"/>
  <c r="B23" i="2"/>
  <c r="B29" i="2"/>
  <c r="I16" i="2"/>
  <c r="B17" i="2"/>
  <c r="E17" i="2"/>
  <c r="G23" i="2"/>
  <c r="G29" i="2"/>
  <c r="G27" i="2"/>
  <c r="G30" i="2"/>
  <c r="G31" i="2"/>
  <c r="H27" i="2"/>
  <c r="H28" i="2"/>
  <c r="E16" i="2"/>
  <c r="E27" i="2"/>
  <c r="E28" i="2"/>
  <c r="J27" i="2"/>
  <c r="J28" i="2"/>
  <c r="C27" i="2"/>
  <c r="C28" i="2"/>
  <c r="F64" i="4"/>
  <c r="K32" i="2"/>
  <c r="B16" i="2"/>
  <c r="G16" i="2"/>
  <c r="H17" i="2"/>
  <c r="I28" i="2"/>
  <c r="C17" i="2"/>
  <c r="C16" i="2"/>
  <c r="F58" i="4"/>
  <c r="I33" i="2"/>
  <c r="D30" i="2"/>
  <c r="D31" i="2"/>
  <c r="B30" i="2"/>
  <c r="B31" i="2"/>
  <c r="B28" i="2"/>
  <c r="F28" i="2"/>
  <c r="F30" i="2"/>
  <c r="F31" i="2"/>
  <c r="J33" i="2"/>
  <c r="K33" i="2"/>
  <c r="F60" i="4"/>
  <c r="K16" i="2"/>
  <c r="K14" i="2"/>
  <c r="C30" i="2"/>
  <c r="C31" i="2"/>
  <c r="J30" i="2"/>
  <c r="J31" i="2"/>
  <c r="E30" i="2"/>
  <c r="E31" i="2"/>
  <c r="G28" i="2"/>
  <c r="H30" i="2"/>
  <c r="H31" i="2"/>
  <c r="K17" i="2"/>
  <c r="K27" i="2"/>
  <c r="K23" i="2"/>
  <c r="K29" i="2" s="1"/>
  <c r="K30" i="2"/>
  <c r="K31" i="2"/>
  <c r="K28" i="2"/>
  <c r="F36" i="3" l="1"/>
  <c r="F42" i="3"/>
  <c r="B22" i="3"/>
  <c r="F41" i="3"/>
  <c r="F21" i="3"/>
  <c r="B11" i="3"/>
  <c r="F47" i="3"/>
  <c r="F10" i="3"/>
  <c r="F20" i="6"/>
  <c r="F20" i="3" s="1"/>
  <c r="C63" i="6"/>
  <c r="F63" i="6" s="1"/>
  <c r="L32" i="2" s="1"/>
  <c r="F12" i="3"/>
  <c r="F57" i="3"/>
  <c r="F56" i="3"/>
  <c r="F52" i="3"/>
  <c r="F21" i="6"/>
  <c r="F51" i="3"/>
  <c r="B10" i="3"/>
  <c r="F12" i="6"/>
  <c r="F36" i="6"/>
  <c r="F37" i="3" s="1"/>
  <c r="F17" i="3"/>
  <c r="F62" i="3"/>
  <c r="B49" i="3"/>
  <c r="F26" i="3"/>
  <c r="B17" i="3"/>
  <c r="B61" i="3"/>
  <c r="F28" i="3"/>
  <c r="F22" i="3"/>
  <c r="F55" i="3"/>
  <c r="F59" i="3"/>
  <c r="B39" i="3"/>
  <c r="N13" i="2"/>
  <c r="C11" i="1" s="1"/>
  <c r="F63" i="3"/>
  <c r="F37" i="6"/>
  <c r="F38" i="3" s="1"/>
  <c r="F18" i="3"/>
  <c r="F48" i="3"/>
  <c r="F25" i="3"/>
  <c r="B16" i="3"/>
  <c r="B41" i="3"/>
  <c r="E64" i="3"/>
  <c r="F27" i="3"/>
  <c r="F61" i="3"/>
  <c r="D18" i="3"/>
  <c r="F30" i="3"/>
  <c r="F19" i="3"/>
  <c r="B59" i="3"/>
  <c r="F46" i="3"/>
  <c r="B35" i="3"/>
  <c r="B24" i="3"/>
  <c r="F14" i="3"/>
  <c r="C33" i="3"/>
  <c r="C64" i="3" s="1"/>
  <c r="C74" i="3" s="1"/>
  <c r="F39" i="3"/>
  <c r="F40" i="3"/>
  <c r="F11" i="3"/>
  <c r="B36" i="3"/>
  <c r="F33" i="3"/>
  <c r="B57" i="3"/>
  <c r="B45" i="3"/>
  <c r="B33" i="3"/>
  <c r="B23" i="3"/>
  <c r="B14" i="3"/>
  <c r="E66" i="3"/>
  <c r="E74" i="3"/>
  <c r="E60" i="52"/>
  <c r="F43" i="52"/>
  <c r="F45" i="3" s="1"/>
  <c r="F34" i="52"/>
  <c r="F35" i="3" s="1"/>
  <c r="F16" i="52"/>
  <c r="B43" i="3"/>
  <c r="B55" i="3"/>
  <c r="D9" i="3"/>
  <c r="D64" i="3" s="1"/>
  <c r="F13" i="52"/>
  <c r="F13" i="3" s="1"/>
  <c r="F16" i="3"/>
  <c r="F15" i="52"/>
  <c r="F15" i="3" s="1"/>
  <c r="F23" i="52"/>
  <c r="F23" i="3" s="1"/>
  <c r="B63" i="3"/>
  <c r="F9" i="52"/>
  <c r="F9" i="3" s="1"/>
  <c r="C58" i="52"/>
  <c r="C60" i="52" s="1"/>
  <c r="F63" i="52"/>
  <c r="M32" i="2" s="1"/>
  <c r="B31" i="3"/>
  <c r="B26" i="3"/>
  <c r="B32" i="3"/>
  <c r="B46" i="3"/>
  <c r="B15" i="3"/>
  <c r="B64" i="3" s="1"/>
  <c r="B74" i="3" s="1"/>
  <c r="B25" i="3"/>
  <c r="B58" i="52"/>
  <c r="F24" i="3"/>
  <c r="D58" i="6"/>
  <c r="F32" i="6"/>
  <c r="F32" i="3" s="1"/>
  <c r="I60" i="49"/>
  <c r="H60" i="49"/>
  <c r="I58" i="49"/>
  <c r="H58" i="49"/>
  <c r="H58" i="50"/>
  <c r="N32" i="2"/>
  <c r="F58" i="50"/>
  <c r="F60" i="50" s="1"/>
  <c r="C58" i="6"/>
  <c r="C60" i="6" s="1"/>
  <c r="F29" i="3"/>
  <c r="F56" i="6"/>
  <c r="B58" i="6"/>
  <c r="L10" i="2" s="1"/>
  <c r="L15" i="2"/>
  <c r="N15" i="2" s="1"/>
  <c r="B65" i="3"/>
  <c r="F58" i="51"/>
  <c r="F60" i="51" s="1"/>
  <c r="C60" i="51"/>
  <c r="D74" i="3" l="1"/>
  <c r="D66" i="3"/>
  <c r="F58" i="52"/>
  <c r="F60" i="52" s="1"/>
  <c r="B60" i="52"/>
  <c r="M10" i="2"/>
  <c r="M26" i="2" s="1"/>
  <c r="M33" i="2" s="1"/>
  <c r="M11" i="2"/>
  <c r="M14" i="2" s="1"/>
  <c r="L12" i="2"/>
  <c r="N12" i="2" s="1"/>
  <c r="C12" i="1" s="1"/>
  <c r="C34" i="1" s="1"/>
  <c r="D60" i="6"/>
  <c r="L11" i="2"/>
  <c r="H58" i="52"/>
  <c r="M16" i="2"/>
  <c r="C66" i="3"/>
  <c r="L26" i="2"/>
  <c r="F64" i="3"/>
  <c r="F74" i="3" s="1"/>
  <c r="F58" i="6"/>
  <c r="B60" i="6"/>
  <c r="B66" i="3"/>
  <c r="F65" i="3"/>
  <c r="N10" i="2" l="1"/>
  <c r="N26" i="2" s="1"/>
  <c r="N33" i="2" s="1"/>
  <c r="L14" i="2"/>
  <c r="L23" i="2" s="1"/>
  <c r="L29" i="2" s="1"/>
  <c r="N11" i="2"/>
  <c r="C10" i="1" s="1"/>
  <c r="C16" i="1" s="1"/>
  <c r="H58" i="6"/>
  <c r="L16" i="2"/>
  <c r="N16" i="2" s="1"/>
  <c r="F60" i="6"/>
  <c r="F66" i="3"/>
  <c r="L33" i="2"/>
  <c r="M27" i="2"/>
  <c r="M23" i="2"/>
  <c r="M29" i="2" s="1"/>
  <c r="M17" i="2"/>
  <c r="L27" i="2" l="1"/>
  <c r="L30" i="2" s="1"/>
  <c r="L31" i="2" s="1"/>
  <c r="L17" i="2"/>
  <c r="N14" i="2"/>
  <c r="N27" i="2" s="1"/>
  <c r="M30" i="2"/>
  <c r="M31" i="2" s="1"/>
  <c r="M28" i="2"/>
  <c r="N17" i="2" l="1"/>
  <c r="N23" i="2"/>
  <c r="N29" i="2" s="1"/>
  <c r="L28" i="2"/>
  <c r="N30" i="2"/>
  <c r="N31" i="2" s="1"/>
  <c r="N28" i="2"/>
  <c r="G55" i="3" l="1"/>
  <c r="G35" i="3" l="1"/>
  <c r="G38" i="3" l="1"/>
  <c r="G56" i="3" l="1"/>
  <c r="G64" i="3" s="1"/>
  <c r="G74" i="3" l="1"/>
  <c r="C36" i="1"/>
  <c r="C38" i="1" l="1"/>
  <c r="C50" i="1" s="1"/>
  <c r="C4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Theodor N. Kapiga</author>
    <author>UNON</author>
  </authors>
  <commentList>
    <comment ref="A6" authorId="0" shapeId="0" xr:uid="{D92A5DBE-DD4E-4F0D-8EC3-83E9CA8394F6}">
      <text>
        <r>
          <rPr>
            <b/>
            <sz val="12"/>
            <color indexed="81"/>
            <rFont val="Arial Narrow"/>
            <family val="2"/>
          </rPr>
          <t>Input the date of the status here and it is automatically picked by the other sheets.</t>
        </r>
      </text>
    </comment>
    <comment ref="C28" authorId="1" shapeId="0" xr:uid="{CFBBB6BD-20A5-44BA-983E-A4CB79E618FF}">
      <text>
        <r>
          <rPr>
            <b/>
            <sz val="12"/>
            <color indexed="81"/>
            <rFont val="Arial Narrow"/>
            <family val="2"/>
          </rPr>
          <t>Secretariat costs and its programme support costs from the aggregated historical statistics and commitments of the main Secretariat project.</t>
        </r>
      </text>
    </comment>
    <comment ref="C30" authorId="1" shapeId="0" xr:uid="{E6B39253-25F4-4F93-BC38-D669C95E5CE4}">
      <text>
        <r>
          <rPr>
            <b/>
            <sz val="12"/>
            <color indexed="81"/>
            <rFont val="Arial Narrow"/>
            <family val="2"/>
          </rPr>
          <t>Monitoring &amp; Evaluation costs from the aggregated historical statistics and commitments of the project.</t>
        </r>
      </text>
    </comment>
    <comment ref="C35" authorId="1" shapeId="0" xr:uid="{B46768D1-E964-4802-A341-4A01DABF520F}">
      <text>
        <r>
          <rPr>
            <b/>
            <sz val="12"/>
            <color indexed="81"/>
            <rFont val="Arial Narrow"/>
            <family val="2"/>
          </rPr>
          <t xml:space="preserve">The gain or loss resulting from the calculations of the implementation of FERM/ PN USERS  less actual gain on exchange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tc={166EFB7F-1C0E-479E-923A-F19C12D2CD5B}</author>
    <author>tc={02CCE766-94F6-4EFF-9B1C-0537FCB7C132}</author>
    <author>tc={BFC0BCEA-FD1D-4645-B479-EB72877571CD}</author>
    <author>Girma Gina</author>
  </authors>
  <commentList>
    <comment ref="D23" authorId="0" shapeId="0" xr:uid="{166EFB7F-1C0E-479E-923A-F19C12D2CD5B}">
      <text>
        <t>[Threaded comment]
Your version of Excel allows you to read this threaded comment; however, any edits to it will get removed if the file is opened in a newer version of Excel. Learn more: https://go.microsoft.com/fwlink/?linkid=870924
Comment:
    82nd ExCom bilateral approva</t>
      </text>
    </comment>
    <comment ref="D24" authorId="1" shapeId="0" xr:uid="{02CCE766-94F6-4EFF-9B1C-0537FCB7C132}">
      <text>
        <t>[Threaded comment]
Your version of Excel allows you to read this threaded comment; however, any edits to it will get removed if the file is opened in a newer version of Excel. Learn more: https://go.microsoft.com/fwlink/?linkid=870924
Comment:
    US$222,182 bilateral approved 81st ExCom; US$2,998,084.6</t>
      </text>
    </comment>
    <comment ref="C25" authorId="2" shapeId="0" xr:uid="{BFC0BCEA-FD1D-4645-B479-EB72877571CD}">
      <text>
        <t>[Threaded comment]
Your version of Excel allows you to read this threaded comment; however, any edits to it will get removed if the file is opened in a newer version of Excel. Learn more: https://go.microsoft.com/fwlink/?linkid=870924
Comment:
    From Greece payment on 29/12/2021 US$8,592,814.10</t>
      </text>
    </comment>
    <comment ref="D31" authorId="3" shapeId="0" xr:uid="{F89B3BBB-7A0B-4C46-9DAA-BBC30AABA1C7}">
      <text>
        <r>
          <rPr>
            <b/>
            <sz val="9"/>
            <color indexed="81"/>
            <rFont val="Tahoma"/>
            <family val="2"/>
          </rPr>
          <t>Girma Gina:
US$ 67,800 (Ghana through UNDP)
US$303,962 (Nigeria through UNDP)</t>
        </r>
      </text>
    </comment>
    <comment ref="C33" authorId="3" shapeId="0" xr:uid="{5F79CF2E-8D3D-4DBD-9F5C-45118479F413}">
      <text>
        <r>
          <rPr>
            <b/>
            <sz val="9"/>
            <color indexed="81"/>
            <rFont val="Tahoma"/>
            <family val="2"/>
          </rPr>
          <t>Girma Gina:</t>
        </r>
        <r>
          <rPr>
            <sz val="9"/>
            <color indexed="81"/>
            <rFont val="Tahoma"/>
            <family val="2"/>
          </rPr>
          <t xml:space="preserve">
From receipt of US$725,870 deposited on 27/04/2018</t>
        </r>
      </text>
    </comment>
    <comment ref="C41" authorId="3" shapeId="0" xr:uid="{3F8E6E81-13A3-46DD-B0C9-82A721043874}">
      <text>
        <r>
          <rPr>
            <b/>
            <sz val="9"/>
            <color indexed="81"/>
            <rFont val="Tahoma"/>
            <family val="2"/>
          </rPr>
          <t>Girma Gina:</t>
        </r>
        <r>
          <rPr>
            <sz val="9"/>
            <color indexed="81"/>
            <rFont val="Tahoma"/>
            <family val="2"/>
          </rPr>
          <t xml:space="preserve">
US$46,996, overpayment made by NZD for HFC, credited to the regular contribution.
US$626,634.73 paid on 26/04/2018</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Girma Gina</author>
    <author>tc={9580F38D-58CC-4914-A29E-458DDEFE12D0}</author>
    <author>tc={F832AEF9-67AA-4955-8A35-348F2709A5A2}</author>
  </authors>
  <commentList>
    <comment ref="D23" authorId="0" shapeId="0" xr:uid="{E805EE9E-3BE0-4580-989E-C4A80ABCDCE5}">
      <text>
        <r>
          <rPr>
            <b/>
            <sz val="9"/>
            <color indexed="81"/>
            <rFont val="Tahoma"/>
            <family val="2"/>
          </rPr>
          <t>Girma Gina:</t>
        </r>
        <r>
          <rPr>
            <sz val="9"/>
            <color indexed="81"/>
            <rFont val="Tahoma"/>
            <family val="2"/>
          </rPr>
          <t xml:space="preserve">
From 77th US$197,596 &amp; from 80th ExCom US$633,408</t>
        </r>
      </text>
    </comment>
    <comment ref="C25" authorId="1" shapeId="0" xr:uid="{9580F38D-58CC-4914-A29E-458DDEFE12D0}">
      <text>
        <t>[Threaded comment]
Your version of Excel allows you to read this threaded comment; however, any edits to it will get removed if the file is opened in a newer version of Excel. Learn more: https://go.microsoft.com/fwlink/?linkid=870924
Comment:
    From Greece payment on 29/12/2021 US$8,592,814.10</t>
      </text>
    </comment>
    <comment ref="C33" authorId="0" shapeId="0" xr:uid="{B8CC368B-406F-4B8C-9A55-CD42CF9C1178}">
      <text>
        <r>
          <rPr>
            <b/>
            <sz val="9"/>
            <color indexed="81"/>
            <rFont val="Tahoma"/>
            <family val="2"/>
          </rPr>
          <t>Girma Gina:</t>
        </r>
        <r>
          <rPr>
            <sz val="9"/>
            <color indexed="81"/>
            <rFont val="Tahoma"/>
            <family val="2"/>
          </rPr>
          <t xml:space="preserve">
From receipt of US$725,870 deposited on 27/04/2018</t>
        </r>
      </text>
    </comment>
    <comment ref="C44" authorId="2" shapeId="0" xr:uid="{F832AEF9-67AA-4955-8A35-348F2709A5A2}">
      <text>
        <t>[Threaded comment]
Your version of Excel allows you to read this threaded comment; however, any edits to it will get removed if the file is opened in a newer version of Excel. Learn more: https://go.microsoft.com/fwlink/?linkid=870924
Comment:
    From Portugal payment of US$1,826,537.45 dd 17/12/2018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Girma Gina</author>
    <author>tc={0698250B-A735-44B8-B8F1-62DA71E1487D}</author>
  </authors>
  <commentList>
    <comment ref="D23" authorId="0" shapeId="0" xr:uid="{A5915C18-67C2-495A-8C22-A5515CC25050}">
      <text>
        <r>
          <rPr>
            <b/>
            <sz val="9"/>
            <color indexed="81"/>
            <rFont val="Tahoma"/>
            <family val="2"/>
          </rPr>
          <t>Girma Gina:</t>
        </r>
        <r>
          <rPr>
            <sz val="9"/>
            <color indexed="81"/>
            <rFont val="Tahoma"/>
            <family val="2"/>
          </rPr>
          <t xml:space="preserve">
From 75th Excom US$265,396 &amp; 76th US$19,061, US$6,747 returned at 87th meeting</t>
        </r>
      </text>
    </comment>
    <comment ref="D24" authorId="0" shapeId="0" xr:uid="{31CF8D8C-21A6-463C-AB25-19F8F35275D9}">
      <text>
        <r>
          <rPr>
            <b/>
            <sz val="9"/>
            <color indexed="81"/>
            <rFont val="Tahoma"/>
            <family val="2"/>
          </rPr>
          <t>Girma Gina:</t>
        </r>
        <r>
          <rPr>
            <sz val="9"/>
            <color indexed="81"/>
            <rFont val="Tahoma"/>
            <family val="2"/>
          </rPr>
          <t xml:space="preserve">
From 75th Excom US$1,772,067 and US$1,114,275 from 77th</t>
        </r>
      </text>
    </comment>
    <comment ref="C25" authorId="1" shapeId="0" xr:uid="{0698250B-A735-44B8-B8F1-62DA71E1487D}">
      <text>
        <t>[Threaded comment]
Your version of Excel allows you to read this threaded comment; however, any edits to it will get removed if the file is opened in a newer version of Excel. Learn more: https://go.microsoft.com/fwlink/?linkid=870924
Comment:
    From Greece payment on 29/12/2021 US$8,592,814.10</t>
      </text>
    </comment>
    <comment ref="C28" authorId="0" shapeId="0" xr:uid="{56A1C819-F7AB-4F04-937C-84CAD58283AE}">
      <text>
        <r>
          <rPr>
            <b/>
            <sz val="9"/>
            <color indexed="81"/>
            <rFont val="Tahoma"/>
            <family val="2"/>
          </rPr>
          <t>Girma Gina:</t>
        </r>
        <r>
          <rPr>
            <sz val="9"/>
            <color indexed="81"/>
            <rFont val="Tahoma"/>
            <family val="2"/>
          </rPr>
          <t xml:space="preserve">
From receipt amount US$179,586.74 dd 12/01/2017
US$984 from the receipt of US$113,530 dd 20/08/18</t>
        </r>
      </text>
    </comment>
    <comment ref="D31" authorId="0" shapeId="0" xr:uid="{BAC9981F-88EA-4107-8C1A-0B0E2934DD0C}">
      <text>
        <r>
          <rPr>
            <b/>
            <sz val="9"/>
            <color indexed="81"/>
            <rFont val="Tahoma"/>
            <family val="2"/>
          </rPr>
          <t>Girma Gina:</t>
        </r>
        <r>
          <rPr>
            <sz val="9"/>
            <color indexed="81"/>
            <rFont val="Tahoma"/>
            <family val="2"/>
          </rPr>
          <t xml:space="preserve">
From 76th Excom; to be withheld pending instruction from Secretariat; 77th US$1,452,000</t>
        </r>
      </text>
    </comment>
    <comment ref="D32" authorId="0" shapeId="0" xr:uid="{DD44E4FD-4AAB-4288-8BE6-C822F06CAE57}">
      <text>
        <r>
          <rPr>
            <b/>
            <sz val="9"/>
            <color indexed="81"/>
            <rFont val="Tahoma"/>
            <family val="2"/>
          </rPr>
          <t>Girma Gina:</t>
        </r>
        <r>
          <rPr>
            <sz val="9"/>
            <color indexed="81"/>
            <rFont val="Tahoma"/>
            <family val="2"/>
          </rPr>
          <t xml:space="preserve">
From 76th Excom US$48,873 &amp; 77th US$90,400</t>
        </r>
      </text>
    </comment>
    <comment ref="C33" authorId="0" shapeId="0" xr:uid="{A88650FA-CD01-4C76-8A3A-3F28D56306FC}">
      <text>
        <r>
          <rPr>
            <b/>
            <sz val="9"/>
            <color indexed="81"/>
            <rFont val="Tahoma"/>
            <family val="2"/>
          </rPr>
          <t>Girma Gina:</t>
        </r>
        <r>
          <rPr>
            <sz val="9"/>
            <color indexed="81"/>
            <rFont val="Tahoma"/>
            <family val="2"/>
          </rPr>
          <t xml:space="preserve">
From receipt of US$244,537 dd 30/05/2016</t>
        </r>
      </text>
    </comment>
    <comment ref="C44" authorId="0" shapeId="0" xr:uid="{774F8988-B192-4481-935C-444F62366977}">
      <text>
        <r>
          <rPr>
            <b/>
            <sz val="9"/>
            <color indexed="81"/>
            <rFont val="Tahoma"/>
            <family val="2"/>
          </rPr>
          <t>Girma Gina:</t>
        </r>
        <r>
          <rPr>
            <sz val="9"/>
            <color indexed="81"/>
            <rFont val="Tahoma"/>
            <family val="2"/>
          </rPr>
          <t xml:space="preserve">
From payment dd 29/12/2017 US$6,204,194, unspent bilateral US$957,937</t>
        </r>
      </text>
    </comment>
    <comment ref="D46" authorId="0" shapeId="0" xr:uid="{7702657E-014F-4918-8FB8-628F17C6E141}">
      <text>
        <r>
          <rPr>
            <b/>
            <sz val="9"/>
            <color indexed="81"/>
            <rFont val="Tahoma"/>
            <family val="2"/>
          </rPr>
          <t>Girma Gina:</t>
        </r>
        <r>
          <rPr>
            <sz val="9"/>
            <color indexed="81"/>
            <rFont val="Tahoma"/>
            <family val="2"/>
          </rPr>
          <t xml:space="preserve">
From 76th Excom</t>
        </r>
      </text>
    </comment>
    <comment ref="D50" authorId="0" shapeId="0" xr:uid="{CD26F36C-CFB5-4744-94E3-457690299B3C}">
      <text>
        <r>
          <rPr>
            <b/>
            <sz val="9"/>
            <color indexed="81"/>
            <rFont val="Tahoma"/>
            <family val="2"/>
          </rPr>
          <t>Girma Gina:</t>
        </r>
        <r>
          <rPr>
            <sz val="9"/>
            <color indexed="81"/>
            <rFont val="Tahoma"/>
            <family val="2"/>
          </rPr>
          <t xml:space="preserve">
US$1,178,229 from 77th ExCom BA approval</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Girma Gina</author>
    <author>tc={AE3B594F-503D-416D-97DF-A84410AC32AA}</author>
  </authors>
  <commentList>
    <comment ref="D23" authorId="0" shapeId="0" xr:uid="{0C31CAE7-4BB9-43F6-BEAD-6058B1EAFD27}">
      <text>
        <r>
          <rPr>
            <b/>
            <sz val="9"/>
            <color indexed="81"/>
            <rFont val="Tahoma"/>
            <family val="2"/>
          </rPr>
          <t>Girma Gina:</t>
        </r>
        <r>
          <rPr>
            <sz val="9"/>
            <color indexed="81"/>
            <rFont val="Tahoma"/>
            <family val="2"/>
          </rPr>
          <t xml:space="preserve">
From 74th ExCom</t>
        </r>
      </text>
    </comment>
    <comment ref="D24" authorId="0" shapeId="0" xr:uid="{1477D614-383E-4DFB-83CC-DEBF5F7C39B8}">
      <text>
        <r>
          <rPr>
            <b/>
            <sz val="9"/>
            <color indexed="81"/>
            <rFont val="Tahoma"/>
            <family val="2"/>
          </rPr>
          <t>Girma Gina:</t>
        </r>
        <r>
          <rPr>
            <sz val="9"/>
            <color indexed="81"/>
            <rFont val="Tahoma"/>
            <family val="2"/>
          </rPr>
          <t xml:space="preserve">
US$1,903,869 from 75th,</t>
        </r>
      </text>
    </comment>
    <comment ref="C25" authorId="1" shapeId="0" xr:uid="{AE3B594F-503D-416D-97DF-A84410AC32AA}">
      <text>
        <t>[Threaded comment]
Your version of Excel allows you to read this threaded comment; however, any edits to it will get removed if the file is opened in a newer version of Excel. Learn more: https://go.microsoft.com/fwlink/?linkid=870924
Comment:
    From Greece payment on 29/12/2021 US$8,592,814.10</t>
      </text>
    </comment>
    <comment ref="C28" authorId="0" shapeId="0" xr:uid="{8B5BE375-4479-4B08-AF61-1B25E6FCFAA4}">
      <text>
        <r>
          <rPr>
            <b/>
            <sz val="9"/>
            <color indexed="81"/>
            <rFont val="Tahoma"/>
            <family val="2"/>
          </rPr>
          <t>Girma Gina:</t>
        </r>
        <r>
          <rPr>
            <sz val="9"/>
            <color indexed="81"/>
            <rFont val="Tahoma"/>
            <family val="2"/>
          </rPr>
          <t xml:space="preserve">
From receipt amount US$179,586.74 dd12/01/2017</t>
        </r>
      </text>
    </comment>
    <comment ref="C33" authorId="0" shapeId="0" xr:uid="{CB89AC71-BF77-42F5-BDEF-A24A5D5EABF4}">
      <text>
        <r>
          <rPr>
            <b/>
            <sz val="9"/>
            <color indexed="81"/>
            <rFont val="Tahoma"/>
            <family val="2"/>
          </rPr>
          <t>Girma Gina:</t>
        </r>
        <r>
          <rPr>
            <sz val="9"/>
            <color indexed="81"/>
            <rFont val="Tahoma"/>
            <family val="2"/>
          </rPr>
          <t xml:space="preserve">
From receipts of US$128,906  dd 12/02/2015 &amp; US$115,631 dd 27/11/2015</t>
        </r>
      </text>
    </comment>
    <comment ref="C44" authorId="0" shapeId="0" xr:uid="{03CECD38-0C0E-4F59-A432-97818CB87D6C}">
      <text>
        <r>
          <rPr>
            <b/>
            <sz val="9"/>
            <color indexed="81"/>
            <rFont val="Tahoma"/>
            <family val="2"/>
          </rPr>
          <t>Girma Gina:</t>
        </r>
        <r>
          <rPr>
            <sz val="9"/>
            <color indexed="81"/>
            <rFont val="Tahoma"/>
            <family val="2"/>
          </rPr>
          <t xml:space="preserve">
From payment dd 29/12/2017 US$6,204,194, unspent bilateral US$957,937</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tc={1BCD0D7E-C405-43C4-80F2-514A9DFDB238}</author>
    <author>Girma Gina</author>
  </authors>
  <commentList>
    <comment ref="C25" authorId="0" shapeId="0" xr:uid="{1BCD0D7E-C405-43C4-80F2-514A9DFDB238}">
      <text>
        <t>[Threaded comment]
Your version of Excel allows you to read this threaded comment; however, any edits to it will get removed if the file is opened in a newer version of Excel. Learn more: https://go.microsoft.com/fwlink/?linkid=870924
Comment:
    From Greece payment on 29/12/2021 US$8,592,814.10</t>
      </text>
    </comment>
    <comment ref="C28" authorId="1" shapeId="0" xr:uid="{6EA60BA2-1067-4889-9BFC-25EE2F2D0A72}">
      <text>
        <r>
          <rPr>
            <b/>
            <sz val="9"/>
            <color indexed="81"/>
            <rFont val="Tahoma"/>
            <family val="2"/>
          </rPr>
          <t>Girma Gina:</t>
        </r>
        <r>
          <rPr>
            <sz val="9"/>
            <color indexed="81"/>
            <rFont val="Tahoma"/>
            <family val="2"/>
          </rPr>
          <t xml:space="preserve">
From receipt amount US$179,586.74 dd 12/01/2017</t>
        </r>
      </text>
    </comment>
    <comment ref="C33" authorId="1" shapeId="0" xr:uid="{50818176-A446-4CFC-B2ED-CE70A8122408}">
      <text>
        <r>
          <rPr>
            <b/>
            <sz val="9"/>
            <color indexed="81"/>
            <rFont val="Tahoma"/>
            <family val="2"/>
          </rPr>
          <t>Girma Gina:</t>
        </r>
        <r>
          <rPr>
            <sz val="9"/>
            <color indexed="81"/>
            <rFont val="Tahoma"/>
            <family val="2"/>
          </rPr>
          <t xml:space="preserve">
Receipt amount of US$128,906 dd 15/12/2014</t>
        </r>
      </text>
    </comment>
    <comment ref="C44" authorId="1" shapeId="0" xr:uid="{3E69FAD4-B089-48A0-8889-1A58DD600053}">
      <text>
        <r>
          <rPr>
            <b/>
            <sz val="9"/>
            <color indexed="81"/>
            <rFont val="Tahoma"/>
            <family val="2"/>
          </rPr>
          <t>Girma Gina:</t>
        </r>
        <r>
          <rPr>
            <sz val="9"/>
            <color indexed="81"/>
            <rFont val="Tahoma"/>
            <family val="2"/>
          </rPr>
          <t xml:space="preserve">
From payment dd 29/12/2017 US$6,204,194, unspent bilateral US$869,176</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Sandeep Bhambra</author>
    <author>tc={097DFE4D-3CF7-494D-B432-8D50651065AB}</author>
    <author>Girma Gina</author>
  </authors>
  <commentList>
    <comment ref="D23" authorId="0" shapeId="0" xr:uid="{8ED648E8-D6E3-4A6D-84F1-7F305C35DCF0}">
      <text>
        <r>
          <rPr>
            <b/>
            <sz val="9"/>
            <color indexed="81"/>
            <rFont val="Tahoma"/>
            <family val="2"/>
          </rPr>
          <t xml:space="preserve">Sandeep : Changed during Excom; 13May14 - in discussion with France. Moved from YR2012 sheet to YR2013 sheet
</t>
        </r>
        <r>
          <rPr>
            <sz val="9"/>
            <color indexed="81"/>
            <rFont val="Tahoma"/>
            <family val="2"/>
          </rPr>
          <t xml:space="preserve">
</t>
        </r>
      </text>
    </comment>
    <comment ref="C25" authorId="1" shapeId="0" xr:uid="{097DFE4D-3CF7-494D-B432-8D50651065AB}">
      <text>
        <t>[Threaded comment]
Your version of Excel allows you to read this threaded comment; however, any edits to it will get removed if the file is opened in a newer version of Excel. Learn more: https://go.microsoft.com/fwlink/?linkid=870924
Comment:
    From Greece payment on 29/12/2021 US$8,592,814.10</t>
      </text>
    </comment>
    <comment ref="C44" authorId="2" shapeId="0" xr:uid="{C24E2D07-13ED-458D-8369-82EF310E2836}">
      <text>
        <r>
          <rPr>
            <b/>
            <sz val="9"/>
            <color indexed="81"/>
            <rFont val="Tahoma"/>
            <family val="2"/>
          </rPr>
          <t>Girma Gina:</t>
        </r>
        <r>
          <rPr>
            <sz val="9"/>
            <color indexed="81"/>
            <rFont val="Tahoma"/>
            <family val="2"/>
          </rPr>
          <t xml:space="preserve">
From payment dd 29/12/2017 US$6,204,194, unspent bilateral US$869,176</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Girma Gina</author>
  </authors>
  <commentList>
    <comment ref="C25" authorId="0" shapeId="0" xr:uid="{E8864198-25C5-4CE1-8DE9-A5A7C0FFA9AD}">
      <text>
        <r>
          <rPr>
            <b/>
            <sz val="9"/>
            <color indexed="81"/>
            <rFont val="Tahoma"/>
            <family val="2"/>
          </rPr>
          <t>Girma Gina:</t>
        </r>
        <r>
          <rPr>
            <sz val="9"/>
            <color indexed="81"/>
            <rFont val="Tahoma"/>
            <family val="2"/>
          </rPr>
          <t xml:space="preserve">
US$200,000 paid on 31/10/2017 and paid on 15/01/2019</t>
        </r>
      </text>
    </comment>
    <comment ref="C44" authorId="0" shapeId="0" xr:uid="{76AB3C34-CB2A-474A-9E64-8909F2C74D8F}">
      <text>
        <r>
          <rPr>
            <b/>
            <sz val="9"/>
            <color indexed="81"/>
            <rFont val="Tahoma"/>
            <family val="2"/>
          </rPr>
          <t>Girma Gina:</t>
        </r>
        <r>
          <rPr>
            <sz val="9"/>
            <color indexed="81"/>
            <rFont val="Tahoma"/>
            <family val="2"/>
          </rPr>
          <t xml:space="preserve">
From payment dd 29/12/2017 US$6,204,194, unspent bilateral US$869,176</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Girma Gina</author>
  </authors>
  <commentList>
    <comment ref="C42" authorId="0" shapeId="0" xr:uid="{C82C7452-C7F3-47C7-9A10-6C9349207999}">
      <text>
        <r>
          <rPr>
            <b/>
            <sz val="9"/>
            <color indexed="81"/>
            <rFont val="Tahoma"/>
            <family val="2"/>
          </rPr>
          <t>Girma Gina:</t>
        </r>
        <r>
          <rPr>
            <sz val="9"/>
            <color indexed="81"/>
            <rFont val="Tahoma"/>
            <family val="2"/>
          </rPr>
          <t xml:space="preserve">
From payment dd 29/12/2017 US$6,204,194, unspent bilateral US$853,083</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Girma Gina</author>
  </authors>
  <commentList>
    <comment ref="D29" authorId="0" shapeId="0" xr:uid="{D93D5C5E-05B4-421B-BB42-3EBFBDC10D8B}">
      <text>
        <r>
          <rPr>
            <b/>
            <sz val="9"/>
            <color indexed="81"/>
            <rFont val="Tahoma"/>
            <family val="2"/>
          </rPr>
          <t>Girma Gina:</t>
        </r>
        <r>
          <rPr>
            <sz val="9"/>
            <color indexed="81"/>
            <rFont val="Tahoma"/>
            <family val="2"/>
          </rPr>
          <t xml:space="preserve">
US$201,131.40 deposited by UNIDO on 27/09/17 for return of BA to 79th Italy 2010.</t>
        </r>
      </text>
    </comment>
    <comment ref="D30" authorId="0" shapeId="0" xr:uid="{51A40BF3-F493-4F37-8A23-717A4E4C5314}">
      <text>
        <r>
          <rPr>
            <b/>
            <sz val="9"/>
            <color indexed="81"/>
            <rFont val="Tahoma"/>
            <family val="2"/>
          </rPr>
          <t>Girma Gina:</t>
        </r>
        <r>
          <rPr>
            <sz val="9"/>
            <color indexed="81"/>
            <rFont val="Tahoma"/>
            <family val="2"/>
          </rPr>
          <t xml:space="preserve">
Returned by UNIDO US$1,453.58 and US$5,589.87 on 27/04/18 and 05/08/18 respectively. UNDP returned 236.22 on 11/01/18</t>
        </r>
      </text>
    </comment>
    <comment ref="C42" authorId="0" shapeId="0" xr:uid="{766205E6-E58C-4FFC-9D4E-72114C4B155C}">
      <text>
        <r>
          <rPr>
            <b/>
            <sz val="9"/>
            <color indexed="81"/>
            <rFont val="Tahoma"/>
            <family val="2"/>
          </rPr>
          <t>Girma Gina:</t>
        </r>
        <r>
          <rPr>
            <sz val="9"/>
            <color indexed="81"/>
            <rFont val="Tahoma"/>
            <family val="2"/>
          </rPr>
          <t xml:space="preserve">
From payment dd 29/12/2017 US$6,204,194, unspent bilateral US$773,946</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Girma Gina</author>
  </authors>
  <commentList>
    <comment ref="D15" authorId="0" shapeId="0" xr:uid="{D15F6D46-2E12-4503-9EEF-2DAE898AF4B1}">
      <text>
        <r>
          <rPr>
            <b/>
            <sz val="9"/>
            <color indexed="81"/>
            <rFont val="Tahoma"/>
            <family val="2"/>
          </rPr>
          <t>Girma Gina:</t>
        </r>
        <r>
          <rPr>
            <sz val="9"/>
            <color indexed="81"/>
            <rFont val="Tahoma"/>
            <family val="2"/>
          </rPr>
          <t xml:space="preserve">
UNIDO returned USD3,165.44 from bilateral project.</t>
        </r>
      </text>
    </comment>
    <comment ref="D28" authorId="0" shapeId="0" xr:uid="{AF63EF99-B07B-4129-8813-D1E857F03983}">
      <text>
        <r>
          <rPr>
            <b/>
            <sz val="9"/>
            <color indexed="81"/>
            <rFont val="Tahoma"/>
            <family val="2"/>
          </rPr>
          <t>Girma Gina:</t>
        </r>
        <r>
          <rPr>
            <sz val="9"/>
            <color indexed="81"/>
            <rFont val="Tahoma"/>
            <family val="2"/>
          </rPr>
          <t xml:space="preserve">
US$66,030 reimbursed by UNDP as unspent balance from Italy's 2008 BA; US$6,831.44 unspent bal from TF/MOR/08/06 and UNIDO paid US$24.99 on 27/09/17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tc={E8B35E39-05D5-4537-9264-E0289E8974A7}</author>
    <author>ajibadem</author>
    <author>Girma Gina</author>
    <author>tc={1649BCF6-DCB7-449D-88DA-0A1B0B1A1DBD}</author>
  </authors>
  <commentList>
    <comment ref="M9" authorId="0" shapeId="0" xr:uid="{E8B35E39-05D5-4537-9264-E0289E8974A7}">
      <text>
        <t>[Threaded comment]
Your version of Excel allows you to read this threaded comment; however, any edits to it will get removed if the file is opened in a newer version of Excel. Learn more: https://go.microsoft.com/fwlink/?linkid=870924
Comment:
    This only contains 2024</t>
      </text>
    </comment>
    <comment ref="F19" authorId="1" shapeId="0" xr:uid="{1133EA99-F5F3-4A08-AE4C-16DE8B473F17}">
      <text>
        <r>
          <rPr>
            <b/>
            <sz val="8"/>
            <color indexed="81"/>
            <rFont val="Tahoma"/>
            <family val="2"/>
          </rPr>
          <t>ajibadem:</t>
        </r>
        <r>
          <rPr>
            <sz val="8"/>
            <color indexed="81"/>
            <rFont val="Tahoma"/>
            <family val="2"/>
          </rPr>
          <t xml:space="preserve">
US $68190 is interest reported by UNDP on Australia's returned funds
</t>
        </r>
      </text>
    </comment>
    <comment ref="J19" authorId="2" shapeId="0" xr:uid="{C709EACE-7761-41DB-A586-BF19776BA9ED}">
      <text>
        <r>
          <rPr>
            <b/>
            <sz val="9"/>
            <color indexed="81"/>
            <rFont val="Tahoma"/>
            <family val="2"/>
          </rPr>
          <t>Girma Gina:</t>
        </r>
        <r>
          <rPr>
            <sz val="9"/>
            <color indexed="81"/>
            <rFont val="Tahoma"/>
            <family val="2"/>
          </rPr>
          <t xml:space="preserve">
Ias &amp; Treasurer 2015  2016 &amp; 2017 interest, China FECO interest, UNIDO/Japan</t>
        </r>
      </text>
    </comment>
    <comment ref="L21" authorId="3" shapeId="0" xr:uid="{1649BCF6-DCB7-449D-88DA-0A1B0B1A1DBD}">
      <text>
        <t>[Threaded comment]
Your version of Excel allows you to read this threaded comment; however, any edits to it will get removed if the file is opened in a newer version of Excel. Learn more: https://go.microsoft.com/fwlink/?linkid=870924
Comment:
    These amounts are Cost differential contribution from Canada.</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Girma Gina</author>
  </authors>
  <commentList>
    <comment ref="D27" authorId="0" shapeId="0" xr:uid="{17576B64-DA63-464A-A56A-ADCB7425ADB6}">
      <text>
        <r>
          <rPr>
            <b/>
            <sz val="9"/>
            <color indexed="81"/>
            <rFont val="Tahoma"/>
            <family val="2"/>
          </rPr>
          <t>Girma Gina:</t>
        </r>
        <r>
          <rPr>
            <sz val="9"/>
            <color indexed="81"/>
            <rFont val="Tahoma"/>
            <family val="2"/>
          </rPr>
          <t xml:space="preserve">
Unspent bal &amp; Interest US$12,067.32 from TF/CMR/07/002 &amp; US$20,752.20 from TF/SEN/07/007</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Moses T</author>
    <author>tc={3044DFB1-985B-4766-8B98-6113960C1E7C}</author>
    <author>Girma Gina</author>
  </authors>
  <commentList>
    <comment ref="H19" authorId="0" shapeId="0" xr:uid="{3B2E65B2-F8DE-4842-80EE-9B18E1C20BE3}">
      <text>
        <r>
          <rPr>
            <sz val="9"/>
            <color indexed="81"/>
            <rFont val="Tahoma"/>
            <family val="2"/>
          </rPr>
          <t xml:space="preserve">moved to year 2004
</t>
        </r>
      </text>
    </comment>
    <comment ref="I19" authorId="0" shapeId="0" xr:uid="{C1E5E0D3-7F4B-4BE2-9E1A-6E93F13511A3}">
      <text>
        <r>
          <rPr>
            <sz val="9"/>
            <color indexed="81"/>
            <rFont val="Tahoma"/>
            <family val="2"/>
          </rPr>
          <t>moved to year 2004</t>
        </r>
      </text>
    </comment>
    <comment ref="D20" authorId="1" shapeId="0" xr:uid="{3044DFB1-985B-4766-8B98-6113960C1E7C}">
      <text>
        <t>[Threaded comment]
Your version of Excel allows you to read this threaded comment; however, any edits to it will get removed if the file is opened in a newer version of Excel. Learn more: https://go.microsoft.com/fwlink/?linkid=870924
Comment:
    Adjustment as per bilateral reconciliation</t>
      </text>
    </comment>
    <comment ref="C38" authorId="2" shapeId="0" xr:uid="{282C98B2-1F30-43FD-93CC-26ED05EECEA7}">
      <text>
        <r>
          <rPr>
            <b/>
            <sz val="9"/>
            <color indexed="81"/>
            <rFont val="Tahoma"/>
            <family val="2"/>
          </rPr>
          <t>Girma Gina:</t>
        </r>
        <r>
          <rPr>
            <sz val="9"/>
            <color indexed="81"/>
            <rFont val="Tahoma"/>
            <family val="2"/>
          </rPr>
          <t xml:space="preserve">
From payment dd 29/12/2017 US$6,204,194, unspent bilateral US$53,765</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tc={B8CB65A7-23BE-45A9-9A9B-AA5E860F9E60}</author>
  </authors>
  <commentList>
    <comment ref="D20" authorId="0" shapeId="0" xr:uid="{B8CB65A7-23BE-45A9-9A9B-AA5E860F9E60}">
      <text>
        <t>[Threaded comment]
Your version of Excel allows you to read this threaded comment; however, any edits to it will get removed if the file is opened in a newer version of Excel. Learn more: https://go.microsoft.com/fwlink/?linkid=870924
Comment:
    Adjustment as per bilateral reconciliation</t>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tc={CEA1EF39-23FE-4400-819F-B6375382491B}</author>
  </authors>
  <commentList>
    <comment ref="D20" authorId="0" shapeId="0" xr:uid="{CEA1EF39-23FE-4400-819F-B6375382491B}">
      <text>
        <t>[Threaded comment]
Your version of Excel allows you to read this threaded comment; however, any edits to it will get removed if the file is opened in a newer version of Excel. Learn more: https://go.microsoft.com/fwlink/?linkid=870924
Comment:
    Adjustment as per bilateral reconciliation</t>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tc={50F1A08F-5364-41FB-8B91-DA36D586A4D1}</author>
  </authors>
  <commentList>
    <comment ref="D20" authorId="0" shapeId="0" xr:uid="{50F1A08F-5364-41FB-8B91-DA36D586A4D1}">
      <text>
        <t>[Threaded comment]
Your version of Excel allows you to read this threaded comment; however, any edits to it will get removed if the file is opened in a newer version of Excel. Learn more: https://go.microsoft.com/fwlink/?linkid=870924
Comment:
    Adjustment as per bilateral reconciliation</t>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tc={26A6C3F3-7530-469C-AEFE-3EA9D4A8CF77}</author>
  </authors>
  <commentList>
    <comment ref="D20" authorId="0" shapeId="0" xr:uid="{26A6C3F3-7530-469C-AEFE-3EA9D4A8CF77}">
      <text>
        <t>[Threaded comment]
Your version of Excel allows you to read this threaded comment; however, any edits to it will get removed if the file is opened in a newer version of Excel. Learn more: https://go.microsoft.com/fwlink/?linkid=870924
Comment:
    Adjustment as per bilateral reconciliation</t>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tc={C6A3FA63-62DE-4AEE-BBC1-804F6D4D3C59}</author>
  </authors>
  <commentList>
    <comment ref="D20" authorId="0" shapeId="0" xr:uid="{C6A3FA63-62DE-4AEE-BBC1-804F6D4D3C59}">
      <text>
        <t>[Threaded comment]
Your version of Excel allows you to read this threaded comment; however, any edits to it will get removed if the file is opened in a newer version of Excel. Learn more: https://go.microsoft.com/fwlink/?linkid=870924
Comment:
    Adjustment as per bilateral reconciliation</t>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tc={12D1188A-6C7A-47C8-96FA-BB78AA86C97D}</author>
  </authors>
  <commentList>
    <comment ref="D23" authorId="0" shapeId="0" xr:uid="{12D1188A-6C7A-47C8-96FA-BB78AA86C97D}">
      <text>
        <t>[Threaded comment]
Your version of Excel allows you to read this threaded comment; however, any edits to it will get removed if the file is opened in a newer version of Excel. Learn more: https://go.microsoft.com/fwlink/?linkid=870924
Comment:
    Adjustment as per bilateral reconciliation</t>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tc={3F80C775-FA20-4027-AE9F-11EFD9F11A25}</author>
  </authors>
  <commentList>
    <comment ref="D23" authorId="0" shapeId="0" xr:uid="{3F80C775-FA20-4027-AE9F-11EFD9F11A25}">
      <text>
        <t>[Threaded comment]
Your version of Excel allows you to read this threaded comment; however, any edits to it will get removed if the file is opened in a newer version of Excel. Learn more: https://go.microsoft.com/fwlink/?linkid=870924
Comment:
    Adjustment as per bilateral reconciliation</t>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tc={BD0C75FC-12E0-46AF-88CE-8FEF49EC310F}</author>
  </authors>
  <commentList>
    <comment ref="D23" authorId="0" shapeId="0" xr:uid="{BD0C75FC-12E0-46AF-88CE-8FEF49EC310F}">
      <text>
        <t>[Threaded comment]
Your version of Excel allows you to read this threaded comment; however, any edits to it will get removed if the file is opened in a newer version of Excel. Learn more: https://go.microsoft.com/fwlink/?linkid=870924
Comment:
    Adjustment as per bilateral reconciliation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ajibadem</author>
  </authors>
  <commentList>
    <comment ref="G64" authorId="0" shapeId="0" xr:uid="{05582665-3315-4F6C-8C73-470F1DA36E2F}">
      <text>
        <r>
          <rPr>
            <b/>
            <sz val="8"/>
            <color indexed="81"/>
            <rFont val="Tahoma"/>
            <family val="2"/>
          </rPr>
          <t>ajibadem:</t>
        </r>
        <r>
          <rPr>
            <sz val="8"/>
            <color indexed="81"/>
            <rFont val="Tahoma"/>
            <family val="2"/>
          </rPr>
          <t xml:space="preserve">
Agree amount to what is on the Status main page.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tc={6F455D61-9E54-4BDD-85D3-A67482821E16}</author>
  </authors>
  <commentList>
    <comment ref="F10" authorId="0" shapeId="0" xr:uid="{6F455D61-9E54-4BDD-85D3-A67482821E16}">
      <text>
        <t>[Threaded comment]
Your version of Excel allows you to read this threaded comment; however, any edits to it will get removed if the file is opened in a newer version of Excel. Learn more: https://go.microsoft.com/fwlink/?linkid=870924
Comment:
    Deferred contribution from Australia</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Girma Gina</author>
    <author>tc={C8E410B6-889B-4539-8C38-EFD6DA9B7683}</author>
    <author>tc={81C7A460-8C21-4EC6-8353-317C38F2D3DF}</author>
  </authors>
  <commentList>
    <comment ref="D10" authorId="0" shapeId="0" xr:uid="{4AAA3B39-6D81-4B9A-8C9B-79D0D931315A}">
      <text>
        <r>
          <rPr>
            <b/>
            <sz val="9"/>
            <color indexed="81"/>
            <rFont val="Tahoma"/>
            <family val="2"/>
          </rPr>
          <t>Girma Gina:</t>
        </r>
        <r>
          <rPr>
            <sz val="9"/>
            <color indexed="81"/>
            <rFont val="Tahoma"/>
            <family val="2"/>
          </rPr>
          <t xml:space="preserve">
Bilateral approved at the 92nd meeting that Australia requested to be transferred to UNDP 30/01/2024</t>
        </r>
      </text>
    </comment>
    <comment ref="D24" authorId="1" shapeId="0" xr:uid="{C8E410B6-889B-4539-8C38-EFD6DA9B7683}">
      <text>
        <t>[Threaded comment]
Your version of Excel allows you to read this threaded comment; however, any edits to it will get removed if the file is opened in a newer version of Excel. Learn more: https://go.microsoft.com/fwlink/?linkid=870924
Comment:
    Bilateral approved at 92nd and transfer of projects to UNDP as per 92nd decision and 93rd meeting</t>
      </text>
    </comment>
    <comment ref="D32" authorId="2" shapeId="0" xr:uid="{81C7A460-8C21-4EC6-8353-317C38F2D3DF}">
      <text>
        <t>[Threaded comment]
Your version of Excel allows you to read this threaded comment; however, any edits to it will get removed if the file is opened in a newer version of Excel. Learn more: https://go.microsoft.com/fwlink/?linkid=870924
Comment:
    Bilateral 93rd meeting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Girma Gina</author>
    <author>tc={42158F13-B374-4B46-86DC-194E324B76F7}</author>
  </authors>
  <commentList>
    <comment ref="D11" authorId="0" shapeId="0" xr:uid="{174332BE-F7B6-4DB8-8F25-D3155C8E4E56}">
      <text>
        <r>
          <rPr>
            <b/>
            <sz val="9"/>
            <color indexed="81"/>
            <rFont val="Tahoma"/>
            <family val="2"/>
          </rPr>
          <t>Girma Gina:</t>
        </r>
        <r>
          <rPr>
            <sz val="9"/>
            <color indexed="81"/>
            <rFont val="Tahoma"/>
            <family val="2"/>
          </rPr>
          <t xml:space="preserve">
Bilateral approved at 88th meeting</t>
        </r>
      </text>
    </comment>
    <comment ref="D24" authorId="1" shapeId="0" xr:uid="{42158F13-B374-4B46-86DC-194E324B76F7}">
      <text>
        <t>[Threaded comment]
Your version of Excel allows you to read this threaded comment; however, any edits to it will get removed if the file is opened in a newer version of Excel. Learn more: https://go.microsoft.com/fwlink/?linkid=870924
Comment:
    Bilateral 90th ExCom 07 July 2022 and 91st Excom dd 28 Dec 2022</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tc={95602D43-0518-46FC-8DC3-8B784149C5E4}</author>
    <author>tc={F01F2486-62F1-4B3D-8D34-9C3B2987B8CD}</author>
    <author>tc={03BDAC45-F2E4-4F2E-A012-E00F9ABEC245}</author>
    <author>Girma Gina</author>
    <author>tc={0B6E999B-FBAF-4602-BD8C-37C34FA53E15}</author>
  </authors>
  <commentList>
    <comment ref="D23" authorId="0" shapeId="0" xr:uid="{95602D43-0518-46FC-8DC3-8B784149C5E4}">
      <text>
        <t>[Threaded comment]
Your version of Excel allows you to read this threaded comment; however, any edits to it will get removed if the file is opened in a newer version of Excel. Learn more: https://go.microsoft.com/fwlink/?linkid=870924
Comment:
    Bilateral approved at 86th ExCom and US$6,747 return of bilateral to the 87th ExCom
Reply:
    Difference of $30,250 arose because of the FERM rate difference between 2018/20 and 2021/23
Reply:
    86th ExCom decided to offset France's 2020 contribution for the bilateral, but invoice done in 2021/22
Reply:
    Bilateral return ExCom decision 91/3 (a)(vi) US$21,199</t>
      </text>
    </comment>
    <comment ref="D24" authorId="1" shapeId="0" xr:uid="{F01F2486-62F1-4B3D-8D34-9C3B2987B8CD}">
      <text>
        <t>[Threaded comment]
Your version of Excel allows you to read this threaded comment; however, any edits to it will get removed if the file is opened in a newer version of Excel. Learn more: https://go.microsoft.com/fwlink/?linkid=870924
Comment:
    US$1,102,511 at 87th ExCom US$3,214,121 at 88th ExCom; balance to be transferred to 2022</t>
      </text>
    </comment>
    <comment ref="D31" authorId="2" shapeId="0" xr:uid="{03BDAC45-F2E4-4F2E-A012-E00F9ABEC245}">
      <text>
        <t>[Threaded comment]
Your version of Excel allows you to read this threaded comment; however, any edits to it will get removed if the file is opened in a newer version of Excel. Learn more: https://go.microsoft.com/fwlink/?linkid=870924
Comment:
    Bilateral approved at 88th ExCom</t>
      </text>
    </comment>
    <comment ref="C32" authorId="3" shapeId="0" xr:uid="{6056D086-3AA5-4D59-9187-D56C597507CE}">
      <text>
        <r>
          <rPr>
            <b/>
            <sz val="9"/>
            <color indexed="81"/>
            <rFont val="Tahoma"/>
            <family val="2"/>
          </rPr>
          <t>Girma Gina:</t>
        </r>
        <r>
          <rPr>
            <sz val="9"/>
            <color indexed="81"/>
            <rFont val="Tahoma"/>
            <family val="2"/>
          </rPr>
          <t xml:space="preserve">
Japan's instruction to transfer US$271,200 to UNEP ref. email dd 28/02/22</t>
        </r>
      </text>
    </comment>
    <comment ref="D32" authorId="4" shapeId="0" xr:uid="{0B6E999B-FBAF-4602-BD8C-37C34FA53E15}">
      <text>
        <t>[Threaded comment]
Your version of Excel allows you to read this threaded comment; however, any edits to it will get removed if the file is opened in a newer version of Excel. Learn more: https://go.microsoft.com/fwlink/?linkid=870924
Comment:
    Approved 87th and 88th ExCom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tc={7A63BFF3-56A5-4366-97AE-E67630A98965}</author>
    <author>tc={74F000F5-243F-4633-B4F6-C0A2C74B6C4C}</author>
  </authors>
  <commentList>
    <comment ref="D16" authorId="0" shapeId="0" xr:uid="{7A63BFF3-56A5-4366-97AE-E67630A98965}">
      <text>
        <t>[Threaded comment]
Your version of Excel allows you to read this threaded comment; however, any edits to it will get removed if the file is opened in a newer version of Excel. Learn more: https://go.microsoft.com/fwlink/?linkid=870924
Comment:
    Email request from Phillipe on 24/09/2019
Reply:
    US$42,800 85th ISA</t>
      </text>
    </comment>
    <comment ref="D23" authorId="1" shapeId="0" xr:uid="{74F000F5-243F-4633-B4F6-C0A2C74B6C4C}">
      <text>
        <t>[Threaded comment]
Your version of Excel allows you to read this threaded comment; however, any edits to it will get removed if the file is opened in a newer version of Excel. Learn more: https://go.microsoft.com/fwlink/?linkid=870924
Comment:
    84th ExCom bilateral approval
Reply:
    US5,085 85th ISA
Reply:
    87th ExCom Cash transfer due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tc={7D76BCFE-8940-48D0-AFF9-CE83BFEE5282}</author>
    <author>tc={1F92A21C-2F77-40C4-8872-E3BAEDB377A9}</author>
    <author>tc={C831BBF8-190D-438C-A024-98B1D153B605}</author>
    <author>tc={48529FD9-7CE9-44CB-87E6-2938AA58AADF}</author>
    <author>tc={100460EE-D6BF-4935-98D6-9839A47D353D}</author>
    <author>tc={3C5974EA-09B2-4AFB-964F-8F4FBF7E71DF}</author>
    <author>tc={93003BFA-4C6D-4EBB-BB5B-08F8D60B9699}</author>
  </authors>
  <commentList>
    <comment ref="D16" authorId="0" shapeId="0" xr:uid="{7D76BCFE-8940-48D0-AFF9-CE83BFEE5282}">
      <text>
        <t>[Threaded comment]
Your version of Excel allows you to read this threaded comment; however, any edits to it will get removed if the file is opened in a newer version of Excel. Learn more: https://go.microsoft.com/fwlink/?linkid=870924
Comment:
    Email request from Phillipe on 24/09/2019</t>
      </text>
    </comment>
    <comment ref="C24" authorId="1" shapeId="0" xr:uid="{1F92A21C-2F77-40C4-8872-E3BAEDB377A9}">
      <text>
        <t>[Threaded comment]
Your version of Excel allows you to read this threaded comment; however, any edits to it will get removed if the file is opened in a newer version of Excel. Learn more: https://go.microsoft.com/fwlink/?linkid=870924
Comment:
    US$304,950 is bilateral from the additional contribution that Germany paid without deducting it.</t>
      </text>
    </comment>
    <comment ref="D24" authorId="2" shapeId="0" xr:uid="{C831BBF8-190D-438C-A024-98B1D153B605}">
      <text>
        <t>[Threaded comment]
Your version of Excel allows you to read this threaded comment; however, any edits to it will get removed if the file is opened in a newer version of Excel. Learn more: https://go.microsoft.com/fwlink/?linkid=870924
Comment:
    US$1,852,533.4 bilateral approved by 82nd ExCom
Reply:
    $1,367,733.6 portion of 84th ExCom approval</t>
      </text>
    </comment>
    <comment ref="C25" authorId="3" shapeId="0" xr:uid="{48529FD9-7CE9-44CB-87E6-2938AA58AADF}">
      <text>
        <t>[Threaded comment]
Your version of Excel allows you to read this threaded comment; however, any edits to it will get removed if the file is opened in a newer version of Excel. Learn more: https://go.microsoft.com/fwlink/?linkid=870924
Comment:
    From Greece payment on 29/12/2021 US$8,592,814.10</t>
      </text>
    </comment>
    <comment ref="D31" authorId="4" shapeId="0" xr:uid="{100460EE-D6BF-4935-98D6-9839A47D353D}">
      <text>
        <t>[Threaded comment]
Your version of Excel allows you to read this threaded comment; however, any edits to it will get removed if the file is opened in a newer version of Excel. Learn more: https://go.microsoft.com/fwlink/?linkid=870924
Comment:
    84th Excom approval</t>
      </text>
    </comment>
    <comment ref="C32" authorId="5" shapeId="0" xr:uid="{3C5974EA-09B2-4AFB-964F-8F4FBF7E71DF}">
      <text>
        <t>[Threaded comment]
Your version of Excel allows you to read this threaded comment; however, any edits to it will get removed if the file is opened in a newer version of Excel. Learn more: https://go.microsoft.com/fwlink/?linkid=870924
Comment:
    MOFA &amp; MOE invoices settled and on 17/03/2020 MoF settled the balance</t>
      </text>
    </comment>
    <comment ref="D32" authorId="6" shapeId="0" xr:uid="{93003BFA-4C6D-4EBB-BB5B-08F8D60B9699}">
      <text>
        <t>[Threaded comment]
Your version of Excel allows you to read this threaded comment; however, any edits to it will get removed if the file is opened in a newer version of Excel. Learn more: https://go.microsoft.com/fwlink/?linkid=870924
Comment:
    84th ExCom meeting approval
Reply:
    Paid to WB on 06 March 2020</t>
      </text>
    </comment>
  </commentList>
</comments>
</file>

<file path=xl/sharedStrings.xml><?xml version="1.0" encoding="utf-8"?>
<sst xmlns="http://schemas.openxmlformats.org/spreadsheetml/2006/main" count="3052" uniqueCount="292">
  <si>
    <t>Annex I</t>
  </si>
  <si>
    <t>Page 1</t>
  </si>
  <si>
    <t>TRUST  FUND FOR THE  MULTILATERAL FUND FOR THE IMPLEMENTATION OF THE MONTREAL PROTOCOL</t>
  </si>
  <si>
    <t>INCOME</t>
  </si>
  <si>
    <t>Contributions received:</t>
  </si>
  <si>
    <t xml:space="preserve"> -     Cash payments including note encashments</t>
  </si>
  <si>
    <t xml:space="preserve"> -     Promissory notes held</t>
  </si>
  <si>
    <t xml:space="preserve"> -     Bilateral cooperation</t>
  </si>
  <si>
    <t xml:space="preserve"> -     Interest earned *</t>
  </si>
  <si>
    <t xml:space="preserve"> -     Miscellaneous income</t>
  </si>
  <si>
    <t>Total Income</t>
  </si>
  <si>
    <t xml:space="preserve"> -     UNDP </t>
  </si>
  <si>
    <t xml:space="preserve"> -     UNEP</t>
  </si>
  <si>
    <t xml:space="preserve"> -     UNIDO</t>
  </si>
  <si>
    <r>
      <t>Unspecified projects</t>
    </r>
    <r>
      <rPr>
        <sz val="12"/>
        <color indexed="10"/>
        <rFont val="Times New Roman"/>
        <family val="1"/>
      </rPr>
      <t xml:space="preserve"> </t>
    </r>
  </si>
  <si>
    <t>-</t>
  </si>
  <si>
    <t>Less Adjustments</t>
  </si>
  <si>
    <t xml:space="preserve">Total allocations to implementing agencies </t>
  </si>
  <si>
    <t>Technical Audit costs (1998-2010)</t>
  </si>
  <si>
    <t>Information Strategy costs (2003-2004)</t>
  </si>
  <si>
    <t xml:space="preserve"> -     includes provision for Network maintenance costs for 2004</t>
  </si>
  <si>
    <t>Bilateral cooperation</t>
  </si>
  <si>
    <t>Provision for fixed-exchange-rate mechanism's fluctuations</t>
  </si>
  <si>
    <t xml:space="preserve"> -     losses/(gains) in value</t>
  </si>
  <si>
    <t>Total allocations and  provisions</t>
  </si>
  <si>
    <t xml:space="preserve">Promissory Notes:           </t>
  </si>
  <si>
    <t>BALANCE  AVAILABLE   FOR  NEW  ALLOCATIONS</t>
  </si>
  <si>
    <t>Page 2</t>
  </si>
  <si>
    <t>Description</t>
  </si>
  <si>
    <t>1991-1993</t>
  </si>
  <si>
    <t>1994-1996</t>
  </si>
  <si>
    <t>1997-1999</t>
  </si>
  <si>
    <t>2000-2002</t>
  </si>
  <si>
    <t>2003-2005</t>
  </si>
  <si>
    <t>2006-2008</t>
  </si>
  <si>
    <t>2009-2011</t>
  </si>
  <si>
    <t>2012-2014</t>
  </si>
  <si>
    <t>2015-2017</t>
  </si>
  <si>
    <t>2018-2020</t>
  </si>
  <si>
    <t>Pledged contributions</t>
  </si>
  <si>
    <t>Cash payments/received</t>
  </si>
  <si>
    <t>Bilateral assistance</t>
  </si>
  <si>
    <t>Promissory notes</t>
  </si>
  <si>
    <t>Total payments</t>
  </si>
  <si>
    <t>Disputed contributions</t>
  </si>
  <si>
    <t>Outstanding pledges</t>
  </si>
  <si>
    <t>Payments %age to pledges</t>
  </si>
  <si>
    <t>Interest earned</t>
  </si>
  <si>
    <t xml:space="preserve">                                                       </t>
  </si>
  <si>
    <t>Miscellaneous income</t>
  </si>
  <si>
    <t>TOTAL INCOME</t>
  </si>
  <si>
    <t>Accumulated figures</t>
  </si>
  <si>
    <t>Total pledges</t>
  </si>
  <si>
    <t>Total income</t>
  </si>
  <si>
    <t>Total outstanding contributions</t>
  </si>
  <si>
    <t>As % to total pledges</t>
  </si>
  <si>
    <t>Outstanding contributions for certain Countries with Economies in Transition (CEITs)</t>
  </si>
  <si>
    <t>CEITs' outstandings %age to pledges</t>
  </si>
  <si>
    <t>PS: CEITs are Azerbaijan, Belarus, Bulgaria, Czech Republic, Estonia, Hungary, Latvia, Lithuania, Poland, Russian Federation, Slovakia, Slovenia, Tajikistan, Ukraine and Uzbekistan, including Turkmenistan up to 2004 as per decision XVI/39.</t>
  </si>
  <si>
    <t>Page 3</t>
  </si>
  <si>
    <t>Party</t>
  </si>
  <si>
    <t>Agreed Contributions</t>
  </si>
  <si>
    <t>Cash Payments</t>
  </si>
  <si>
    <t>Bilateral Assistance</t>
  </si>
  <si>
    <t>Promissory Notes</t>
  </si>
  <si>
    <t>Outstanding Contributions</t>
  </si>
  <si>
    <t>Exchange (Gain)/Loss. NB:Negative amount = Gain</t>
  </si>
  <si>
    <t>Andorra</t>
  </si>
  <si>
    <t>Australia*</t>
  </si>
  <si>
    <t>Austria</t>
  </si>
  <si>
    <t>Azerbaijan</t>
  </si>
  <si>
    <t>Belarus</t>
  </si>
  <si>
    <t>Belgium</t>
  </si>
  <si>
    <t>Bulgaria</t>
  </si>
  <si>
    <t>Canada*</t>
  </si>
  <si>
    <t>Croatia</t>
  </si>
  <si>
    <t>Cyprus</t>
  </si>
  <si>
    <t>Czech Republic</t>
  </si>
  <si>
    <t>Denmark</t>
  </si>
  <si>
    <t>Estonia</t>
  </si>
  <si>
    <t>Finland</t>
  </si>
  <si>
    <t>France</t>
  </si>
  <si>
    <t>Germany</t>
  </si>
  <si>
    <t>Greece</t>
  </si>
  <si>
    <t>Holy See</t>
  </si>
  <si>
    <t>Hungary</t>
  </si>
  <si>
    <t>Iceland</t>
  </si>
  <si>
    <t>Ireland</t>
  </si>
  <si>
    <t>Israel</t>
  </si>
  <si>
    <t>Italy</t>
  </si>
  <si>
    <t>Japan</t>
  </si>
  <si>
    <t>Kazakhstan</t>
  </si>
  <si>
    <t>Kuwait</t>
  </si>
  <si>
    <t>Latvia</t>
  </si>
  <si>
    <t>Liechtenstein</t>
  </si>
  <si>
    <t>Lithuania</t>
  </si>
  <si>
    <t>Luxembourg</t>
  </si>
  <si>
    <t>Malta</t>
  </si>
  <si>
    <t>Monaco</t>
  </si>
  <si>
    <t>Netherlands</t>
  </si>
  <si>
    <t>New Zealand</t>
  </si>
  <si>
    <t>Norway</t>
  </si>
  <si>
    <t>Panama</t>
  </si>
  <si>
    <t>Poland</t>
  </si>
  <si>
    <t>Portugal</t>
  </si>
  <si>
    <t>Romania</t>
  </si>
  <si>
    <t>Russian Federation</t>
  </si>
  <si>
    <t>San Marino</t>
  </si>
  <si>
    <t>Singapore</t>
  </si>
  <si>
    <t>Slovak Republic</t>
  </si>
  <si>
    <t>Slovenia</t>
  </si>
  <si>
    <t>South Africa</t>
  </si>
  <si>
    <t>Spain</t>
  </si>
  <si>
    <t>Sweden</t>
  </si>
  <si>
    <t>Switzerland</t>
  </si>
  <si>
    <t>Tajikistan</t>
  </si>
  <si>
    <t>Turkmenistan**</t>
  </si>
  <si>
    <t>Ukraine</t>
  </si>
  <si>
    <t>United Arab Emirates</t>
  </si>
  <si>
    <t>United Kingdom</t>
  </si>
  <si>
    <t>United States of America</t>
  </si>
  <si>
    <t>Uzbekistan</t>
  </si>
  <si>
    <t>SUB-TOTAL</t>
  </si>
  <si>
    <t>Disputed Contributions***</t>
  </si>
  <si>
    <t>TOTAL</t>
  </si>
  <si>
    <r>
      <t>NB: (*) The bilateral assistance recorded for Australia and Canada was adjusted following approvals at the 39</t>
    </r>
    <r>
      <rPr>
        <vertAlign val="superscript"/>
        <sz val="10"/>
        <rFont val="Times New Roman"/>
        <family val="1"/>
      </rPr>
      <t xml:space="preserve">th </t>
    </r>
    <r>
      <rPr>
        <sz val="10"/>
        <rFont val="Times New Roman"/>
        <family val="1"/>
      </rPr>
      <t>meeting and taking into consideration a reconciliation carried out by the Secretariat through the progress reports submitted to the 40</t>
    </r>
    <r>
      <rPr>
        <vertAlign val="superscript"/>
        <sz val="10"/>
        <rFont val="Times New Roman"/>
        <family val="1"/>
      </rPr>
      <t>th</t>
    </r>
    <r>
      <rPr>
        <sz val="10"/>
        <rFont val="Times New Roman"/>
        <family val="1"/>
      </rPr>
      <t xml:space="preserve"> meeting to read US $1,208,219 and US $6,449,438 instead of US $1,300,088 and US $6,414,880 respectively.  </t>
    </r>
  </si>
  <si>
    <t xml:space="preserve"> </t>
  </si>
  <si>
    <t>(**)  In accordance with decisions VI/5 and XVI/39 of the meeting of the Parties to the Montreal Protocol, Turkmenistan has been reclassified as operating under Article 5 in 2004 and therefore its contribution of US $5,764 for 2005 should be disregarded.</t>
  </si>
  <si>
    <t xml:space="preserve">(***) Amount netted off from outstanding contributions and are shown here for records only. </t>
  </si>
  <si>
    <t>Page 4</t>
  </si>
  <si>
    <t>Australia</t>
  </si>
  <si>
    <t>Canada</t>
  </si>
  <si>
    <t xml:space="preserve">France </t>
  </si>
  <si>
    <t xml:space="preserve">Germany </t>
  </si>
  <si>
    <t xml:space="preserve">Ireland </t>
  </si>
  <si>
    <t xml:space="preserve">Japan </t>
  </si>
  <si>
    <t xml:space="preserve">Sweden </t>
  </si>
  <si>
    <t xml:space="preserve">   Disputed Contributions(*)</t>
  </si>
  <si>
    <t xml:space="preserve">   TOTAL</t>
  </si>
  <si>
    <t>CEITs</t>
  </si>
  <si>
    <t>Page 5</t>
  </si>
  <si>
    <t>(*) Additional amount on disputed contributions relating to the United States of America.</t>
  </si>
  <si>
    <t>Page 7</t>
  </si>
  <si>
    <t>Page 8</t>
  </si>
  <si>
    <t>Page 9</t>
  </si>
  <si>
    <t>Page 10</t>
  </si>
  <si>
    <t>Page 11</t>
  </si>
  <si>
    <t>Page 12</t>
  </si>
  <si>
    <t>Page 13</t>
  </si>
  <si>
    <t>Page 14</t>
  </si>
  <si>
    <r>
      <t xml:space="preserve"> Status of Contributions for  </t>
    </r>
    <r>
      <rPr>
        <b/>
        <u/>
        <sz val="12.5"/>
        <rFont val="Times New Roman"/>
        <family val="1"/>
      </rPr>
      <t>2012 - 2014</t>
    </r>
    <r>
      <rPr>
        <b/>
        <sz val="12.5"/>
        <rFont val="Times New Roman"/>
        <family val="1"/>
      </rPr>
      <t xml:space="preserve"> (US$)</t>
    </r>
  </si>
  <si>
    <t>Page 15</t>
  </si>
  <si>
    <r>
      <t xml:space="preserve">Status of Contributions for  </t>
    </r>
    <r>
      <rPr>
        <b/>
        <u/>
        <sz val="12.5"/>
        <rFont val="Times New Roman"/>
        <family val="1"/>
      </rPr>
      <t>2014</t>
    </r>
    <r>
      <rPr>
        <b/>
        <sz val="12.5"/>
        <rFont val="Times New Roman"/>
        <family val="1"/>
      </rPr>
      <t xml:space="preserve"> (US$)</t>
    </r>
  </si>
  <si>
    <r>
      <t xml:space="preserve">Status of Contributions for  </t>
    </r>
    <r>
      <rPr>
        <b/>
        <u/>
        <sz val="12.5"/>
        <rFont val="Times New Roman"/>
        <family val="1"/>
      </rPr>
      <t>2013</t>
    </r>
    <r>
      <rPr>
        <b/>
        <sz val="12.5"/>
        <rFont val="Times New Roman"/>
        <family val="1"/>
      </rPr>
      <t xml:space="preserve"> (US$)</t>
    </r>
  </si>
  <si>
    <t>Page 16</t>
  </si>
  <si>
    <r>
      <t xml:space="preserve"> Status of Contributions for  </t>
    </r>
    <r>
      <rPr>
        <b/>
        <u/>
        <sz val="12.5"/>
        <rFont val="Times New Roman"/>
        <family val="1"/>
      </rPr>
      <t>2012</t>
    </r>
    <r>
      <rPr>
        <b/>
        <sz val="12.5"/>
        <rFont val="Times New Roman"/>
        <family val="1"/>
      </rPr>
      <t xml:space="preserve"> (US$)</t>
    </r>
  </si>
  <si>
    <t>Page 17</t>
  </si>
  <si>
    <r>
      <t xml:space="preserve"> Summary Status of Contributions for  </t>
    </r>
    <r>
      <rPr>
        <b/>
        <u/>
        <sz val="12.5"/>
        <rFont val="Times New Roman"/>
        <family val="1"/>
      </rPr>
      <t>2009-2011</t>
    </r>
    <r>
      <rPr>
        <b/>
        <sz val="12.5"/>
        <rFont val="Times New Roman"/>
        <family val="1"/>
      </rPr>
      <t xml:space="preserve"> (US$)</t>
    </r>
  </si>
  <si>
    <t>Page 18</t>
  </si>
  <si>
    <r>
      <t xml:space="preserve"> Status of Contributions for  </t>
    </r>
    <r>
      <rPr>
        <b/>
        <u/>
        <sz val="12.5"/>
        <rFont val="Times New Roman"/>
        <family val="1"/>
      </rPr>
      <t>2011</t>
    </r>
    <r>
      <rPr>
        <b/>
        <sz val="12.5"/>
        <rFont val="Times New Roman"/>
        <family val="1"/>
      </rPr>
      <t xml:space="preserve"> (US$)</t>
    </r>
  </si>
  <si>
    <t>Page 19</t>
  </si>
  <si>
    <r>
      <t xml:space="preserve">Status of Contributions for </t>
    </r>
    <r>
      <rPr>
        <b/>
        <u/>
        <sz val="11"/>
        <rFont val="Times New Roman"/>
        <family val="1"/>
      </rPr>
      <t>2010</t>
    </r>
  </si>
  <si>
    <t>(*) Additional amount on Disputed contribution relating to the USA.</t>
  </si>
  <si>
    <t>Page 20</t>
  </si>
  <si>
    <r>
      <t xml:space="preserve"> Status of Contributions for  </t>
    </r>
    <r>
      <rPr>
        <b/>
        <u/>
        <sz val="12.5"/>
        <rFont val="Times New Roman"/>
        <family val="1"/>
      </rPr>
      <t>2009</t>
    </r>
  </si>
  <si>
    <t>Page 21</t>
  </si>
  <si>
    <r>
      <t xml:space="preserve"> Status of Contributions for </t>
    </r>
    <r>
      <rPr>
        <b/>
        <u/>
        <sz val="11.5"/>
        <rFont val="Times New Roman"/>
        <family val="1"/>
      </rPr>
      <t>2006-2008</t>
    </r>
  </si>
  <si>
    <t xml:space="preserve">Germany* </t>
  </si>
  <si>
    <t>United States of America**</t>
  </si>
  <si>
    <t>Disputed Contributions**</t>
  </si>
  <si>
    <r>
      <t>* Bilateral assistance of US $572,817 approved at the 51</t>
    </r>
    <r>
      <rPr>
        <vertAlign val="superscript"/>
        <sz val="10"/>
        <rFont val="Times New Roman"/>
        <family val="1"/>
      </rPr>
      <t>st</t>
    </r>
    <r>
      <rPr>
        <sz val="10"/>
        <rFont val="Times New Roman"/>
        <family val="1"/>
      </rPr>
      <t xml:space="preserve"> Meeting of the Excom applied in 2008 and US $353,814 approved at the 52</t>
    </r>
    <r>
      <rPr>
        <vertAlign val="superscript"/>
        <sz val="10"/>
        <rFont val="Times New Roman"/>
        <family val="1"/>
      </rPr>
      <t>nd</t>
    </r>
    <r>
      <rPr>
        <sz val="10"/>
        <rFont val="Times New Roman"/>
        <family val="1"/>
      </rPr>
      <t xml:space="preserve"> Meeting of the Excom applied in 2008 for Germany.</t>
    </r>
  </si>
  <si>
    <t xml:space="preserve">** The total contribution shown here for the USA for the replenishment period is after netting off the disputed amount of US $32,471,642. </t>
  </si>
  <si>
    <t>Page 22</t>
  </si>
  <si>
    <r>
      <t xml:space="preserve"> Status of Contributions for </t>
    </r>
    <r>
      <rPr>
        <b/>
        <u/>
        <sz val="12"/>
        <rFont val="Times New Roman"/>
        <family val="1"/>
      </rPr>
      <t>2008</t>
    </r>
  </si>
  <si>
    <t>Germany*</t>
  </si>
  <si>
    <r>
      <t>(*) Bilateral assistance of US $572,817 approved at the 51</t>
    </r>
    <r>
      <rPr>
        <vertAlign val="superscript"/>
        <sz val="10"/>
        <rFont val="Times New Roman"/>
        <family val="1"/>
      </rPr>
      <t>st</t>
    </r>
    <r>
      <rPr>
        <sz val="10"/>
        <rFont val="Times New Roman"/>
        <family val="1"/>
      </rPr>
      <t xml:space="preserve"> Meeting of the Excom applied in 2008 and US $353,814 approved at the 52</t>
    </r>
    <r>
      <rPr>
        <vertAlign val="superscript"/>
        <sz val="10"/>
        <rFont val="Times New Roman"/>
        <family val="1"/>
      </rPr>
      <t>nd</t>
    </r>
    <r>
      <rPr>
        <sz val="10"/>
        <rFont val="Times New Roman"/>
        <family val="1"/>
      </rPr>
      <t xml:space="preserve"> Meeting of the Excom applied </t>
    </r>
  </si>
  <si>
    <t xml:space="preserve">in 2008.  </t>
  </si>
  <si>
    <t>(**) Balance of USA Disputed contribution of US $32,471,642 of which US $14,889,724 was applied to 2007.</t>
  </si>
  <si>
    <t>Page 23</t>
  </si>
  <si>
    <r>
      <t xml:space="preserve">Status of Contributions for </t>
    </r>
    <r>
      <rPr>
        <b/>
        <u/>
        <sz val="10"/>
        <rFont val="CG Times"/>
        <family val="1"/>
      </rPr>
      <t>2007</t>
    </r>
  </si>
  <si>
    <t>United States of America*</t>
  </si>
  <si>
    <t>Disputed Contributions(*)</t>
  </si>
  <si>
    <t xml:space="preserve">(*) Portion of total Disputed contribution of US $32,471,642 partly offset in 2007 and the balance in 2008. </t>
  </si>
  <si>
    <t>Page 24</t>
  </si>
  <si>
    <r>
      <t xml:space="preserve">Status of Contributions for </t>
    </r>
    <r>
      <rPr>
        <b/>
        <u/>
        <sz val="12"/>
        <rFont val="Times"/>
        <family val="1"/>
      </rPr>
      <t>2006</t>
    </r>
  </si>
  <si>
    <t>Page 25</t>
  </si>
  <si>
    <r>
      <t xml:space="preserve"> Status of Contributions for </t>
    </r>
    <r>
      <rPr>
        <b/>
        <u/>
        <sz val="10"/>
        <rFont val="CG Times"/>
        <family val="1"/>
      </rPr>
      <t>2003 - 2005</t>
    </r>
  </si>
  <si>
    <t>Turkmenistan</t>
  </si>
  <si>
    <t>Page 26</t>
  </si>
  <si>
    <r>
      <t xml:space="preserve"> Status of Contributions for </t>
    </r>
    <r>
      <rPr>
        <b/>
        <u/>
        <sz val="10"/>
        <rFont val="CG Times"/>
        <family val="1"/>
      </rPr>
      <t>2005</t>
    </r>
  </si>
  <si>
    <t>Page 27</t>
  </si>
  <si>
    <r>
      <t xml:space="preserve"> Status of Contributions for </t>
    </r>
    <r>
      <rPr>
        <b/>
        <u/>
        <sz val="10"/>
        <rFont val="CG Times"/>
        <family val="1"/>
      </rPr>
      <t>2004</t>
    </r>
  </si>
  <si>
    <t>Italy*</t>
  </si>
  <si>
    <t>* Italy's bilateral cooperation amount was approved at the 46th meeting in 2005.</t>
  </si>
  <si>
    <t>Page 28</t>
  </si>
  <si>
    <r>
      <t xml:space="preserve">Status of Contributions for </t>
    </r>
    <r>
      <rPr>
        <b/>
        <u/>
        <sz val="12"/>
        <rFont val="Times New Roman"/>
        <family val="1"/>
      </rPr>
      <t>2003</t>
    </r>
  </si>
  <si>
    <t>this fig. added and needs support 543832</t>
  </si>
  <si>
    <r>
      <t xml:space="preserve">Status of Contributions for </t>
    </r>
    <r>
      <rPr>
        <b/>
        <u/>
        <sz val="12"/>
        <rFont val="Times New Roman"/>
        <family val="1"/>
      </rPr>
      <t>2000 - 2002</t>
    </r>
  </si>
  <si>
    <t>Page  30</t>
  </si>
  <si>
    <r>
      <t xml:space="preserve"> Status of Contributions for </t>
    </r>
    <r>
      <rPr>
        <b/>
        <u/>
        <sz val="12"/>
        <rFont val="Times New Roman"/>
        <family val="1"/>
      </rPr>
      <t>2002</t>
    </r>
  </si>
  <si>
    <t xml:space="preserve">Canada </t>
  </si>
  <si>
    <t>Page  31</t>
  </si>
  <si>
    <r>
      <t xml:space="preserve">Status of Contributions for </t>
    </r>
    <r>
      <rPr>
        <b/>
        <u/>
        <sz val="12"/>
        <rFont val="Times New Roman"/>
        <family val="1"/>
      </rPr>
      <t>2001</t>
    </r>
  </si>
  <si>
    <t>Page  32</t>
  </si>
  <si>
    <r>
      <t xml:space="preserve"> Status of Contributions for </t>
    </r>
    <r>
      <rPr>
        <b/>
        <u/>
        <sz val="12"/>
        <rFont val="Times New Roman"/>
        <family val="1"/>
      </rPr>
      <t>2000</t>
    </r>
  </si>
  <si>
    <t>Page  33</t>
  </si>
  <si>
    <r>
      <t xml:space="preserve">Status of Contributions for </t>
    </r>
    <r>
      <rPr>
        <b/>
        <u/>
        <sz val="12"/>
        <rFont val="Times New Roman"/>
        <family val="1"/>
      </rPr>
      <t>1997 - 1999</t>
    </r>
  </si>
  <si>
    <t>Payment not in yearly sheets but was in cumulative sheet</t>
  </si>
  <si>
    <t>Belgium 1/</t>
  </si>
  <si>
    <t>$103927 payment not in yrly sheets. Bil. Asst reduced</t>
  </si>
  <si>
    <t>PN payment reflected in cumulative sheet</t>
  </si>
  <si>
    <t>Bil asst adjustment in cumulative sheet</t>
  </si>
  <si>
    <t>1/ $108,480 transferred from bilateral cooperation to cash contribution as bilateral was not utilised, but cash paid instead.</t>
  </si>
  <si>
    <t>Page  34</t>
  </si>
  <si>
    <r>
      <t xml:space="preserve">Status of Contributions for </t>
    </r>
    <r>
      <rPr>
        <b/>
        <u/>
        <sz val="12"/>
        <rFont val="Times New Roman"/>
        <family val="1"/>
      </rPr>
      <t>1999</t>
    </r>
  </si>
  <si>
    <t>Brunei Darussalam</t>
  </si>
  <si>
    <t>Georgia</t>
  </si>
  <si>
    <t>Slovakia</t>
  </si>
  <si>
    <r>
      <t xml:space="preserve">Status of Contributions for </t>
    </r>
    <r>
      <rPr>
        <b/>
        <u/>
        <sz val="12"/>
        <rFont val="Times New Roman"/>
        <family val="1"/>
      </rPr>
      <t>1998</t>
    </r>
  </si>
  <si>
    <t>Japan(*)</t>
  </si>
  <si>
    <r>
      <t>NB:</t>
    </r>
    <r>
      <rPr>
        <sz val="12"/>
        <rFont val="Times New Roman"/>
        <family val="1"/>
      </rPr>
      <t xml:space="preserve">    (*)    Outstanding contribution withheld for bilateral cooperation.</t>
    </r>
  </si>
  <si>
    <t>Amount paid in March 2014</t>
  </si>
  <si>
    <r>
      <t xml:space="preserve">Status of Contributions for </t>
    </r>
    <r>
      <rPr>
        <b/>
        <u/>
        <sz val="12"/>
        <rFont val="Times New Roman"/>
        <family val="1"/>
      </rPr>
      <t>1997</t>
    </r>
  </si>
  <si>
    <t xml:space="preserve">Austria </t>
  </si>
  <si>
    <t xml:space="preserve">Page  37 </t>
  </si>
  <si>
    <r>
      <t xml:space="preserve">Status of Contributions for </t>
    </r>
    <r>
      <rPr>
        <b/>
        <u/>
        <sz val="12"/>
        <rFont val="Times New Roman"/>
        <family val="1"/>
      </rPr>
      <t>1994 - 1996</t>
    </r>
  </si>
  <si>
    <t>Disputed Contributions(**)</t>
  </si>
  <si>
    <t>NB:   (**)  Amounts for France, Germany, Italy, Japan and the United Kingdom  netted off from the 1996 contributions and are shown here for records only.</t>
  </si>
  <si>
    <t>Page  38</t>
  </si>
  <si>
    <r>
      <t xml:space="preserve">Status of Contributions for </t>
    </r>
    <r>
      <rPr>
        <b/>
        <u/>
        <sz val="12"/>
        <rFont val="Times New Roman"/>
        <family val="1"/>
      </rPr>
      <t>1996</t>
    </r>
  </si>
  <si>
    <t>Disputed Contributions</t>
  </si>
  <si>
    <r>
      <t xml:space="preserve">Status of Contributions for </t>
    </r>
    <r>
      <rPr>
        <b/>
        <u/>
        <sz val="12"/>
        <rFont val="Times New Roman"/>
        <family val="1"/>
      </rPr>
      <t>1995</t>
    </r>
  </si>
  <si>
    <r>
      <t xml:space="preserve">Status of Contributions for </t>
    </r>
    <r>
      <rPr>
        <b/>
        <u/>
        <sz val="12"/>
        <rFont val="Times New Roman"/>
        <family val="1"/>
      </rPr>
      <t>1994</t>
    </r>
  </si>
  <si>
    <t xml:space="preserve">Page  41 </t>
  </si>
  <si>
    <r>
      <t xml:space="preserve">Status of Contributions for </t>
    </r>
    <r>
      <rPr>
        <b/>
        <u/>
        <sz val="12"/>
        <rFont val="Times New Roman"/>
        <family val="1"/>
      </rPr>
      <t>1991 - 1993</t>
    </r>
  </si>
  <si>
    <t>$33558 overpayment of year 1993 was reduced in cumulative sheet.</t>
  </si>
  <si>
    <t>4 payments reflected in cumulative sheet and not yearly sheets</t>
  </si>
  <si>
    <r>
      <t xml:space="preserve">Status of Contributions for </t>
    </r>
    <r>
      <rPr>
        <b/>
        <u/>
        <sz val="12"/>
        <rFont val="Times New Roman"/>
        <family val="1"/>
      </rPr>
      <t>1993</t>
    </r>
  </si>
  <si>
    <r>
      <t xml:space="preserve">Status of Contributions for </t>
    </r>
    <r>
      <rPr>
        <b/>
        <u/>
        <sz val="12"/>
        <rFont val="Times New Roman"/>
        <family val="1"/>
      </rPr>
      <t>1992</t>
    </r>
  </si>
  <si>
    <r>
      <t xml:space="preserve">Status of Contributions for </t>
    </r>
    <r>
      <rPr>
        <b/>
        <u/>
        <sz val="12"/>
        <rFont val="Times New Roman"/>
        <family val="1"/>
      </rPr>
      <t>1991</t>
    </r>
  </si>
  <si>
    <t>Bahrain is in the replenishment list of the 3rd MoP with an amount of US$12,553 but not included in the Treasurer's list</t>
  </si>
  <si>
    <t>2021-2023</t>
  </si>
  <si>
    <t>Page 29</t>
  </si>
  <si>
    <t>Page  35</t>
  </si>
  <si>
    <t>Page  36</t>
  </si>
  <si>
    <t>Page  39</t>
  </si>
  <si>
    <t>Page  40</t>
  </si>
  <si>
    <t xml:space="preserve">Page  42 </t>
  </si>
  <si>
    <t>Page  43</t>
  </si>
  <si>
    <t>Page  44</t>
  </si>
  <si>
    <t>Page  45</t>
  </si>
  <si>
    <t xml:space="preserve">Page  46 </t>
  </si>
  <si>
    <t>ALLOCATIONS** AND PROVISIONS</t>
  </si>
  <si>
    <r>
      <t xml:space="preserve">Status of Contributions for  </t>
    </r>
    <r>
      <rPr>
        <b/>
        <u/>
        <sz val="12.5"/>
        <rFont val="Times New Roman"/>
        <family val="1"/>
      </rPr>
      <t>2015</t>
    </r>
    <r>
      <rPr>
        <b/>
        <sz val="12.5"/>
        <rFont val="Times New Roman"/>
        <family val="1"/>
      </rPr>
      <t xml:space="preserve"> (US$)</t>
    </r>
  </si>
  <si>
    <t xml:space="preserve"> -     World Bank</t>
  </si>
  <si>
    <t xml:space="preserve">(*) Additional amount on disputed contributions from the United States of America. </t>
  </si>
  <si>
    <t>*Addiontional amount on disputed contribution relating to Japan (US$1,295,383) and the United States of America (US$191,409).</t>
  </si>
  <si>
    <t>3 year scale for germany</t>
  </si>
  <si>
    <t>20% for bilateral cooperation</t>
  </si>
  <si>
    <t>Austria paid the full amount in 2021</t>
  </si>
  <si>
    <t>UNEP/OzL.Pro/ExCom/92/3</t>
  </si>
  <si>
    <r>
      <t xml:space="preserve">Status of Contributions for  </t>
    </r>
    <r>
      <rPr>
        <b/>
        <u/>
        <sz val="12.5"/>
        <rFont val="Times New Roman"/>
        <family val="1"/>
      </rPr>
      <t>2016</t>
    </r>
    <r>
      <rPr>
        <b/>
        <sz val="12.5"/>
        <rFont val="Times New Roman"/>
        <family val="1"/>
      </rPr>
      <t xml:space="preserve"> (US$)</t>
    </r>
  </si>
  <si>
    <t>Page 6</t>
  </si>
  <si>
    <t>*Additional amount on disputed contribution relates to the United States of America (US $2,429,948) and Japan's disputed contribution (US $1,295,383).</t>
  </si>
  <si>
    <t>UNEP/OzL.Pro/ExCom/86/3</t>
  </si>
  <si>
    <t>As at 31/12/2020</t>
  </si>
  <si>
    <t>UNEP/OzL.Pro/ExCom/94/3</t>
  </si>
  <si>
    <t>2024-2026</t>
  </si>
  <si>
    <t>1991-2024</t>
  </si>
  <si>
    <t>TABLE 1 : STATUS OF THE FUND FROM 1991-2024 (IN US DOLLARS)</t>
  </si>
  <si>
    <t>TABLE 2 : 1991 - 2024 SUMMARY STATUS OF CONTRIBUTIONS AND OTHER INCOME (US$)</t>
  </si>
  <si>
    <r>
      <t xml:space="preserve">TABLE 3 : </t>
    </r>
    <r>
      <rPr>
        <b/>
        <u/>
        <sz val="12.5"/>
        <rFont val="Times New Roman"/>
        <family val="1"/>
      </rPr>
      <t>1991-2024</t>
    </r>
    <r>
      <rPr>
        <b/>
        <sz val="12.5"/>
        <rFont val="Times New Roman"/>
        <family val="1"/>
      </rPr>
      <t xml:space="preserve">  Summary Status of Contributions (US$)</t>
    </r>
  </si>
  <si>
    <r>
      <t xml:space="preserve">TABLE 4 : Status of Contributions for  </t>
    </r>
    <r>
      <rPr>
        <b/>
        <u/>
        <sz val="12.5"/>
        <rFont val="Times New Roman"/>
        <family val="1"/>
      </rPr>
      <t>2024-2026</t>
    </r>
    <r>
      <rPr>
        <b/>
        <sz val="12.5"/>
        <rFont val="Times New Roman"/>
        <family val="1"/>
      </rPr>
      <t xml:space="preserve"> (US$)</t>
    </r>
  </si>
  <si>
    <r>
      <t xml:space="preserve">TABLE 5 : Status of Contributions for  </t>
    </r>
    <r>
      <rPr>
        <b/>
        <u/>
        <sz val="12.5"/>
        <rFont val="Times New Roman"/>
        <family val="1"/>
      </rPr>
      <t>2024</t>
    </r>
    <r>
      <rPr>
        <b/>
        <sz val="12.5"/>
        <rFont val="Times New Roman"/>
        <family val="1"/>
      </rPr>
      <t xml:space="preserve"> (US$)</t>
    </r>
  </si>
  <si>
    <r>
      <t xml:space="preserve">TABLE 6 : Status of Contributions for  </t>
    </r>
    <r>
      <rPr>
        <b/>
        <u/>
        <sz val="12.5"/>
        <rFont val="Times New Roman"/>
        <family val="1"/>
      </rPr>
      <t>2021-2023</t>
    </r>
    <r>
      <rPr>
        <b/>
        <sz val="12.5"/>
        <rFont val="Times New Roman"/>
        <family val="1"/>
      </rPr>
      <t xml:space="preserve"> (US$)</t>
    </r>
  </si>
  <si>
    <r>
      <t xml:space="preserve">TABLE 7 : Status of Contributions for  </t>
    </r>
    <r>
      <rPr>
        <b/>
        <u/>
        <sz val="12.5"/>
        <rFont val="Times New Roman"/>
        <family val="1"/>
      </rPr>
      <t>2023</t>
    </r>
    <r>
      <rPr>
        <b/>
        <sz val="12.5"/>
        <rFont val="Times New Roman"/>
        <family val="1"/>
      </rPr>
      <t xml:space="preserve"> (US$)</t>
    </r>
  </si>
  <si>
    <r>
      <t xml:space="preserve">TABLE 8 : Status of Contributions for  </t>
    </r>
    <r>
      <rPr>
        <b/>
        <u/>
        <sz val="12.5"/>
        <rFont val="Times New Roman"/>
        <family val="1"/>
      </rPr>
      <t>2022</t>
    </r>
    <r>
      <rPr>
        <b/>
        <sz val="12.5"/>
        <rFont val="Times New Roman"/>
        <family val="1"/>
      </rPr>
      <t xml:space="preserve"> (US$)</t>
    </r>
  </si>
  <si>
    <r>
      <t xml:space="preserve">TABLE 9 : Status of Contributions for  </t>
    </r>
    <r>
      <rPr>
        <b/>
        <u/>
        <sz val="12.5"/>
        <rFont val="Times New Roman"/>
        <family val="1"/>
      </rPr>
      <t>2021</t>
    </r>
    <r>
      <rPr>
        <b/>
        <sz val="12.5"/>
        <rFont val="Times New Roman"/>
        <family val="1"/>
      </rPr>
      <t xml:space="preserve"> (US$)</t>
    </r>
  </si>
  <si>
    <r>
      <t xml:space="preserve">TABLE 10 : Status of Contributions for  </t>
    </r>
    <r>
      <rPr>
        <b/>
        <u/>
        <sz val="12.5"/>
        <rFont val="Times New Roman"/>
        <family val="1"/>
      </rPr>
      <t>2018-2020</t>
    </r>
    <r>
      <rPr>
        <b/>
        <sz val="12.5"/>
        <rFont val="Times New Roman"/>
        <family val="1"/>
      </rPr>
      <t xml:space="preserve"> (US$)</t>
    </r>
  </si>
  <si>
    <r>
      <t xml:space="preserve">TABLE 11 : Status of Contributions for  </t>
    </r>
    <r>
      <rPr>
        <b/>
        <u/>
        <sz val="12.5"/>
        <rFont val="Times New Roman"/>
        <family val="1"/>
      </rPr>
      <t>2020</t>
    </r>
    <r>
      <rPr>
        <b/>
        <sz val="12.5"/>
        <rFont val="Times New Roman"/>
        <family val="1"/>
      </rPr>
      <t xml:space="preserve"> (US$)</t>
    </r>
  </si>
  <si>
    <r>
      <t xml:space="preserve">TABLE 12 : Status of Contributions for  </t>
    </r>
    <r>
      <rPr>
        <b/>
        <u/>
        <sz val="12.5"/>
        <rFont val="Times New Roman"/>
        <family val="1"/>
      </rPr>
      <t>2019</t>
    </r>
    <r>
      <rPr>
        <b/>
        <sz val="12.5"/>
        <rFont val="Times New Roman"/>
        <family val="1"/>
      </rPr>
      <t xml:space="preserve"> (US$)</t>
    </r>
  </si>
  <si>
    <r>
      <t xml:space="preserve">TABLE 13 : Status of Contributions for  </t>
    </r>
    <r>
      <rPr>
        <b/>
        <u/>
        <sz val="12.5"/>
        <rFont val="Times New Roman"/>
        <family val="1"/>
      </rPr>
      <t>2018</t>
    </r>
    <r>
      <rPr>
        <b/>
        <sz val="12.5"/>
        <rFont val="Times New Roman"/>
        <family val="1"/>
      </rPr>
      <t xml:space="preserve"> (US$)</t>
    </r>
  </si>
  <si>
    <r>
      <t xml:space="preserve">Status of Contributions for  </t>
    </r>
    <r>
      <rPr>
        <b/>
        <u/>
        <sz val="12.5"/>
        <rFont val="Times New Roman"/>
        <family val="1"/>
      </rPr>
      <t>2017</t>
    </r>
    <r>
      <rPr>
        <b/>
        <sz val="12.5"/>
        <rFont val="Times New Roman"/>
        <family val="1"/>
      </rPr>
      <t xml:space="preserve"> (US$)</t>
    </r>
  </si>
  <si>
    <r>
      <t xml:space="preserve">Status of Contributions for  </t>
    </r>
    <r>
      <rPr>
        <b/>
        <u/>
        <sz val="12.5"/>
        <rFont val="Times New Roman"/>
        <family val="1"/>
      </rPr>
      <t>2015-2017</t>
    </r>
    <r>
      <rPr>
        <b/>
        <sz val="12.5"/>
        <rFont val="Times New Roman"/>
        <family val="1"/>
      </rPr>
      <t xml:space="preserve"> (US$)</t>
    </r>
  </si>
  <si>
    <t xml:space="preserve"> -     includes provision for staff contracts into 2026</t>
  </si>
  <si>
    <t>Treasury fees (2003-2026)</t>
  </si>
  <si>
    <t>Monitoring and Evaluation costs (1999-2025)</t>
  </si>
  <si>
    <t>* Includes interest amount US $1,600,912 earned by FECO/MEP (China).</t>
  </si>
  <si>
    <t>** Amounts reflect net approvals for which resources are transferred to Implementing Agencies. The Secretariat budget reflects actual costs as per the final 2022 and preliminary 2023 accounts of the Fund and approved amounts for 2020 - 2026.</t>
  </si>
  <si>
    <t xml:space="preserve">Cash </t>
  </si>
  <si>
    <t>Secretariat and Executive Committee costs  (1991-2026)</t>
  </si>
  <si>
    <t>As at 24/05/2024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</si>
</sst>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_(* \(#,##0\);_(* &quot;-&quot;_);_(@_)"/>
    <numFmt numFmtId="165" formatCode="_(* #,##0_);_(* \(#,##0\);_(* &quot;-&quot;??_);_(@_)"/>
    <numFmt numFmtId="166" formatCode="#,##0;[Red]\(#,##0\)"/>
    <numFmt numFmtId="167" formatCode="_(* #,##0.0000000_);_(* \(#,##0.0000000\);_(* &quot;-&quot;??_);_(@_)"/>
    <numFmt numFmtId="168" formatCode="General_)"/>
    <numFmt numFmtId="169" formatCode="#,##0.00;[Red]\(#,##0.00\)"/>
    <numFmt numFmtId="170" formatCode="0.0%"/>
  </numFmts>
  <fonts count="71">
    <font>
      <sz val="11"/>
      <color theme="1"/>
      <name val="Calibri"/>
      <family val="2"/>
      <scheme val="minor"/>
    </font>
    <font>
      <sz val="11"/>
      <color theme="1"/>
      <name val="Calibri"/>
      <family val="2"/>
      <scheme val="minor"/>
    </font>
    <font>
      <sz val="12"/>
      <name val="Times New Roman"/>
      <family val="1"/>
    </font>
    <font>
      <sz val="11"/>
      <name val="Times New Roman"/>
      <family val="1"/>
    </font>
    <font>
      <sz val="12"/>
      <name val="Arial"/>
      <family val="2"/>
    </font>
    <font>
      <sz val="10"/>
      <name val="Arial"/>
      <family val="2"/>
    </font>
    <font>
      <b/>
      <sz val="12"/>
      <name val="Times New Roman"/>
      <family val="1"/>
    </font>
    <font>
      <b/>
      <u/>
      <sz val="12"/>
      <name val="Arial"/>
      <family val="2"/>
    </font>
    <font>
      <sz val="12.5"/>
      <name val="Times New Roman"/>
      <family val="1"/>
    </font>
    <font>
      <b/>
      <sz val="12"/>
      <name val="Arial"/>
      <family val="2"/>
    </font>
    <font>
      <b/>
      <sz val="12.5"/>
      <color indexed="8"/>
      <name val="Times New Roman"/>
      <family val="1"/>
    </font>
    <font>
      <b/>
      <sz val="12"/>
      <color indexed="8"/>
      <name val="Times New Roman"/>
      <family val="1"/>
    </font>
    <font>
      <sz val="12"/>
      <color indexed="8"/>
      <name val="Times New Roman"/>
      <family val="1"/>
    </font>
    <font>
      <sz val="14"/>
      <name val="Arial"/>
      <family val="2"/>
    </font>
    <font>
      <sz val="12"/>
      <color theme="0"/>
      <name val="Arial"/>
      <family val="2"/>
    </font>
    <font>
      <sz val="12"/>
      <color indexed="10"/>
      <name val="Times New Roman"/>
      <family val="1"/>
    </font>
    <font>
      <b/>
      <sz val="12"/>
      <color indexed="81"/>
      <name val="Arial Narrow"/>
      <family val="2"/>
    </font>
    <font>
      <sz val="14"/>
      <name val="Times New Roman"/>
      <family val="1"/>
    </font>
    <font>
      <sz val="15"/>
      <name val="Times New Roman"/>
      <family val="1"/>
    </font>
    <font>
      <sz val="10"/>
      <name val="Times New Roman"/>
      <family val="1"/>
    </font>
    <font>
      <b/>
      <sz val="12.5"/>
      <name val="Times New Roman"/>
      <family val="1"/>
    </font>
    <font>
      <sz val="11.5"/>
      <color indexed="8"/>
      <name val="Times New Roman"/>
      <family val="1"/>
    </font>
    <font>
      <b/>
      <sz val="11"/>
      <name val="Times New Roman"/>
      <family val="1"/>
    </font>
    <font>
      <sz val="10"/>
      <color indexed="8"/>
      <name val="Times New Roman"/>
      <family val="1"/>
    </font>
    <font>
      <b/>
      <sz val="8"/>
      <color indexed="81"/>
      <name val="Tahoma"/>
      <family val="2"/>
    </font>
    <font>
      <sz val="8"/>
      <color indexed="81"/>
      <name val="Tahoma"/>
      <family val="2"/>
    </font>
    <font>
      <b/>
      <sz val="9"/>
      <color indexed="81"/>
      <name val="Tahoma"/>
      <family val="2"/>
    </font>
    <font>
      <sz val="9"/>
      <color indexed="81"/>
      <name val="Tahoma"/>
      <family val="2"/>
    </font>
    <font>
      <b/>
      <u/>
      <sz val="12.5"/>
      <name val="Times New Roman"/>
      <family val="1"/>
    </font>
    <font>
      <b/>
      <sz val="10"/>
      <color indexed="8"/>
      <name val="Times New Roman"/>
      <family val="1"/>
    </font>
    <font>
      <sz val="12"/>
      <name val="Arial Narrow"/>
      <family val="2"/>
    </font>
    <font>
      <b/>
      <sz val="10"/>
      <name val="Times New Roman"/>
      <family val="1"/>
    </font>
    <font>
      <vertAlign val="superscript"/>
      <sz val="10"/>
      <name val="Times New Roman"/>
      <family val="1"/>
    </font>
    <font>
      <sz val="12"/>
      <name val="CG Times"/>
      <family val="1"/>
    </font>
    <font>
      <sz val="10"/>
      <name val="CG Times"/>
      <family val="1"/>
    </font>
    <font>
      <sz val="10"/>
      <color indexed="8"/>
      <name val="CG Times"/>
      <family val="1"/>
    </font>
    <font>
      <b/>
      <sz val="10"/>
      <name val="CG Times"/>
      <family val="1"/>
    </font>
    <font>
      <sz val="10"/>
      <name val="Courier"/>
      <family val="3"/>
    </font>
    <font>
      <sz val="12"/>
      <color theme="0"/>
      <name val="Courier"/>
      <family val="3"/>
    </font>
    <font>
      <sz val="12"/>
      <name val="Courier"/>
      <family val="3"/>
    </font>
    <font>
      <sz val="13"/>
      <name val="Times New Roman"/>
      <family val="1"/>
    </font>
    <font>
      <b/>
      <u/>
      <sz val="11"/>
      <name val="Times New Roman"/>
      <family val="1"/>
    </font>
    <font>
      <sz val="11.5"/>
      <name val="Times New Roman"/>
      <family val="1"/>
    </font>
    <font>
      <b/>
      <sz val="11.5"/>
      <name val="Times New Roman"/>
      <family val="1"/>
    </font>
    <font>
      <b/>
      <u/>
      <sz val="11.5"/>
      <name val="Times New Roman"/>
      <family val="1"/>
    </font>
    <font>
      <b/>
      <u/>
      <sz val="12"/>
      <name val="Times New Roman"/>
      <family val="1"/>
    </font>
    <font>
      <sz val="12"/>
      <color indexed="8"/>
      <name val="CG Times"/>
      <family val="1"/>
    </font>
    <font>
      <sz val="12"/>
      <color rgb="FFFF0000"/>
      <name val="Times New Roman"/>
      <family val="1"/>
    </font>
    <font>
      <b/>
      <u/>
      <sz val="10"/>
      <name val="CG Times"/>
      <family val="1"/>
    </font>
    <font>
      <b/>
      <sz val="10"/>
      <color indexed="8"/>
      <name val="CG Times"/>
      <family val="1"/>
    </font>
    <font>
      <b/>
      <sz val="12"/>
      <name val="CG Times"/>
      <family val="1"/>
    </font>
    <font>
      <sz val="12"/>
      <name val="Times"/>
      <family val="1"/>
    </font>
    <font>
      <b/>
      <sz val="12"/>
      <name val="Times"/>
      <family val="1"/>
    </font>
    <font>
      <b/>
      <u/>
      <sz val="12"/>
      <name val="Times"/>
      <family val="1"/>
    </font>
    <font>
      <b/>
      <sz val="11"/>
      <color indexed="8"/>
      <name val="Times"/>
      <family val="1"/>
    </font>
    <font>
      <sz val="11"/>
      <color indexed="8"/>
      <name val="Times"/>
      <family val="1"/>
    </font>
    <font>
      <sz val="11"/>
      <name val="Times"/>
      <family val="1"/>
    </font>
    <font>
      <b/>
      <sz val="11"/>
      <name val="Times"/>
      <family val="1"/>
    </font>
    <font>
      <sz val="12"/>
      <color indexed="8"/>
      <name val="CG Times (W1)"/>
      <family val="1"/>
    </font>
    <font>
      <b/>
      <sz val="12"/>
      <color indexed="8"/>
      <name val="CG Times (W1)"/>
    </font>
    <font>
      <sz val="9"/>
      <name val="Times New Roman"/>
      <family val="1"/>
    </font>
    <font>
      <sz val="12"/>
      <name val="CG Times (W1)"/>
    </font>
    <font>
      <sz val="8"/>
      <color rgb="FFFF0000"/>
      <name val="Times New Roman"/>
      <family val="1"/>
    </font>
    <font>
      <b/>
      <sz val="12"/>
      <color rgb="FFFF0000"/>
      <name val="Times New Roman"/>
      <family val="1"/>
    </font>
    <font>
      <sz val="12"/>
      <color indexed="8"/>
      <name val="Arial Narrow"/>
      <family val="2"/>
    </font>
    <font>
      <sz val="10"/>
      <color theme="1"/>
      <name val="Times New Roman"/>
      <family val="1"/>
    </font>
    <font>
      <b/>
      <sz val="10"/>
      <color theme="0"/>
      <name val="Times New Roman"/>
      <family val="1"/>
    </font>
    <font>
      <sz val="10"/>
      <color theme="0"/>
      <name val="Times New Roman"/>
      <family val="1"/>
    </font>
    <font>
      <sz val="10"/>
      <color theme="0"/>
      <name val="CG Times"/>
      <family val="1"/>
    </font>
    <font>
      <b/>
      <sz val="10"/>
      <color theme="0"/>
      <name val="CG Times"/>
      <family val="1"/>
    </font>
    <font>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s>
  <borders count="6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top style="thin">
        <color indexed="64"/>
      </top>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xf numFmtId="168" fontId="39" fillId="0" borderId="0"/>
    <xf numFmtId="0" fontId="5" fillId="0" borderId="0"/>
  </cellStyleXfs>
  <cellXfs count="768">
    <xf numFmtId="0" fontId="0" fillId="0" borderId="0" xfId="0"/>
    <xf numFmtId="0" fontId="2" fillId="0" borderId="0" xfId="0" applyFont="1"/>
    <xf numFmtId="0" fontId="3" fillId="0" borderId="0" xfId="0" applyFont="1" applyAlignment="1" applyProtection="1">
      <alignment horizontal="right"/>
      <protection locked="0"/>
    </xf>
    <xf numFmtId="0" fontId="4" fillId="0" borderId="0" xfId="0" applyFont="1"/>
    <xf numFmtId="43" fontId="4" fillId="0" borderId="0" xfId="1" applyFont="1"/>
    <xf numFmtId="0" fontId="3" fillId="0" borderId="0" xfId="0" applyFont="1" applyAlignment="1">
      <alignment horizontal="right"/>
    </xf>
    <xf numFmtId="0" fontId="6" fillId="0" borderId="0" xfId="0" applyFont="1" applyAlignment="1">
      <alignment horizontal="center"/>
    </xf>
    <xf numFmtId="0" fontId="2" fillId="0" borderId="0" xfId="0" applyFont="1" applyAlignment="1">
      <alignment horizontal="center"/>
    </xf>
    <xf numFmtId="0" fontId="7" fillId="0" borderId="0" xfId="0" applyFont="1"/>
    <xf numFmtId="0" fontId="9" fillId="0" borderId="0" xfId="0" applyFont="1"/>
    <xf numFmtId="37" fontId="2" fillId="0" borderId="0" xfId="0" applyNumberFormat="1" applyFont="1" applyAlignment="1">
      <alignment horizontal="centerContinuous"/>
    </xf>
    <xf numFmtId="0" fontId="6" fillId="0" borderId="0" xfId="0" applyFont="1" applyAlignment="1">
      <alignment horizontal="centerContinuous"/>
    </xf>
    <xf numFmtId="164" fontId="6" fillId="0" borderId="0" xfId="0" applyNumberFormat="1" applyFont="1" applyAlignment="1">
      <alignment horizontal="centerContinuous"/>
    </xf>
    <xf numFmtId="0" fontId="6" fillId="0" borderId="1" xfId="0" applyFont="1" applyBorder="1" applyAlignment="1">
      <alignment horizontal="left" indent="1"/>
    </xf>
    <xf numFmtId="0" fontId="6" fillId="0" borderId="2" xfId="0" applyFont="1" applyBorder="1"/>
    <xf numFmtId="164" fontId="11" fillId="0" borderId="3" xfId="0" applyNumberFormat="1" applyFont="1" applyBorder="1"/>
    <xf numFmtId="0" fontId="6" fillId="0" borderId="0" xfId="0" applyFont="1"/>
    <xf numFmtId="3" fontId="12" fillId="0" borderId="5" xfId="0" applyNumberFormat="1" applyFont="1" applyBorder="1"/>
    <xf numFmtId="0" fontId="4" fillId="0" borderId="0" xfId="0" applyFont="1" applyAlignment="1">
      <alignment horizontal="center"/>
    </xf>
    <xf numFmtId="0" fontId="4" fillId="2" borderId="0" xfId="0" applyFont="1" applyFill="1"/>
    <xf numFmtId="3" fontId="2" fillId="0" borderId="0" xfId="0" applyNumberFormat="1" applyFont="1"/>
    <xf numFmtId="165" fontId="2" fillId="0" borderId="0" xfId="1" applyNumberFormat="1" applyFont="1"/>
    <xf numFmtId="0" fontId="2" fillId="0" borderId="0" xfId="0" applyFont="1" applyAlignment="1">
      <alignment horizontal="left"/>
    </xf>
    <xf numFmtId="0" fontId="17" fillId="0" borderId="0" xfId="0" applyFont="1" applyAlignment="1">
      <alignment horizontal="left"/>
    </xf>
    <xf numFmtId="165" fontId="4" fillId="0" borderId="0" xfId="1" applyNumberFormat="1" applyFont="1"/>
    <xf numFmtId="0" fontId="17" fillId="0" borderId="0" xfId="0" applyFont="1"/>
    <xf numFmtId="0" fontId="18" fillId="0" borderId="0" xfId="0" applyFont="1"/>
    <xf numFmtId="43" fontId="19" fillId="0" borderId="0" xfId="1" applyFont="1"/>
    <xf numFmtId="43" fontId="2" fillId="0" borderId="0" xfId="1" applyFont="1"/>
    <xf numFmtId="43" fontId="1" fillId="0" borderId="0" xfId="1"/>
    <xf numFmtId="37" fontId="12" fillId="0" borderId="19" xfId="0" applyNumberFormat="1" applyFont="1" applyBorder="1" applyAlignment="1">
      <alignment horizontal="left" vertical="center" indent="1"/>
    </xf>
    <xf numFmtId="3" fontId="2" fillId="0" borderId="21" xfId="1" applyNumberFormat="1" applyFont="1" applyBorder="1" applyAlignment="1">
      <alignment vertical="center"/>
    </xf>
    <xf numFmtId="43" fontId="21" fillId="0" borderId="0" xfId="1" applyFont="1" applyAlignment="1">
      <alignment horizontal="right" vertical="center"/>
    </xf>
    <xf numFmtId="3" fontId="2" fillId="0" borderId="21" xfId="1" applyNumberFormat="1" applyFont="1" applyBorder="1" applyAlignment="1" applyProtection="1">
      <alignment vertical="center"/>
      <protection locked="0"/>
    </xf>
    <xf numFmtId="166" fontId="2" fillId="0" borderId="21" xfId="1" applyNumberFormat="1" applyFont="1" applyBorder="1" applyAlignment="1" applyProtection="1">
      <alignment vertical="center"/>
      <protection locked="0"/>
    </xf>
    <xf numFmtId="165" fontId="2" fillId="0" borderId="21" xfId="1" applyNumberFormat="1" applyFont="1" applyBorder="1" applyAlignment="1">
      <alignment vertical="center"/>
    </xf>
    <xf numFmtId="166" fontId="2" fillId="0" borderId="21" xfId="1" applyNumberFormat="1" applyFont="1" applyBorder="1" applyAlignment="1">
      <alignment vertical="center"/>
    </xf>
    <xf numFmtId="9" fontId="4" fillId="0" borderId="0" xfId="2" applyFont="1" applyAlignment="1">
      <alignment horizontal="center"/>
    </xf>
    <xf numFmtId="166" fontId="6" fillId="0" borderId="21" xfId="1" applyNumberFormat="1" applyFont="1" applyBorder="1" applyAlignment="1" applyProtection="1">
      <alignment vertical="center"/>
      <protection locked="0"/>
    </xf>
    <xf numFmtId="43" fontId="9" fillId="0" borderId="0" xfId="1" applyFont="1"/>
    <xf numFmtId="37" fontId="12" fillId="0" borderId="24" xfId="0" applyNumberFormat="1" applyFont="1" applyBorder="1" applyAlignment="1">
      <alignment horizontal="left" vertical="center" indent="1"/>
    </xf>
    <xf numFmtId="9" fontId="4" fillId="0" borderId="0" xfId="2" applyFont="1"/>
    <xf numFmtId="10" fontId="2" fillId="0" borderId="21" xfId="2" applyNumberFormat="1" applyFont="1" applyBorder="1" applyAlignment="1">
      <alignment vertical="center"/>
    </xf>
    <xf numFmtId="10" fontId="2" fillId="0" borderId="23" xfId="2" applyNumberFormat="1" applyFont="1" applyBorder="1" applyAlignment="1">
      <alignment vertical="center"/>
    </xf>
    <xf numFmtId="0" fontId="2" fillId="0" borderId="21" xfId="0" applyFont="1" applyBorder="1" applyAlignment="1">
      <alignment vertical="center"/>
    </xf>
    <xf numFmtId="165" fontId="22" fillId="0" borderId="21" xfId="1" applyNumberFormat="1" applyFont="1" applyBorder="1" applyAlignment="1" applyProtection="1">
      <alignment vertical="center"/>
      <protection locked="0"/>
    </xf>
    <xf numFmtId="165" fontId="2" fillId="0" borderId="21" xfId="1" applyNumberFormat="1" applyFont="1" applyBorder="1" applyAlignment="1" applyProtection="1">
      <alignment vertical="center"/>
      <protection locked="0"/>
    </xf>
    <xf numFmtId="0" fontId="2" fillId="0" borderId="26" xfId="0" applyFont="1" applyBorder="1" applyAlignment="1">
      <alignment vertical="center"/>
    </xf>
    <xf numFmtId="165" fontId="2" fillId="0" borderId="26" xfId="1" applyNumberFormat="1" applyFont="1" applyBorder="1" applyAlignment="1">
      <alignment vertical="center"/>
    </xf>
    <xf numFmtId="165" fontId="2" fillId="0" borderId="27" xfId="1" applyNumberFormat="1" applyFont="1" applyBorder="1" applyAlignment="1">
      <alignment vertical="center"/>
    </xf>
    <xf numFmtId="166" fontId="6" fillId="0" borderId="16" xfId="1" applyNumberFormat="1" applyFont="1" applyBorder="1" applyAlignment="1">
      <alignment vertical="center"/>
    </xf>
    <xf numFmtId="166" fontId="6" fillId="0" borderId="16" xfId="1" applyNumberFormat="1" applyFont="1" applyBorder="1" applyAlignment="1" applyProtection="1">
      <alignment vertical="center"/>
      <protection locked="0"/>
    </xf>
    <xf numFmtId="165" fontId="2" fillId="0" borderId="20" xfId="1" applyNumberFormat="1" applyFont="1" applyBorder="1" applyAlignment="1">
      <alignment vertical="center"/>
    </xf>
    <xf numFmtId="165" fontId="2" fillId="0" borderId="29" xfId="1" applyNumberFormat="1" applyFont="1" applyBorder="1" applyAlignment="1">
      <alignment vertical="center"/>
    </xf>
    <xf numFmtId="165" fontId="2" fillId="0" borderId="30" xfId="1" applyNumberFormat="1" applyFont="1" applyBorder="1" applyAlignment="1">
      <alignment vertical="center"/>
    </xf>
    <xf numFmtId="0" fontId="6" fillId="0" borderId="21" xfId="0" applyFont="1" applyBorder="1" applyAlignment="1">
      <alignment horizontal="right" vertical="center"/>
    </xf>
    <xf numFmtId="166" fontId="2" fillId="0" borderId="23" xfId="1" applyNumberFormat="1" applyFont="1" applyBorder="1" applyAlignment="1" applyProtection="1">
      <alignment vertical="center"/>
      <protection locked="0"/>
    </xf>
    <xf numFmtId="10" fontId="2" fillId="0" borderId="35" xfId="2" applyNumberFormat="1" applyFont="1" applyBorder="1" applyAlignment="1">
      <alignment vertical="center"/>
    </xf>
    <xf numFmtId="10" fontId="2" fillId="0" borderId="37" xfId="2" applyNumberFormat="1" applyFont="1" applyBorder="1" applyAlignment="1">
      <alignment vertical="center"/>
    </xf>
    <xf numFmtId="0" fontId="19" fillId="0" borderId="0" xfId="0" applyFont="1"/>
    <xf numFmtId="165" fontId="19" fillId="0" borderId="0" xfId="1" applyNumberFormat="1" applyFont="1"/>
    <xf numFmtId="40" fontId="2" fillId="0" borderId="0" xfId="0" applyNumberFormat="1" applyFont="1" applyAlignment="1" applyProtection="1">
      <alignment horizontal="left"/>
      <protection locked="0"/>
    </xf>
    <xf numFmtId="40" fontId="2" fillId="0" borderId="0" xfId="0" applyNumberFormat="1" applyFont="1"/>
    <xf numFmtId="40" fontId="17" fillId="0" borderId="0" xfId="0" applyNumberFormat="1" applyFont="1"/>
    <xf numFmtId="40" fontId="17" fillId="0" borderId="0" xfId="0" applyNumberFormat="1" applyFont="1" applyAlignment="1">
      <alignment horizontal="right"/>
    </xf>
    <xf numFmtId="40" fontId="2" fillId="0" borderId="0" xfId="0" applyNumberFormat="1" applyFont="1" applyAlignment="1">
      <alignment horizontal="left"/>
    </xf>
    <xf numFmtId="40" fontId="2" fillId="0" borderId="0" xfId="0" applyNumberFormat="1" applyFont="1" applyAlignment="1">
      <alignment horizontal="right"/>
    </xf>
    <xf numFmtId="40" fontId="18" fillId="0" borderId="0" xfId="0" applyNumberFormat="1" applyFont="1" applyAlignment="1">
      <alignment horizontal="right"/>
    </xf>
    <xf numFmtId="37" fontId="29" fillId="0" borderId="15" xfId="0" applyNumberFormat="1" applyFont="1" applyBorder="1" applyAlignment="1">
      <alignment horizontal="center"/>
    </xf>
    <xf numFmtId="40" fontId="29" fillId="0" borderId="16" xfId="0" applyNumberFormat="1" applyFont="1" applyBorder="1" applyAlignment="1">
      <alignment horizontal="center" wrapText="1"/>
    </xf>
    <xf numFmtId="40" fontId="29" fillId="0" borderId="18" xfId="0" applyNumberFormat="1" applyFont="1" applyBorder="1" applyAlignment="1">
      <alignment horizontal="center" wrapText="1"/>
    </xf>
    <xf numFmtId="0" fontId="6" fillId="0" borderId="0" xfId="3" applyFont="1" applyAlignment="1">
      <alignment vertical="center"/>
    </xf>
    <xf numFmtId="37" fontId="23" fillId="0" borderId="19" xfId="0" applyNumberFormat="1" applyFont="1" applyBorder="1" applyAlignment="1">
      <alignment horizontal="left" vertical="center" indent="1"/>
    </xf>
    <xf numFmtId="38" fontId="23" fillId="0" borderId="21" xfId="0" applyNumberFormat="1" applyFont="1" applyBorder="1" applyAlignment="1">
      <alignment vertical="center"/>
    </xf>
    <xf numFmtId="37" fontId="23" fillId="0" borderId="24" xfId="0" applyNumberFormat="1" applyFont="1" applyBorder="1" applyAlignment="1">
      <alignment horizontal="left" vertical="center" indent="1"/>
    </xf>
    <xf numFmtId="0" fontId="2" fillId="0" borderId="0" xfId="0" applyFont="1" applyAlignment="1">
      <alignment horizontal="center" wrapText="1"/>
    </xf>
    <xf numFmtId="43" fontId="30" fillId="0" borderId="0" xfId="1" applyFont="1"/>
    <xf numFmtId="37" fontId="23" fillId="0" borderId="25" xfId="0" applyNumberFormat="1" applyFont="1" applyBorder="1" applyAlignment="1">
      <alignment horizontal="left" vertical="center" indent="1"/>
    </xf>
    <xf numFmtId="38" fontId="23" fillId="0" borderId="26" xfId="0" applyNumberFormat="1" applyFont="1" applyBorder="1" applyAlignment="1">
      <alignment vertical="center"/>
    </xf>
    <xf numFmtId="38" fontId="31" fillId="0" borderId="16" xfId="1" applyNumberFormat="1" applyFont="1" applyBorder="1" applyAlignment="1">
      <alignment vertical="center"/>
    </xf>
    <xf numFmtId="38" fontId="31" fillId="0" borderId="18" xfId="1" applyNumberFormat="1" applyFont="1" applyBorder="1" applyAlignment="1">
      <alignment vertical="center"/>
    </xf>
    <xf numFmtId="0" fontId="31" fillId="0" borderId="15" xfId="0" applyFont="1" applyBorder="1" applyAlignment="1">
      <alignment horizontal="left" vertical="center" indent="1"/>
    </xf>
    <xf numFmtId="3" fontId="31" fillId="0" borderId="16" xfId="1" applyNumberFormat="1" applyFont="1" applyBorder="1" applyAlignment="1">
      <alignment vertical="center"/>
    </xf>
    <xf numFmtId="3" fontId="31" fillId="0" borderId="16" xfId="0" applyNumberFormat="1" applyFont="1" applyBorder="1" applyAlignment="1">
      <alignment vertical="center"/>
    </xf>
    <xf numFmtId="3" fontId="31" fillId="0" borderId="18" xfId="0" applyNumberFormat="1" applyFont="1" applyBorder="1"/>
    <xf numFmtId="0" fontId="19" fillId="0" borderId="0" xfId="0" applyFont="1" applyAlignment="1">
      <alignment vertical="center"/>
    </xf>
    <xf numFmtId="40" fontId="19" fillId="0" borderId="0" xfId="1" applyNumberFormat="1" applyFont="1" applyAlignment="1">
      <alignment vertical="center"/>
    </xf>
    <xf numFmtId="40" fontId="19" fillId="0" borderId="0" xfId="0" applyNumberFormat="1" applyFont="1"/>
    <xf numFmtId="0" fontId="19" fillId="0" borderId="0" xfId="0" applyFont="1" applyAlignment="1">
      <alignment horizontal="left"/>
    </xf>
    <xf numFmtId="40" fontId="19" fillId="0" borderId="0" xfId="0" applyNumberFormat="1" applyFont="1" applyAlignment="1">
      <alignment horizontal="left"/>
    </xf>
    <xf numFmtId="37" fontId="12" fillId="0" borderId="0" xfId="0" applyNumberFormat="1" applyFont="1" applyAlignment="1" applyProtection="1">
      <alignment vertical="center"/>
      <protection locked="0"/>
    </xf>
    <xf numFmtId="40" fontId="33" fillId="0" borderId="0" xfId="0" applyNumberFormat="1" applyFont="1"/>
    <xf numFmtId="40" fontId="2" fillId="0" borderId="0" xfId="1" applyNumberFormat="1" applyFont="1"/>
    <xf numFmtId="40" fontId="33" fillId="0" borderId="0" xfId="1" applyNumberFormat="1" applyFont="1"/>
    <xf numFmtId="38" fontId="19" fillId="0" borderId="23" xfId="0" applyNumberFormat="1" applyFont="1" applyBorder="1" applyAlignment="1" applyProtection="1">
      <alignment vertical="center"/>
      <protection locked="0"/>
    </xf>
    <xf numFmtId="39" fontId="17" fillId="0" borderId="0" xfId="0" applyNumberFormat="1" applyFont="1" applyAlignment="1">
      <alignment horizontal="left"/>
    </xf>
    <xf numFmtId="37" fontId="23" fillId="0" borderId="24" xfId="0" quotePrefix="1" applyNumberFormat="1" applyFont="1" applyBorder="1" applyAlignment="1">
      <alignment horizontal="left" vertical="center" indent="1"/>
    </xf>
    <xf numFmtId="37" fontId="23" fillId="0" borderId="15" xfId="0" applyNumberFormat="1" applyFont="1" applyBorder="1" applyAlignment="1" applyProtection="1">
      <alignment horizontal="left" vertical="center"/>
      <protection locked="0"/>
    </xf>
    <xf numFmtId="37" fontId="29" fillId="0" borderId="15" xfId="0" applyNumberFormat="1" applyFont="1" applyBorder="1" applyAlignment="1" applyProtection="1">
      <alignment horizontal="left" vertical="center"/>
      <protection locked="0"/>
    </xf>
    <xf numFmtId="38" fontId="31" fillId="0" borderId="16" xfId="0" applyNumberFormat="1" applyFont="1" applyBorder="1" applyAlignment="1">
      <alignment vertical="center"/>
    </xf>
    <xf numFmtId="38" fontId="31" fillId="0" borderId="18" xfId="0" applyNumberFormat="1" applyFont="1" applyBorder="1" applyAlignment="1">
      <alignment vertical="center"/>
    </xf>
    <xf numFmtId="38" fontId="34" fillId="0" borderId="0" xfId="0" applyNumberFormat="1" applyFont="1" applyAlignment="1">
      <alignment vertical="center"/>
    </xf>
    <xf numFmtId="37" fontId="35" fillId="3" borderId="15" xfId="0" applyNumberFormat="1" applyFont="1" applyFill="1" applyBorder="1" applyAlignment="1">
      <alignment vertical="center"/>
    </xf>
    <xf numFmtId="38" fontId="35" fillId="3" borderId="16" xfId="0" applyNumberFormat="1" applyFont="1" applyFill="1" applyBorder="1" applyAlignment="1">
      <alignment vertical="center"/>
    </xf>
    <xf numFmtId="38" fontId="34" fillId="3" borderId="18" xfId="0" applyNumberFormat="1" applyFont="1" applyFill="1" applyBorder="1" applyAlignment="1" applyProtection="1">
      <alignment vertical="center"/>
      <protection locked="0"/>
    </xf>
    <xf numFmtId="38" fontId="23" fillId="3" borderId="21" xfId="0" applyNumberFormat="1" applyFont="1" applyFill="1" applyBorder="1" applyAlignment="1">
      <alignment vertical="center"/>
    </xf>
    <xf numFmtId="38" fontId="29" fillId="0" borderId="21" xfId="0" applyNumberFormat="1" applyFont="1" applyBorder="1" applyAlignment="1">
      <alignment horizontal="centerContinuous" vertical="top" wrapText="1"/>
    </xf>
    <xf numFmtId="0" fontId="31" fillId="0" borderId="41" xfId="0" applyFont="1" applyBorder="1" applyAlignment="1">
      <alignment horizontal="left" vertical="center" indent="1"/>
    </xf>
    <xf numFmtId="38" fontId="31" fillId="0" borderId="42" xfId="1" applyNumberFormat="1" applyFont="1" applyBorder="1" applyAlignment="1">
      <alignment vertical="center"/>
    </xf>
    <xf numFmtId="38" fontId="31" fillId="0" borderId="43" xfId="1" applyNumberFormat="1" applyFont="1" applyBorder="1" applyAlignment="1">
      <alignment vertical="center"/>
    </xf>
    <xf numFmtId="0" fontId="34" fillId="0" borderId="0" xfId="0" applyFont="1" applyAlignment="1">
      <alignment vertical="center"/>
    </xf>
    <xf numFmtId="43" fontId="37" fillId="0" borderId="0" xfId="1" applyFont="1"/>
    <xf numFmtId="43" fontId="0" fillId="0" borderId="0" xfId="1" applyFont="1"/>
    <xf numFmtId="167" fontId="0" fillId="0" borderId="0" xfId="1" applyNumberFormat="1" applyFont="1"/>
    <xf numFmtId="0" fontId="38" fillId="0" borderId="0" xfId="0" applyFont="1"/>
    <xf numFmtId="37" fontId="23" fillId="0" borderId="0" xfId="0" applyNumberFormat="1" applyFont="1" applyAlignment="1" applyProtection="1">
      <alignment horizontal="left" vertical="center"/>
      <protection locked="0"/>
    </xf>
    <xf numFmtId="0" fontId="34" fillId="0" borderId="0" xfId="0" applyFont="1"/>
    <xf numFmtId="38" fontId="34" fillId="0" borderId="0" xfId="0" applyNumberFormat="1" applyFont="1"/>
    <xf numFmtId="40" fontId="0" fillId="0" borderId="0" xfId="0" applyNumberFormat="1"/>
    <xf numFmtId="40" fontId="39" fillId="0" borderId="0" xfId="0" applyNumberFormat="1" applyFont="1"/>
    <xf numFmtId="40" fontId="37" fillId="0" borderId="0" xfId="1" applyNumberFormat="1" applyFont="1"/>
    <xf numFmtId="40" fontId="38" fillId="0" borderId="0" xfId="0" applyNumberFormat="1" applyFont="1"/>
    <xf numFmtId="40" fontId="38" fillId="0" borderId="0" xfId="2" applyNumberFormat="1" applyFont="1"/>
    <xf numFmtId="40" fontId="39" fillId="0" borderId="0" xfId="1" applyNumberFormat="1" applyFont="1"/>
    <xf numFmtId="40" fontId="0" fillId="0" borderId="0" xfId="2" applyNumberFormat="1" applyFont="1"/>
    <xf numFmtId="40" fontId="39" fillId="0" borderId="0" xfId="2" applyNumberFormat="1" applyFont="1"/>
    <xf numFmtId="0" fontId="39" fillId="0" borderId="0" xfId="0" applyFont="1"/>
    <xf numFmtId="38" fontId="34" fillId="0" borderId="43" xfId="0" applyNumberFormat="1" applyFont="1" applyBorder="1" applyAlignment="1">
      <alignment vertical="center"/>
    </xf>
    <xf numFmtId="37" fontId="23" fillId="0" borderId="44" xfId="0" applyNumberFormat="1" applyFont="1" applyBorder="1" applyAlignment="1">
      <alignment horizontal="left" vertical="center" indent="1"/>
    </xf>
    <xf numFmtId="38" fontId="23" fillId="3" borderId="45" xfId="0" applyNumberFormat="1" applyFont="1" applyFill="1" applyBorder="1" applyAlignment="1">
      <alignment vertical="center"/>
    </xf>
    <xf numFmtId="38" fontId="29" fillId="0" borderId="46" xfId="0" applyNumberFormat="1" applyFont="1" applyBorder="1" applyAlignment="1">
      <alignment horizontal="centerContinuous" vertical="top" wrapText="1"/>
    </xf>
    <xf numFmtId="38" fontId="23" fillId="3" borderId="30" xfId="0" applyNumberFormat="1" applyFont="1" applyFill="1" applyBorder="1" applyAlignment="1">
      <alignment vertical="center"/>
    </xf>
    <xf numFmtId="38" fontId="23" fillId="0" borderId="20" xfId="0" applyNumberFormat="1" applyFont="1" applyBorder="1" applyAlignment="1">
      <alignment vertical="center"/>
    </xf>
    <xf numFmtId="38" fontId="23" fillId="3" borderId="27" xfId="0" applyNumberFormat="1" applyFont="1" applyFill="1" applyBorder="1" applyAlignment="1">
      <alignment vertical="center"/>
    </xf>
    <xf numFmtId="38" fontId="23" fillId="0" borderId="27" xfId="0" applyNumberFormat="1" applyFont="1" applyBorder="1" applyAlignment="1">
      <alignment vertical="center"/>
    </xf>
    <xf numFmtId="38" fontId="23" fillId="0" borderId="47" xfId="0" applyNumberFormat="1" applyFont="1" applyBorder="1" applyAlignment="1">
      <alignment vertical="center"/>
    </xf>
    <xf numFmtId="38" fontId="23" fillId="0" borderId="35" xfId="0" applyNumberFormat="1" applyFont="1" applyBorder="1" applyAlignment="1">
      <alignment vertical="center"/>
    </xf>
    <xf numFmtId="38" fontId="34" fillId="0" borderId="29" xfId="0" applyNumberFormat="1" applyFont="1" applyBorder="1" applyAlignment="1">
      <alignment vertical="center"/>
    </xf>
    <xf numFmtId="37" fontId="29" fillId="0" borderId="39" xfId="0" applyNumberFormat="1" applyFont="1" applyBorder="1" applyAlignment="1">
      <alignment horizontal="center"/>
    </xf>
    <xf numFmtId="43" fontId="29" fillId="0" borderId="48" xfId="1" applyFont="1" applyBorder="1" applyAlignment="1">
      <alignment horizontal="center" wrapText="1"/>
    </xf>
    <xf numFmtId="43" fontId="29" fillId="0" borderId="49" xfId="1" applyFont="1" applyBorder="1" applyAlignment="1">
      <alignment horizontal="center" wrapText="1"/>
    </xf>
    <xf numFmtId="3" fontId="23" fillId="3" borderId="46" xfId="1" applyNumberFormat="1" applyFont="1" applyFill="1" applyBorder="1" applyAlignment="1">
      <alignment vertical="center"/>
    </xf>
    <xf numFmtId="3" fontId="19" fillId="0" borderId="50" xfId="1" applyNumberFormat="1" applyFont="1" applyBorder="1" applyAlignment="1" applyProtection="1">
      <alignment vertical="center"/>
      <protection locked="0"/>
    </xf>
    <xf numFmtId="3" fontId="19" fillId="0" borderId="23" xfId="1" applyNumberFormat="1" applyFont="1" applyBorder="1" applyAlignment="1" applyProtection="1">
      <alignment vertical="center"/>
      <protection locked="0"/>
    </xf>
    <xf numFmtId="3" fontId="19" fillId="0" borderId="28" xfId="1" applyNumberFormat="1" applyFont="1" applyBorder="1" applyAlignment="1" applyProtection="1">
      <alignment vertical="center"/>
      <protection locked="0"/>
    </xf>
    <xf numFmtId="3" fontId="31" fillId="0" borderId="18" xfId="1" applyNumberFormat="1" applyFont="1" applyBorder="1" applyAlignment="1">
      <alignment vertical="center"/>
    </xf>
    <xf numFmtId="37" fontId="23" fillId="0" borderId="38" xfId="0" applyNumberFormat="1" applyFont="1" applyBorder="1" applyAlignment="1" applyProtection="1">
      <alignment horizontal="left" vertical="center"/>
      <protection locked="0"/>
    </xf>
    <xf numFmtId="3" fontId="34" fillId="0" borderId="29" xfId="1" applyNumberFormat="1" applyFont="1" applyBorder="1" applyAlignment="1">
      <alignment vertical="center"/>
    </xf>
    <xf numFmtId="3" fontId="34" fillId="0" borderId="31" xfId="1" applyNumberFormat="1" applyFont="1" applyBorder="1" applyAlignment="1">
      <alignment vertical="center"/>
    </xf>
    <xf numFmtId="43" fontId="34" fillId="0" borderId="0" xfId="1" applyFont="1" applyAlignment="1">
      <alignment vertical="center"/>
    </xf>
    <xf numFmtId="43" fontId="34" fillId="0" borderId="0" xfId="1" applyFont="1"/>
    <xf numFmtId="43" fontId="35" fillId="3" borderId="16" xfId="1" applyFont="1" applyFill="1" applyBorder="1" applyAlignment="1">
      <alignment vertical="center"/>
    </xf>
    <xf numFmtId="43" fontId="34" fillId="3" borderId="18" xfId="1" applyFont="1" applyFill="1" applyBorder="1" applyAlignment="1" applyProtection="1">
      <alignment vertical="center"/>
      <protection locked="0"/>
    </xf>
    <xf numFmtId="43" fontId="39" fillId="0" borderId="0" xfId="1" applyFont="1"/>
    <xf numFmtId="37" fontId="29" fillId="0" borderId="16" xfId="0" applyNumberFormat="1" applyFont="1" applyBorder="1" applyAlignment="1">
      <alignment horizontal="center" wrapText="1"/>
    </xf>
    <xf numFmtId="37" fontId="29" fillId="0" borderId="18" xfId="0" applyNumberFormat="1" applyFont="1" applyBorder="1" applyAlignment="1">
      <alignment horizontal="center" wrapText="1"/>
    </xf>
    <xf numFmtId="37" fontId="29" fillId="0" borderId="46" xfId="0" applyNumberFormat="1" applyFont="1" applyBorder="1" applyAlignment="1">
      <alignment horizontal="centerContinuous" vertical="top" wrapText="1"/>
    </xf>
    <xf numFmtId="166" fontId="19" fillId="0" borderId="23" xfId="0" applyNumberFormat="1" applyFont="1" applyBorder="1" applyAlignment="1" applyProtection="1">
      <alignment vertical="center"/>
      <protection locked="0"/>
    </xf>
    <xf numFmtId="166" fontId="23" fillId="0" borderId="20" xfId="0" applyNumberFormat="1" applyFont="1" applyBorder="1" applyAlignment="1">
      <alignment vertical="center"/>
    </xf>
    <xf numFmtId="166" fontId="23" fillId="0" borderId="21" xfId="0" applyNumberFormat="1" applyFont="1" applyBorder="1" applyAlignment="1">
      <alignment vertical="center"/>
    </xf>
    <xf numFmtId="38" fontId="23" fillId="4" borderId="27" xfId="0" applyNumberFormat="1" applyFont="1" applyFill="1" applyBorder="1" applyAlignment="1">
      <alignment vertical="center"/>
    </xf>
    <xf numFmtId="166" fontId="23" fillId="0" borderId="27" xfId="0" applyNumberFormat="1" applyFont="1" applyBorder="1" applyAlignment="1">
      <alignment vertical="center"/>
    </xf>
    <xf numFmtId="38" fontId="23" fillId="4" borderId="21" xfId="0" applyNumberFormat="1" applyFont="1" applyFill="1" applyBorder="1" applyAlignment="1">
      <alignment vertical="center"/>
    </xf>
    <xf numFmtId="38" fontId="23" fillId="3" borderId="27" xfId="4" applyNumberFormat="1" applyFont="1" applyFill="1" applyBorder="1" applyAlignment="1">
      <alignment vertical="center"/>
    </xf>
    <xf numFmtId="166" fontId="23" fillId="0" borderId="26" xfId="0" applyNumberFormat="1" applyFont="1" applyBorder="1" applyAlignment="1">
      <alignment vertical="center"/>
    </xf>
    <xf numFmtId="166" fontId="23" fillId="0" borderId="47" xfId="0" applyNumberFormat="1" applyFont="1" applyBorder="1" applyAlignment="1">
      <alignment vertical="center"/>
    </xf>
    <xf numFmtId="166" fontId="23" fillId="0" borderId="35" xfId="0" applyNumberFormat="1" applyFont="1" applyBorder="1" applyAlignment="1">
      <alignment vertical="center"/>
    </xf>
    <xf numFmtId="166" fontId="31" fillId="0" borderId="16" xfId="1" applyNumberFormat="1" applyFont="1" applyBorder="1" applyAlignment="1">
      <alignment vertical="center"/>
    </xf>
    <xf numFmtId="166" fontId="31" fillId="0" borderId="18" xfId="1" applyNumberFormat="1" applyFont="1" applyBorder="1" applyAlignment="1">
      <alignment vertical="center"/>
    </xf>
    <xf numFmtId="3" fontId="34" fillId="0" borderId="16" xfId="0" applyNumberFormat="1" applyFont="1" applyBorder="1" applyAlignment="1">
      <alignment vertical="center"/>
    </xf>
    <xf numFmtId="3" fontId="34" fillId="0" borderId="18" xfId="0" applyNumberFormat="1" applyFont="1" applyBorder="1" applyAlignment="1">
      <alignment vertical="center"/>
    </xf>
    <xf numFmtId="3" fontId="31" fillId="0" borderId="18" xfId="0" applyNumberFormat="1" applyFont="1" applyBorder="1" applyAlignment="1">
      <alignment vertical="center"/>
    </xf>
    <xf numFmtId="166" fontId="35" fillId="3" borderId="16" xfId="0" applyNumberFormat="1" applyFont="1" applyFill="1" applyBorder="1" applyAlignment="1">
      <alignment vertical="center"/>
    </xf>
    <xf numFmtId="166" fontId="34" fillId="3" borderId="18" xfId="0" applyNumberFormat="1" applyFont="1" applyFill="1" applyBorder="1" applyAlignment="1" applyProtection="1">
      <alignment vertical="center"/>
      <protection locked="0"/>
    </xf>
    <xf numFmtId="9" fontId="38" fillId="0" borderId="0" xfId="2" applyFont="1"/>
    <xf numFmtId="43" fontId="38" fillId="0" borderId="0" xfId="1" applyFont="1"/>
    <xf numFmtId="9" fontId="0" fillId="0" borderId="0" xfId="2" applyFont="1"/>
    <xf numFmtId="10" fontId="39" fillId="0" borderId="0" xfId="2" applyNumberFormat="1" applyFont="1"/>
    <xf numFmtId="38" fontId="23" fillId="3" borderId="0" xfId="0" applyNumberFormat="1" applyFont="1" applyFill="1" applyAlignment="1">
      <alignment vertical="center"/>
    </xf>
    <xf numFmtId="38" fontId="23" fillId="2" borderId="21" xfId="0" applyNumberFormat="1" applyFont="1" applyFill="1" applyBorder="1" applyAlignment="1">
      <alignment vertical="center"/>
    </xf>
    <xf numFmtId="0" fontId="31" fillId="0" borderId="39" xfId="0" applyFont="1" applyBorder="1" applyAlignment="1">
      <alignment horizontal="left" vertical="center" indent="1"/>
    </xf>
    <xf numFmtId="38" fontId="31" fillId="0" borderId="40" xfId="1" applyNumberFormat="1" applyFont="1" applyBorder="1" applyAlignment="1">
      <alignment vertical="center"/>
    </xf>
    <xf numFmtId="166" fontId="31" fillId="0" borderId="51" xfId="1" applyNumberFormat="1" applyFont="1" applyBorder="1" applyAlignment="1">
      <alignment vertical="center"/>
    </xf>
    <xf numFmtId="166" fontId="31" fillId="0" borderId="52" xfId="1" applyNumberFormat="1" applyFont="1" applyBorder="1" applyAlignment="1">
      <alignment vertical="center"/>
    </xf>
    <xf numFmtId="166" fontId="31" fillId="0" borderId="48" xfId="1" applyNumberFormat="1" applyFont="1" applyBorder="1" applyAlignment="1">
      <alignment vertical="center"/>
    </xf>
    <xf numFmtId="166" fontId="31" fillId="0" borderId="49" xfId="1" applyNumberFormat="1" applyFont="1" applyBorder="1" applyAlignment="1">
      <alignment vertical="center"/>
    </xf>
    <xf numFmtId="43" fontId="0" fillId="0" borderId="53" xfId="1" applyFont="1" applyBorder="1"/>
    <xf numFmtId="3" fontId="36" fillId="0" borderId="16" xfId="0" applyNumberFormat="1" applyFont="1" applyBorder="1" applyAlignment="1">
      <alignment vertical="center"/>
    </xf>
    <xf numFmtId="3" fontId="36" fillId="0" borderId="18" xfId="0" applyNumberFormat="1" applyFont="1" applyBorder="1" applyAlignment="1">
      <alignment vertical="center"/>
    </xf>
    <xf numFmtId="166" fontId="35" fillId="0" borderId="16" xfId="0" applyNumberFormat="1" applyFont="1" applyBorder="1" applyAlignment="1">
      <alignment vertical="center"/>
    </xf>
    <xf numFmtId="166" fontId="34" fillId="0" borderId="18" xfId="0" applyNumberFormat="1" applyFont="1" applyBorder="1" applyAlignment="1" applyProtection="1">
      <alignment vertical="center"/>
      <protection locked="0"/>
    </xf>
    <xf numFmtId="39" fontId="2" fillId="0" borderId="0" xfId="0" applyNumberFormat="1" applyFont="1" applyAlignment="1">
      <alignment horizontal="left"/>
    </xf>
    <xf numFmtId="3" fontId="36" fillId="0" borderId="42" xfId="0" applyNumberFormat="1" applyFont="1" applyBorder="1" applyAlignment="1">
      <alignment vertical="center"/>
    </xf>
    <xf numFmtId="3" fontId="36" fillId="0" borderId="43" xfId="0" applyNumberFormat="1" applyFont="1" applyBorder="1" applyAlignment="1">
      <alignment vertical="center"/>
    </xf>
    <xf numFmtId="39" fontId="17" fillId="0" borderId="0" xfId="0" applyNumberFormat="1" applyFont="1" applyAlignment="1">
      <alignment horizontal="right"/>
    </xf>
    <xf numFmtId="0" fontId="17" fillId="0" borderId="0" xfId="0" applyFont="1" applyAlignment="1">
      <alignment horizontal="right"/>
    </xf>
    <xf numFmtId="38" fontId="31" fillId="0" borderId="17" xfId="1" applyNumberFormat="1" applyFont="1" applyBorder="1" applyAlignment="1">
      <alignment vertical="center"/>
    </xf>
    <xf numFmtId="166" fontId="31" fillId="0" borderId="14" xfId="1" applyNumberFormat="1" applyFont="1" applyBorder="1" applyAlignment="1">
      <alignment vertical="center"/>
    </xf>
    <xf numFmtId="166" fontId="31" fillId="0" borderId="54" xfId="1" applyNumberFormat="1" applyFont="1" applyBorder="1" applyAlignment="1">
      <alignment vertical="center"/>
    </xf>
    <xf numFmtId="3" fontId="19" fillId="0" borderId="16" xfId="0" applyNumberFormat="1" applyFont="1" applyBorder="1" applyAlignment="1">
      <alignment vertical="center"/>
    </xf>
    <xf numFmtId="166" fontId="19" fillId="0" borderId="18" xfId="0" applyNumberFormat="1" applyFont="1" applyBorder="1" applyAlignment="1" applyProtection="1">
      <alignment vertical="center"/>
      <protection locked="0"/>
    </xf>
    <xf numFmtId="37" fontId="29" fillId="0" borderId="44" xfId="0" applyNumberFormat="1" applyFont="1" applyBorder="1" applyAlignment="1">
      <alignment horizontal="center"/>
    </xf>
    <xf numFmtId="37" fontId="29" fillId="0" borderId="46" xfId="0" applyNumberFormat="1" applyFont="1" applyBorder="1" applyAlignment="1">
      <alignment horizontal="center" wrapText="1"/>
    </xf>
    <xf numFmtId="37" fontId="29" fillId="0" borderId="46" xfId="0" applyNumberFormat="1" applyFont="1" applyBorder="1" applyAlignment="1">
      <alignment wrapText="1"/>
    </xf>
    <xf numFmtId="37" fontId="29" fillId="0" borderId="50" xfId="0" applyNumberFormat="1" applyFont="1" applyBorder="1" applyAlignment="1">
      <alignment horizontal="center" wrapText="1"/>
    </xf>
    <xf numFmtId="37" fontId="29" fillId="0" borderId="21" xfId="0" applyNumberFormat="1" applyFont="1" applyBorder="1" applyAlignment="1">
      <alignment horizontal="centerContinuous" vertical="top" wrapText="1"/>
    </xf>
    <xf numFmtId="169" fontId="19" fillId="0" borderId="23" xfId="0" applyNumberFormat="1" applyFont="1" applyBorder="1" applyAlignment="1" applyProtection="1">
      <alignment vertical="center"/>
      <protection locked="0"/>
    </xf>
    <xf numFmtId="166" fontId="23" fillId="2" borderId="21" xfId="0" applyNumberFormat="1" applyFont="1" applyFill="1" applyBorder="1" applyAlignment="1">
      <alignment vertical="center"/>
    </xf>
    <xf numFmtId="38" fontId="23" fillId="3" borderId="26" xfId="0" applyNumberFormat="1" applyFont="1" applyFill="1" applyBorder="1" applyAlignment="1">
      <alignment vertical="center"/>
    </xf>
    <xf numFmtId="166" fontId="19" fillId="0" borderId="28" xfId="0" applyNumberFormat="1" applyFont="1" applyBorder="1" applyAlignment="1" applyProtection="1">
      <alignment vertical="center"/>
      <protection locked="0"/>
    </xf>
    <xf numFmtId="37" fontId="35" fillId="0" borderId="0" xfId="0" applyNumberFormat="1" applyFont="1" applyAlignment="1" applyProtection="1">
      <alignment horizontal="left" vertical="center"/>
      <protection locked="0"/>
    </xf>
    <xf numFmtId="0" fontId="2" fillId="4" borderId="0" xfId="0" applyFont="1" applyFill="1"/>
    <xf numFmtId="0" fontId="40" fillId="0" borderId="0" xfId="0" applyFont="1" applyAlignment="1">
      <alignment horizontal="right"/>
    </xf>
    <xf numFmtId="37" fontId="29" fillId="0" borderId="44" xfId="0" applyNumberFormat="1" applyFont="1" applyBorder="1" applyAlignment="1">
      <alignment horizontal="center" vertical="top"/>
    </xf>
    <xf numFmtId="37" fontId="29" fillId="0" borderId="46" xfId="0" applyNumberFormat="1" applyFont="1" applyBorder="1" applyAlignment="1">
      <alignment horizontal="center" vertical="top" wrapText="1"/>
    </xf>
    <xf numFmtId="37" fontId="29" fillId="0" borderId="50" xfId="0" applyNumberFormat="1" applyFont="1" applyBorder="1" applyAlignment="1">
      <alignment horizontal="center" vertical="top" wrapText="1"/>
    </xf>
    <xf numFmtId="37" fontId="23" fillId="0" borderId="16" xfId="0" applyNumberFormat="1" applyFont="1" applyBorder="1" applyAlignment="1" applyProtection="1">
      <alignment horizontal="left" vertical="center"/>
      <protection locked="0"/>
    </xf>
    <xf numFmtId="37" fontId="29" fillId="0" borderId="16" xfId="0" applyNumberFormat="1" applyFont="1" applyBorder="1" applyAlignment="1" applyProtection="1">
      <alignment horizontal="left" vertical="center"/>
      <protection locked="0"/>
    </xf>
    <xf numFmtId="39" fontId="40" fillId="0" borderId="0" xfId="0" applyNumberFormat="1" applyFont="1" applyAlignment="1">
      <alignment horizontal="right"/>
    </xf>
    <xf numFmtId="166" fontId="23" fillId="4" borderId="21" xfId="0" applyNumberFormat="1" applyFont="1" applyFill="1" applyBorder="1" applyAlignment="1">
      <alignment vertical="center"/>
    </xf>
    <xf numFmtId="38" fontId="23" fillId="0" borderId="45" xfId="0" applyNumberFormat="1" applyFont="1" applyBorder="1" applyAlignment="1">
      <alignment vertical="center"/>
    </xf>
    <xf numFmtId="39" fontId="4" fillId="0" borderId="0" xfId="0" applyNumberFormat="1" applyFont="1"/>
    <xf numFmtId="39" fontId="40" fillId="0" borderId="0" xfId="0" applyNumberFormat="1" applyFont="1" applyAlignment="1">
      <alignment horizontal="left"/>
    </xf>
    <xf numFmtId="0" fontId="40" fillId="0" borderId="0" xfId="0" applyFont="1"/>
    <xf numFmtId="38" fontId="23" fillId="3" borderId="46" xfId="0" applyNumberFormat="1" applyFont="1" applyFill="1" applyBorder="1" applyAlignment="1">
      <alignment vertical="center"/>
    </xf>
    <xf numFmtId="166" fontId="19" fillId="0" borderId="50" xfId="0" applyNumberFormat="1" applyFont="1" applyBorder="1" applyAlignment="1" applyProtection="1">
      <alignment vertical="center"/>
      <protection locked="0"/>
    </xf>
    <xf numFmtId="37" fontId="23" fillId="0" borderId="34" xfId="0" applyNumberFormat="1" applyFont="1" applyBorder="1" applyAlignment="1">
      <alignment horizontal="left" vertical="center" indent="1"/>
    </xf>
    <xf numFmtId="166" fontId="19" fillId="0" borderId="37" xfId="0" applyNumberFormat="1" applyFont="1" applyBorder="1" applyAlignment="1" applyProtection="1">
      <alignment vertical="center"/>
      <protection locked="0"/>
    </xf>
    <xf numFmtId="37" fontId="12" fillId="0" borderId="15" xfId="0" applyNumberFormat="1" applyFont="1" applyBorder="1" applyAlignment="1">
      <alignment horizontal="left" vertical="center" indent="1"/>
    </xf>
    <xf numFmtId="38" fontId="19" fillId="0" borderId="16" xfId="1" applyNumberFormat="1" applyFont="1" applyBorder="1" applyAlignment="1">
      <alignment vertical="center"/>
    </xf>
    <xf numFmtId="38" fontId="19" fillId="0" borderId="0" xfId="1" applyNumberFormat="1" applyFont="1" applyAlignment="1">
      <alignment vertical="center"/>
    </xf>
    <xf numFmtId="166" fontId="19" fillId="0" borderId="0" xfId="1" applyNumberFormat="1" applyFont="1" applyAlignment="1">
      <alignment vertical="center"/>
    </xf>
    <xf numFmtId="0" fontId="34" fillId="0" borderId="0" xfId="0" applyFont="1" applyAlignment="1">
      <alignment horizontal="left" vertical="center" indent="1"/>
    </xf>
    <xf numFmtId="38" fontId="36" fillId="0" borderId="0" xfId="1" applyNumberFormat="1" applyFont="1" applyAlignment="1">
      <alignment vertical="center"/>
    </xf>
    <xf numFmtId="166" fontId="36" fillId="0" borderId="0" xfId="1" applyNumberFormat="1" applyFont="1" applyAlignment="1">
      <alignment vertical="center"/>
    </xf>
    <xf numFmtId="39" fontId="40" fillId="0" borderId="0" xfId="0" applyNumberFormat="1" applyFont="1"/>
    <xf numFmtId="39" fontId="3" fillId="0" borderId="0" xfId="0" applyNumberFormat="1" applyFont="1"/>
    <xf numFmtId="37" fontId="12" fillId="0" borderId="44" xfId="0" applyNumberFormat="1" applyFont="1" applyBorder="1" applyAlignment="1">
      <alignment horizontal="left" vertical="center" indent="1"/>
    </xf>
    <xf numFmtId="38" fontId="12" fillId="3" borderId="40" xfId="0" applyNumberFormat="1" applyFont="1" applyFill="1" applyBorder="1" applyAlignment="1">
      <alignment vertical="center"/>
    </xf>
    <xf numFmtId="166" fontId="12" fillId="0" borderId="46" xfId="0" applyNumberFormat="1" applyFont="1" applyBorder="1" applyAlignment="1">
      <alignment vertical="center"/>
    </xf>
    <xf numFmtId="166" fontId="2" fillId="0" borderId="23" xfId="0" applyNumberFormat="1" applyFont="1" applyBorder="1" applyAlignment="1" applyProtection="1">
      <alignment vertical="center"/>
      <protection locked="0"/>
    </xf>
    <xf numFmtId="37" fontId="46" fillId="0" borderId="44" xfId="0" applyNumberFormat="1" applyFont="1" applyBorder="1" applyAlignment="1">
      <alignment horizontal="left" vertical="center" indent="1"/>
    </xf>
    <xf numFmtId="38" fontId="12" fillId="3" borderId="27" xfId="0" applyNumberFormat="1" applyFont="1" applyFill="1" applyBorder="1" applyAlignment="1">
      <alignment vertical="center"/>
    </xf>
    <xf numFmtId="166" fontId="12" fillId="0" borderId="21" xfId="0" applyNumberFormat="1" applyFont="1" applyBorder="1" applyAlignment="1">
      <alignment vertical="center"/>
    </xf>
    <xf numFmtId="37" fontId="46" fillId="0" borderId="24" xfId="0" applyNumberFormat="1" applyFont="1" applyBorder="1" applyAlignment="1">
      <alignment horizontal="left" vertical="center" indent="1"/>
    </xf>
    <xf numFmtId="37" fontId="12" fillId="0" borderId="24" xfId="0" quotePrefix="1" applyNumberFormat="1" applyFont="1" applyBorder="1" applyAlignment="1">
      <alignment horizontal="left" vertical="center" indent="1"/>
    </xf>
    <xf numFmtId="37" fontId="46" fillId="0" borderId="24" xfId="0" quotePrefix="1" applyNumberFormat="1" applyFont="1" applyBorder="1" applyAlignment="1">
      <alignment horizontal="left" vertical="center" indent="1"/>
    </xf>
    <xf numFmtId="166" fontId="12" fillId="5" borderId="21" xfId="0" applyNumberFormat="1" applyFont="1" applyFill="1" applyBorder="1" applyAlignment="1">
      <alignment vertical="center"/>
    </xf>
    <xf numFmtId="166" fontId="47" fillId="0" borderId="21" xfId="0" applyNumberFormat="1" applyFont="1" applyBorder="1" applyAlignment="1">
      <alignment vertical="center"/>
    </xf>
    <xf numFmtId="38" fontId="12" fillId="4" borderId="27" xfId="0" applyNumberFormat="1" applyFont="1" applyFill="1" applyBorder="1" applyAlignment="1">
      <alignment vertical="center"/>
    </xf>
    <xf numFmtId="38" fontId="12" fillId="0" borderId="27" xfId="0" applyNumberFormat="1" applyFont="1" applyBorder="1" applyAlignment="1">
      <alignment vertical="center"/>
    </xf>
    <xf numFmtId="37" fontId="12" fillId="0" borderId="25" xfId="0" applyNumberFormat="1" applyFont="1" applyBorder="1" applyAlignment="1">
      <alignment horizontal="left" vertical="center" indent="1"/>
    </xf>
    <xf numFmtId="166" fontId="12" fillId="0" borderId="26" xfId="0" applyNumberFormat="1" applyFont="1" applyBorder="1" applyAlignment="1">
      <alignment vertical="center"/>
    </xf>
    <xf numFmtId="166" fontId="12" fillId="0" borderId="47" xfId="0" applyNumberFormat="1" applyFont="1" applyBorder="1" applyAlignment="1">
      <alignment vertical="center"/>
    </xf>
    <xf numFmtId="166" fontId="12" fillId="0" borderId="35" xfId="0" applyNumberFormat="1" applyFont="1" applyBorder="1" applyAlignment="1">
      <alignment vertical="center"/>
    </xf>
    <xf numFmtId="0" fontId="6" fillId="0" borderId="55" xfId="0" applyFont="1" applyBorder="1" applyAlignment="1">
      <alignment horizontal="left" vertical="center" indent="1"/>
    </xf>
    <xf numFmtId="38" fontId="6" fillId="0" borderId="14" xfId="1" applyNumberFormat="1" applyFont="1" applyBorder="1" applyAlignment="1">
      <alignment vertical="center"/>
    </xf>
    <xf numFmtId="166" fontId="6" fillId="0" borderId="14" xfId="1" applyNumberFormat="1" applyFont="1" applyBorder="1" applyAlignment="1">
      <alignment vertical="center"/>
    </xf>
    <xf numFmtId="37" fontId="12" fillId="0" borderId="4" xfId="0" applyNumberFormat="1" applyFont="1" applyBorder="1" applyAlignment="1">
      <alignment horizontal="left" vertical="center" indent="1"/>
    </xf>
    <xf numFmtId="166" fontId="6" fillId="0" borderId="14" xfId="0" applyNumberFormat="1" applyFont="1" applyBorder="1" applyAlignment="1" applyProtection="1">
      <alignment vertical="center"/>
      <protection locked="0"/>
    </xf>
    <xf numFmtId="38" fontId="6" fillId="0" borderId="56" xfId="1" applyNumberFormat="1" applyFont="1" applyBorder="1" applyAlignment="1">
      <alignment vertical="center"/>
    </xf>
    <xf numFmtId="37" fontId="46" fillId="3" borderId="15" xfId="0" applyNumberFormat="1" applyFont="1" applyFill="1" applyBorder="1" applyAlignment="1">
      <alignment vertical="center"/>
    </xf>
    <xf numFmtId="166" fontId="46" fillId="3" borderId="16" xfId="0" applyNumberFormat="1" applyFont="1" applyFill="1" applyBorder="1" applyAlignment="1">
      <alignment vertical="center"/>
    </xf>
    <xf numFmtId="0" fontId="3" fillId="0" borderId="0" xfId="0" applyFont="1" applyAlignment="1">
      <alignment horizontal="left"/>
    </xf>
    <xf numFmtId="37" fontId="49" fillId="0" borderId="15" xfId="0" applyNumberFormat="1" applyFont="1" applyBorder="1" applyAlignment="1">
      <alignment horizontal="center"/>
    </xf>
    <xf numFmtId="37" fontId="49" fillId="0" borderId="16" xfId="0" applyNumberFormat="1" applyFont="1" applyBorder="1" applyAlignment="1">
      <alignment horizontal="center" wrapText="1"/>
    </xf>
    <xf numFmtId="37" fontId="49" fillId="0" borderId="18" xfId="0" applyNumberFormat="1" applyFont="1" applyBorder="1" applyAlignment="1">
      <alignment horizontal="center" wrapText="1"/>
    </xf>
    <xf numFmtId="38" fontId="46" fillId="3" borderId="40" xfId="0" applyNumberFormat="1" applyFont="1" applyFill="1" applyBorder="1" applyAlignment="1">
      <alignment vertical="center"/>
    </xf>
    <xf numFmtId="166" fontId="46" fillId="0" borderId="46" xfId="0" applyNumberFormat="1" applyFont="1" applyBorder="1" applyAlignment="1">
      <alignment vertical="center"/>
    </xf>
    <xf numFmtId="166" fontId="33" fillId="0" borderId="23" xfId="0" applyNumberFormat="1" applyFont="1" applyBorder="1" applyAlignment="1" applyProtection="1">
      <alignment vertical="center"/>
      <protection locked="0"/>
    </xf>
    <xf numFmtId="38" fontId="46" fillId="3" borderId="27" xfId="0" applyNumberFormat="1" applyFont="1" applyFill="1" applyBorder="1" applyAlignment="1">
      <alignment vertical="center"/>
    </xf>
    <xf numFmtId="166" fontId="46" fillId="0" borderId="21" xfId="0" applyNumberFormat="1" applyFont="1" applyBorder="1" applyAlignment="1">
      <alignment vertical="center"/>
    </xf>
    <xf numFmtId="37" fontId="46" fillId="0" borderId="19" xfId="0" applyNumberFormat="1" applyFont="1" applyBorder="1" applyAlignment="1">
      <alignment horizontal="left" vertical="center" indent="1"/>
    </xf>
    <xf numFmtId="38" fontId="46" fillId="0" borderId="27" xfId="0" applyNumberFormat="1" applyFont="1" applyBorder="1" applyAlignment="1">
      <alignment vertical="center"/>
    </xf>
    <xf numFmtId="37" fontId="46" fillId="0" borderId="25" xfId="0" applyNumberFormat="1" applyFont="1" applyBorder="1" applyAlignment="1">
      <alignment horizontal="left" vertical="center" indent="1"/>
    </xf>
    <xf numFmtId="166" fontId="46" fillId="0" borderId="26" xfId="0" applyNumberFormat="1" applyFont="1" applyBorder="1" applyAlignment="1">
      <alignment vertical="center"/>
    </xf>
    <xf numFmtId="166" fontId="46" fillId="0" borderId="57" xfId="0" applyNumberFormat="1" applyFont="1" applyBorder="1" applyAlignment="1">
      <alignment vertical="center"/>
    </xf>
    <xf numFmtId="166" fontId="33" fillId="0" borderId="28" xfId="0" applyNumberFormat="1" applyFont="1" applyBorder="1" applyAlignment="1" applyProtection="1">
      <alignment vertical="center"/>
      <protection locked="0"/>
    </xf>
    <xf numFmtId="0" fontId="6" fillId="0" borderId="15" xfId="0" applyFont="1" applyBorder="1" applyAlignment="1">
      <alignment horizontal="left" vertical="center" indent="1"/>
    </xf>
    <xf numFmtId="38" fontId="50" fillId="0" borderId="17" xfId="1" applyNumberFormat="1" applyFont="1" applyBorder="1" applyAlignment="1">
      <alignment vertical="center"/>
    </xf>
    <xf numFmtId="166" fontId="50" fillId="0" borderId="14" xfId="1" applyNumberFormat="1" applyFont="1" applyBorder="1" applyAlignment="1">
      <alignment vertical="center"/>
    </xf>
    <xf numFmtId="166" fontId="50" fillId="0" borderId="58" xfId="1" applyNumberFormat="1" applyFont="1" applyBorder="1" applyAlignment="1">
      <alignment vertical="center"/>
    </xf>
    <xf numFmtId="38" fontId="33" fillId="0" borderId="1" xfId="1" applyNumberFormat="1" applyFont="1" applyBorder="1" applyAlignment="1">
      <alignment vertical="center"/>
    </xf>
    <xf numFmtId="166" fontId="33" fillId="0" borderId="56" xfId="1" applyNumberFormat="1" applyFont="1" applyBorder="1" applyAlignment="1">
      <alignment vertical="center"/>
    </xf>
    <xf numFmtId="166" fontId="33" fillId="0" borderId="59" xfId="1" applyNumberFormat="1" applyFont="1" applyBorder="1" applyAlignment="1">
      <alignment vertical="center"/>
    </xf>
    <xf numFmtId="166" fontId="33" fillId="0" borderId="5" xfId="0" applyNumberFormat="1" applyFont="1" applyBorder="1" applyAlignment="1" applyProtection="1">
      <alignment vertical="center"/>
      <protection locked="0"/>
    </xf>
    <xf numFmtId="38" fontId="50" fillId="0" borderId="14" xfId="1" applyNumberFormat="1" applyFont="1" applyBorder="1" applyAlignment="1">
      <alignment vertical="center"/>
    </xf>
    <xf numFmtId="38" fontId="50" fillId="0" borderId="60" xfId="1" applyNumberFormat="1" applyFont="1" applyBorder="1" applyAlignment="1">
      <alignment vertical="center"/>
    </xf>
    <xf numFmtId="38" fontId="50" fillId="0" borderId="58" xfId="1" applyNumberFormat="1" applyFont="1" applyBorder="1" applyAlignment="1">
      <alignment vertical="center"/>
    </xf>
    <xf numFmtId="0" fontId="2" fillId="0" borderId="0" xfId="0" applyFont="1" applyAlignment="1">
      <alignment vertical="center"/>
    </xf>
    <xf numFmtId="38" fontId="50" fillId="0" borderId="0" xfId="1" applyNumberFormat="1" applyFont="1" applyAlignment="1">
      <alignment vertical="center"/>
    </xf>
    <xf numFmtId="0" fontId="39" fillId="0" borderId="20" xfId="0" applyFont="1" applyBorder="1"/>
    <xf numFmtId="37" fontId="46" fillId="3" borderId="41" xfId="0" applyNumberFormat="1" applyFont="1" applyFill="1" applyBorder="1" applyAlignment="1">
      <alignment vertical="center"/>
    </xf>
    <xf numFmtId="166" fontId="46" fillId="3" borderId="42" xfId="0" applyNumberFormat="1" applyFont="1" applyFill="1" applyBorder="1" applyAlignment="1">
      <alignment vertical="center"/>
    </xf>
    <xf numFmtId="39" fontId="3" fillId="0" borderId="0" xfId="0" applyNumberFormat="1" applyFont="1" applyAlignment="1">
      <alignment horizontal="left"/>
    </xf>
    <xf numFmtId="0" fontId="37" fillId="0" borderId="0" xfId="0" applyFont="1"/>
    <xf numFmtId="37" fontId="54" fillId="0" borderId="15" xfId="0" applyNumberFormat="1" applyFont="1" applyBorder="1" applyAlignment="1">
      <alignment horizontal="center"/>
    </xf>
    <xf numFmtId="37" fontId="54" fillId="0" borderId="16" xfId="0" applyNumberFormat="1" applyFont="1" applyBorder="1" applyAlignment="1">
      <alignment horizontal="center" wrapText="1"/>
    </xf>
    <xf numFmtId="37" fontId="54" fillId="0" borderId="18" xfId="0" applyNumberFormat="1" applyFont="1" applyBorder="1" applyAlignment="1">
      <alignment horizontal="center" wrapText="1"/>
    </xf>
    <xf numFmtId="37" fontId="55" fillId="0" borderId="44" xfId="0" applyNumberFormat="1" applyFont="1" applyBorder="1" applyAlignment="1">
      <alignment horizontal="left" vertical="center" indent="1"/>
    </xf>
    <xf numFmtId="38" fontId="55" fillId="3" borderId="40" xfId="0" applyNumberFormat="1" applyFont="1" applyFill="1" applyBorder="1" applyAlignment="1">
      <alignment vertical="center"/>
    </xf>
    <xf numFmtId="166" fontId="55" fillId="0" borderId="46" xfId="0" applyNumberFormat="1" applyFont="1" applyBorder="1" applyAlignment="1">
      <alignment vertical="center"/>
    </xf>
    <xf numFmtId="166" fontId="56" fillId="0" borderId="23" xfId="0" applyNumberFormat="1" applyFont="1" applyBorder="1" applyAlignment="1" applyProtection="1">
      <alignment vertical="center"/>
      <protection locked="0"/>
    </xf>
    <xf numFmtId="37" fontId="55" fillId="0" borderId="24" xfId="0" applyNumberFormat="1" applyFont="1" applyBorder="1" applyAlignment="1">
      <alignment horizontal="left" vertical="center" indent="1"/>
    </xf>
    <xf numFmtId="38" fontId="55" fillId="3" borderId="27" xfId="0" applyNumberFormat="1" applyFont="1" applyFill="1" applyBorder="1" applyAlignment="1">
      <alignment vertical="center"/>
    </xf>
    <xf numFmtId="166" fontId="55" fillId="0" borderId="21" xfId="0" applyNumberFormat="1" applyFont="1" applyBorder="1" applyAlignment="1">
      <alignment vertical="center"/>
    </xf>
    <xf numFmtId="37" fontId="55" fillId="0" borderId="24" xfId="0" quotePrefix="1" applyNumberFormat="1" applyFont="1" applyBorder="1" applyAlignment="1">
      <alignment horizontal="left" vertical="center" indent="1"/>
    </xf>
    <xf numFmtId="166" fontId="55" fillId="5" borderId="21" xfId="0" applyNumberFormat="1" applyFont="1" applyFill="1" applyBorder="1" applyAlignment="1">
      <alignment vertical="center"/>
    </xf>
    <xf numFmtId="37" fontId="55" fillId="0" borderId="19" xfId="0" applyNumberFormat="1" applyFont="1" applyBorder="1" applyAlignment="1">
      <alignment horizontal="left" vertical="center" indent="1"/>
    </xf>
    <xf numFmtId="37" fontId="55" fillId="0" borderId="25" xfId="0" applyNumberFormat="1" applyFont="1" applyBorder="1" applyAlignment="1">
      <alignment horizontal="left" vertical="center" indent="1"/>
    </xf>
    <xf numFmtId="166" fontId="55" fillId="0" borderId="26" xfId="0" applyNumberFormat="1" applyFont="1" applyBorder="1" applyAlignment="1">
      <alignment vertical="center"/>
    </xf>
    <xf numFmtId="166" fontId="55" fillId="0" borderId="47" xfId="0" applyNumberFormat="1" applyFont="1" applyBorder="1" applyAlignment="1">
      <alignment vertical="center"/>
    </xf>
    <xf numFmtId="166" fontId="55" fillId="0" borderId="35" xfId="0" applyNumberFormat="1" applyFont="1" applyBorder="1" applyAlignment="1">
      <alignment vertical="center"/>
    </xf>
    <xf numFmtId="0" fontId="57" fillId="0" borderId="15" xfId="0" applyFont="1" applyBorder="1" applyAlignment="1">
      <alignment horizontal="left" vertical="center" indent="1"/>
    </xf>
    <xf numFmtId="38" fontId="57" fillId="0" borderId="17" xfId="1" applyNumberFormat="1" applyFont="1" applyBorder="1" applyAlignment="1">
      <alignment vertical="center"/>
    </xf>
    <xf numFmtId="166" fontId="57" fillId="0" borderId="14" xfId="1" applyNumberFormat="1" applyFont="1" applyBorder="1" applyAlignment="1">
      <alignment vertical="center"/>
    </xf>
    <xf numFmtId="166" fontId="57" fillId="0" borderId="54" xfId="1" applyNumberFormat="1" applyFont="1" applyBorder="1" applyAlignment="1">
      <alignment vertical="center"/>
    </xf>
    <xf numFmtId="166" fontId="57" fillId="0" borderId="16" xfId="1" applyNumberFormat="1" applyFont="1" applyBorder="1" applyAlignment="1">
      <alignment vertical="center"/>
    </xf>
    <xf numFmtId="166" fontId="57" fillId="0" borderId="18" xfId="1" applyNumberFormat="1" applyFont="1" applyBorder="1" applyAlignment="1">
      <alignment vertical="center"/>
    </xf>
    <xf numFmtId="0" fontId="33" fillId="0" borderId="0" xfId="0" applyFont="1" applyAlignment="1">
      <alignment vertical="center"/>
    </xf>
    <xf numFmtId="166" fontId="46" fillId="3" borderId="18" xfId="0" applyNumberFormat="1" applyFont="1" applyFill="1" applyBorder="1" applyAlignment="1">
      <alignment vertical="center"/>
    </xf>
    <xf numFmtId="39" fontId="3" fillId="0" borderId="0" xfId="0" applyNumberFormat="1" applyFont="1" applyAlignment="1">
      <alignment horizontal="right"/>
    </xf>
    <xf numFmtId="37" fontId="49" fillId="0" borderId="15" xfId="0" applyNumberFormat="1" applyFont="1" applyBorder="1" applyAlignment="1">
      <alignment horizontal="left" vertical="top" indent="1"/>
    </xf>
    <xf numFmtId="37" fontId="49" fillId="0" borderId="16" xfId="0" applyNumberFormat="1" applyFont="1" applyBorder="1" applyAlignment="1">
      <alignment horizontal="centerContinuous" vertical="top" wrapText="1"/>
    </xf>
    <xf numFmtId="37" fontId="49" fillId="0" borderId="18" xfId="0" applyNumberFormat="1" applyFont="1" applyBorder="1" applyAlignment="1">
      <alignment horizontal="centerContinuous" vertical="top" wrapText="1"/>
    </xf>
    <xf numFmtId="37" fontId="35" fillId="0" borderId="44" xfId="0" applyNumberFormat="1" applyFont="1" applyBorder="1" applyAlignment="1">
      <alignment horizontal="left" vertical="center" indent="1"/>
    </xf>
    <xf numFmtId="38" fontId="35" fillId="3" borderId="40" xfId="0" applyNumberFormat="1" applyFont="1" applyFill="1" applyBorder="1" applyAlignment="1">
      <alignment vertical="center"/>
    </xf>
    <xf numFmtId="166" fontId="35" fillId="0" borderId="46" xfId="0" applyNumberFormat="1" applyFont="1" applyBorder="1" applyAlignment="1">
      <alignment vertical="center"/>
    </xf>
    <xf numFmtId="166" fontId="34" fillId="0" borderId="23" xfId="0" applyNumberFormat="1" applyFont="1" applyBorder="1" applyAlignment="1" applyProtection="1">
      <alignment vertical="center"/>
      <protection locked="0"/>
    </xf>
    <xf numFmtId="37" fontId="35" fillId="0" borderId="24" xfId="0" applyNumberFormat="1" applyFont="1" applyBorder="1" applyAlignment="1">
      <alignment horizontal="left" vertical="center" indent="1"/>
    </xf>
    <xf numFmtId="166" fontId="35" fillId="0" borderId="21" xfId="0" applyNumberFormat="1" applyFont="1" applyBorder="1" applyAlignment="1">
      <alignment vertical="center"/>
    </xf>
    <xf numFmtId="37" fontId="35" fillId="0" borderId="24" xfId="0" quotePrefix="1" applyNumberFormat="1" applyFont="1" applyBorder="1" applyAlignment="1">
      <alignment horizontal="left" vertical="center" indent="1"/>
    </xf>
    <xf numFmtId="38" fontId="35" fillId="3" borderId="27" xfId="0" applyNumberFormat="1" applyFont="1" applyFill="1" applyBorder="1" applyAlignment="1">
      <alignment vertical="center"/>
    </xf>
    <xf numFmtId="37" fontId="35" fillId="0" borderId="19" xfId="0" applyNumberFormat="1" applyFont="1" applyBorder="1" applyAlignment="1">
      <alignment horizontal="left" vertical="center" indent="1"/>
    </xf>
    <xf numFmtId="37" fontId="35" fillId="0" borderId="25" xfId="0" applyNumberFormat="1" applyFont="1" applyBorder="1" applyAlignment="1">
      <alignment horizontal="left" vertical="center" indent="1"/>
    </xf>
    <xf numFmtId="166" fontId="35" fillId="0" borderId="26" xfId="0" applyNumberFormat="1" applyFont="1" applyBorder="1" applyAlignment="1">
      <alignment vertical="center"/>
    </xf>
    <xf numFmtId="166" fontId="35" fillId="0" borderId="47" xfId="0" applyNumberFormat="1" applyFont="1" applyBorder="1" applyAlignment="1">
      <alignment vertical="center"/>
    </xf>
    <xf numFmtId="166" fontId="35" fillId="0" borderId="35" xfId="0" applyNumberFormat="1" applyFont="1" applyBorder="1" applyAlignment="1">
      <alignment vertical="center"/>
    </xf>
    <xf numFmtId="0" fontId="36" fillId="0" borderId="15" xfId="0" applyFont="1" applyBorder="1" applyAlignment="1">
      <alignment horizontal="left" vertical="center" indent="1"/>
    </xf>
    <xf numFmtId="38" fontId="36" fillId="0" borderId="17" xfId="1" applyNumberFormat="1" applyFont="1" applyBorder="1" applyAlignment="1">
      <alignment vertical="center"/>
    </xf>
    <xf numFmtId="166" fontId="36" fillId="0" borderId="14" xfId="1" applyNumberFormat="1" applyFont="1" applyBorder="1" applyAlignment="1">
      <alignment vertical="center"/>
    </xf>
    <xf numFmtId="166" fontId="36" fillId="0" borderId="54" xfId="1" applyNumberFormat="1" applyFont="1" applyBorder="1" applyAlignment="1">
      <alignment vertical="center"/>
    </xf>
    <xf numFmtId="166" fontId="36" fillId="0" borderId="16" xfId="1" applyNumberFormat="1" applyFont="1" applyBorder="1" applyAlignment="1">
      <alignment vertical="center"/>
    </xf>
    <xf numFmtId="0" fontId="34" fillId="0" borderId="0" xfId="0" applyFont="1" applyAlignment="1">
      <alignment wrapText="1"/>
    </xf>
    <xf numFmtId="0" fontId="3" fillId="0" borderId="0" xfId="0" applyFont="1"/>
    <xf numFmtId="37" fontId="49" fillId="0" borderId="15" xfId="0" applyNumberFormat="1" applyFont="1" applyBorder="1" applyAlignment="1">
      <alignment horizontal="center" vertical="top"/>
    </xf>
    <xf numFmtId="37" fontId="49" fillId="0" borderId="16" xfId="0" applyNumberFormat="1" applyFont="1" applyBorder="1" applyAlignment="1">
      <alignment horizontal="center" vertical="top" wrapText="1"/>
    </xf>
    <xf numFmtId="37" fontId="49" fillId="0" borderId="18" xfId="0" applyNumberFormat="1" applyFont="1" applyBorder="1" applyAlignment="1">
      <alignment horizontal="center" vertical="top" wrapText="1"/>
    </xf>
    <xf numFmtId="166" fontId="35" fillId="6" borderId="21" xfId="0" applyNumberFormat="1" applyFont="1" applyFill="1" applyBorder="1" applyAlignment="1">
      <alignment vertical="center"/>
    </xf>
    <xf numFmtId="0" fontId="0" fillId="6" borderId="0" xfId="0" applyFill="1"/>
    <xf numFmtId="0" fontId="34" fillId="0" borderId="0" xfId="0" applyFont="1" applyAlignment="1" applyProtection="1">
      <alignment horizontal="left"/>
      <protection locked="0"/>
    </xf>
    <xf numFmtId="0" fontId="34" fillId="0" borderId="0" xfId="0" applyFont="1" applyAlignment="1">
      <alignment horizontal="right"/>
    </xf>
    <xf numFmtId="0" fontId="34" fillId="0" borderId="0" xfId="0" applyFont="1" applyAlignment="1">
      <alignment horizontal="left"/>
    </xf>
    <xf numFmtId="166" fontId="36" fillId="0" borderId="0" xfId="0" applyNumberFormat="1" applyFont="1" applyAlignment="1">
      <alignment horizontal="right"/>
    </xf>
    <xf numFmtId="166" fontId="34" fillId="0" borderId="0" xfId="0" applyNumberFormat="1" applyFont="1" applyAlignment="1">
      <alignment horizontal="right"/>
    </xf>
    <xf numFmtId="0" fontId="2" fillId="0" borderId="0" xfId="0" applyFont="1" applyAlignment="1" applyProtection="1">
      <alignment horizontal="left"/>
      <protection locked="0"/>
    </xf>
    <xf numFmtId="38" fontId="2" fillId="0" borderId="0" xfId="0" applyNumberFormat="1" applyFont="1"/>
    <xf numFmtId="38" fontId="2" fillId="0" borderId="0" xfId="0" applyNumberFormat="1" applyFont="1" applyAlignment="1">
      <alignment horizontal="right"/>
    </xf>
    <xf numFmtId="37" fontId="11" fillId="0" borderId="15" xfId="0" applyNumberFormat="1" applyFont="1" applyBorder="1" applyAlignment="1">
      <alignment horizontal="left" vertical="top" indent="1"/>
    </xf>
    <xf numFmtId="37" fontId="11" fillId="0" borderId="16" xfId="0" applyNumberFormat="1" applyFont="1" applyBorder="1" applyAlignment="1">
      <alignment horizontal="centerContinuous" vertical="top" wrapText="1"/>
    </xf>
    <xf numFmtId="38" fontId="11" fillId="0" borderId="18" xfId="0" applyNumberFormat="1" applyFont="1" applyBorder="1" applyAlignment="1">
      <alignment horizontal="centerContinuous" vertical="top" wrapText="1"/>
    </xf>
    <xf numFmtId="166" fontId="6" fillId="0" borderId="0" xfId="0" applyNumberFormat="1" applyFont="1" applyAlignment="1">
      <alignment horizontal="right"/>
    </xf>
    <xf numFmtId="38" fontId="58" fillId="3" borderId="40" xfId="0" applyNumberFormat="1" applyFont="1" applyFill="1" applyBorder="1" applyAlignment="1">
      <alignment vertical="center"/>
    </xf>
    <xf numFmtId="166" fontId="58" fillId="0" borderId="46" xfId="0" applyNumberFormat="1" applyFont="1" applyBorder="1" applyAlignment="1">
      <alignment vertical="center"/>
    </xf>
    <xf numFmtId="38" fontId="2" fillId="0" borderId="50" xfId="0" applyNumberFormat="1" applyFont="1" applyBorder="1" applyAlignment="1" applyProtection="1">
      <alignment vertical="center"/>
      <protection locked="0"/>
    </xf>
    <xf numFmtId="166" fontId="2" fillId="0" borderId="0" xfId="0" applyNumberFormat="1" applyFont="1" applyAlignment="1">
      <alignment horizontal="right"/>
    </xf>
    <xf numFmtId="38" fontId="58" fillId="3" borderId="27" xfId="0" applyNumberFormat="1" applyFont="1" applyFill="1" applyBorder="1" applyAlignment="1">
      <alignment vertical="center"/>
    </xf>
    <xf numFmtId="166" fontId="58" fillId="0" borderId="21" xfId="0" applyNumberFormat="1" applyFont="1" applyBorder="1" applyAlignment="1">
      <alignment vertical="center"/>
    </xf>
    <xf numFmtId="38" fontId="2" fillId="0" borderId="23" xfId="0" applyNumberFormat="1" applyFont="1" applyBorder="1" applyAlignment="1" applyProtection="1">
      <alignment vertical="center"/>
      <protection locked="0"/>
    </xf>
    <xf numFmtId="166" fontId="58" fillId="0" borderId="35" xfId="0" applyNumberFormat="1" applyFont="1" applyBorder="1" applyAlignment="1">
      <alignment vertical="center"/>
    </xf>
    <xf numFmtId="38" fontId="2" fillId="0" borderId="28" xfId="0" applyNumberFormat="1" applyFont="1" applyBorder="1" applyAlignment="1" applyProtection="1">
      <alignment vertical="center"/>
      <protection locked="0"/>
    </xf>
    <xf numFmtId="38" fontId="6" fillId="0" borderId="16" xfId="1" applyNumberFormat="1" applyFont="1" applyBorder="1" applyAlignment="1">
      <alignment vertical="center"/>
    </xf>
    <xf numFmtId="38" fontId="59" fillId="0" borderId="18" xfId="0" applyNumberFormat="1" applyFont="1" applyBorder="1" applyAlignment="1">
      <alignment vertical="center"/>
    </xf>
    <xf numFmtId="37" fontId="46" fillId="0" borderId="0" xfId="0" applyNumberFormat="1" applyFont="1" applyAlignment="1" applyProtection="1">
      <alignment horizontal="left" vertical="center"/>
      <protection locked="0"/>
    </xf>
    <xf numFmtId="38" fontId="2" fillId="0" borderId="0" xfId="0" applyNumberFormat="1" applyFont="1" applyAlignment="1">
      <alignment vertical="center"/>
    </xf>
    <xf numFmtId="37" fontId="12" fillId="0" borderId="0" xfId="0" applyNumberFormat="1" applyFont="1" applyAlignment="1" applyProtection="1">
      <alignment horizontal="left" vertical="center"/>
      <protection locked="0"/>
    </xf>
    <xf numFmtId="37" fontId="12" fillId="3" borderId="15" xfId="0" applyNumberFormat="1" applyFont="1" applyFill="1" applyBorder="1" applyAlignment="1">
      <alignment vertical="center"/>
    </xf>
    <xf numFmtId="166" fontId="58" fillId="3" borderId="16" xfId="0" applyNumberFormat="1" applyFont="1" applyFill="1" applyBorder="1" applyAlignment="1">
      <alignment vertical="center"/>
    </xf>
    <xf numFmtId="38" fontId="2" fillId="3" borderId="18" xfId="0" applyNumberFormat="1" applyFont="1" applyFill="1" applyBorder="1" applyAlignment="1" applyProtection="1">
      <alignment vertical="center"/>
      <protection locked="0"/>
    </xf>
    <xf numFmtId="0" fontId="60" fillId="0" borderId="0" xfId="0" applyFont="1" applyAlignment="1">
      <alignment wrapText="1"/>
    </xf>
    <xf numFmtId="0" fontId="2" fillId="0" borderId="0" xfId="0" applyFont="1" applyAlignment="1">
      <alignment horizontal="right"/>
    </xf>
    <xf numFmtId="0" fontId="2" fillId="0" borderId="0" xfId="0" applyFont="1" applyAlignment="1">
      <alignment horizontal="centerContinuous" vertical="top"/>
    </xf>
    <xf numFmtId="37" fontId="6" fillId="0" borderId="0" xfId="0" applyNumberFormat="1" applyFont="1" applyAlignment="1">
      <alignment horizontal="centerContinuous" vertical="top"/>
    </xf>
    <xf numFmtId="37" fontId="17" fillId="0" borderId="0" xfId="0" applyNumberFormat="1" applyFont="1" applyAlignment="1">
      <alignment horizontal="centerContinuous" vertical="top"/>
    </xf>
    <xf numFmtId="37" fontId="11" fillId="0" borderId="18" xfId="0" applyNumberFormat="1" applyFont="1" applyBorder="1" applyAlignment="1">
      <alignment horizontal="centerContinuous" vertical="top" wrapText="1"/>
    </xf>
    <xf numFmtId="166" fontId="58" fillId="0" borderId="50" xfId="0" applyNumberFormat="1" applyFont="1" applyBorder="1" applyAlignment="1">
      <alignment vertical="center"/>
    </xf>
    <xf numFmtId="166" fontId="58" fillId="0" borderId="23" xfId="0" applyNumberFormat="1" applyFont="1" applyBorder="1" applyAlignment="1">
      <alignment vertical="center"/>
    </xf>
    <xf numFmtId="37" fontId="12" fillId="0" borderId="0" xfId="0" applyNumberFormat="1" applyFont="1" applyAlignment="1" applyProtection="1">
      <alignment horizontal="left" vertical="center" indent="1"/>
      <protection locked="0"/>
    </xf>
    <xf numFmtId="43" fontId="2" fillId="0" borderId="0" xfId="1" applyFont="1" applyAlignment="1">
      <alignment vertical="center"/>
    </xf>
    <xf numFmtId="0" fontId="2" fillId="0" borderId="0" xfId="0" applyFont="1" applyAlignment="1">
      <alignment horizontal="left" indent="1"/>
    </xf>
    <xf numFmtId="0" fontId="2" fillId="0" borderId="0" xfId="0" applyFont="1" applyAlignment="1">
      <alignment horizontal="left" vertical="center" indent="1"/>
    </xf>
    <xf numFmtId="37" fontId="12" fillId="3" borderId="15" xfId="0" applyNumberFormat="1" applyFont="1" applyFill="1" applyBorder="1" applyAlignment="1">
      <alignment horizontal="left" vertical="center" indent="1"/>
    </xf>
    <xf numFmtId="166" fontId="2" fillId="3" borderId="18" xfId="0" applyNumberFormat="1" applyFont="1" applyFill="1" applyBorder="1" applyAlignment="1" applyProtection="1">
      <alignment vertical="center"/>
      <protection locked="0"/>
    </xf>
    <xf numFmtId="166" fontId="58" fillId="0" borderId="40" xfId="0" applyNumberFormat="1" applyFont="1" applyBorder="1" applyAlignment="1">
      <alignment vertical="center"/>
    </xf>
    <xf numFmtId="166" fontId="2" fillId="0" borderId="50" xfId="0" applyNumberFormat="1" applyFont="1" applyBorder="1" applyAlignment="1" applyProtection="1">
      <alignment vertical="center"/>
      <protection locked="0"/>
    </xf>
    <xf numFmtId="166" fontId="58" fillId="0" borderId="27" xfId="0" applyNumberFormat="1" applyFont="1" applyBorder="1" applyAlignment="1">
      <alignment vertical="center"/>
    </xf>
    <xf numFmtId="166" fontId="58" fillId="2" borderId="27" xfId="0" applyNumberFormat="1" applyFont="1" applyFill="1" applyBorder="1" applyAlignment="1">
      <alignment vertical="center"/>
    </xf>
    <xf numFmtId="166" fontId="61" fillId="0" borderId="27" xfId="0" applyNumberFormat="1" applyFont="1" applyBorder="1" applyAlignment="1">
      <alignment vertical="center"/>
    </xf>
    <xf numFmtId="166" fontId="2" fillId="0" borderId="28" xfId="0" applyNumberFormat="1" applyFont="1" applyBorder="1" applyAlignment="1" applyProtection="1">
      <alignment vertical="center"/>
      <protection locked="0"/>
    </xf>
    <xf numFmtId="166" fontId="59" fillId="0" borderId="18" xfId="0" applyNumberFormat="1" applyFont="1" applyBorder="1" applyAlignment="1">
      <alignment vertical="center"/>
    </xf>
    <xf numFmtId="166" fontId="61" fillId="0" borderId="40" xfId="0" applyNumberFormat="1" applyFont="1" applyBorder="1" applyAlignment="1">
      <alignment vertical="center"/>
    </xf>
    <xf numFmtId="0" fontId="62" fillId="0" borderId="0" xfId="0" applyFont="1"/>
    <xf numFmtId="43" fontId="2" fillId="4" borderId="0" xfId="1" applyFont="1" applyFill="1"/>
    <xf numFmtId="166" fontId="11" fillId="0" borderId="17" xfId="0" applyNumberFormat="1" applyFont="1" applyBorder="1" applyAlignment="1">
      <alignment vertical="center"/>
    </xf>
    <xf numFmtId="166" fontId="11" fillId="0" borderId="16" xfId="0" applyNumberFormat="1" applyFont="1" applyBorder="1" applyAlignment="1">
      <alignment vertical="center"/>
    </xf>
    <xf numFmtId="37" fontId="11" fillId="0" borderId="15" xfId="0" applyNumberFormat="1" applyFont="1" applyBorder="1" applyAlignment="1">
      <alignment horizontal="left" vertical="top"/>
    </xf>
    <xf numFmtId="37" fontId="12" fillId="0" borderId="44" xfId="0" applyNumberFormat="1" applyFont="1" applyBorder="1" applyAlignment="1">
      <alignment vertical="center"/>
    </xf>
    <xf numFmtId="37" fontId="12" fillId="0" borderId="24" xfId="0" applyNumberFormat="1" applyFont="1" applyBorder="1" applyAlignment="1">
      <alignment vertical="center"/>
    </xf>
    <xf numFmtId="37" fontId="12" fillId="0" borderId="24" xfId="0" quotePrefix="1" applyNumberFormat="1" applyFont="1" applyBorder="1" applyAlignment="1">
      <alignment horizontal="left" vertical="center"/>
    </xf>
    <xf numFmtId="166" fontId="2" fillId="0" borderId="21" xfId="1" applyNumberFormat="1" applyFont="1" applyBorder="1" applyProtection="1">
      <protection locked="0"/>
    </xf>
    <xf numFmtId="166" fontId="2" fillId="0" borderId="21" xfId="0" applyNumberFormat="1" applyFont="1" applyBorder="1" applyProtection="1">
      <protection locked="0"/>
    </xf>
    <xf numFmtId="37" fontId="12" fillId="0" borderId="19" xfId="0" applyNumberFormat="1" applyFont="1" applyBorder="1" applyAlignment="1">
      <alignment vertical="center"/>
    </xf>
    <xf numFmtId="37" fontId="12" fillId="0" borderId="25" xfId="0" applyNumberFormat="1" applyFont="1" applyBorder="1" applyAlignment="1">
      <alignment vertical="center"/>
    </xf>
    <xf numFmtId="166" fontId="58" fillId="0" borderId="37" xfId="0" applyNumberFormat="1" applyFont="1" applyBorder="1" applyAlignment="1">
      <alignment vertical="center"/>
    </xf>
    <xf numFmtId="0" fontId="6" fillId="0" borderId="15" xfId="0" applyFont="1" applyBorder="1" applyAlignment="1">
      <alignment vertical="center"/>
    </xf>
    <xf numFmtId="37" fontId="12" fillId="0" borderId="44" xfId="0" applyNumberFormat="1" applyFont="1" applyBorder="1" applyAlignment="1">
      <alignment horizontal="left" indent="1"/>
    </xf>
    <xf numFmtId="166" fontId="2" fillId="0" borderId="46" xfId="1" applyNumberFormat="1" applyFont="1" applyBorder="1"/>
    <xf numFmtId="166" fontId="2" fillId="0" borderId="46" xfId="1" applyNumberFormat="1" applyFont="1" applyBorder="1" applyProtection="1">
      <protection locked="0"/>
    </xf>
    <xf numFmtId="166" fontId="2" fillId="0" borderId="46" xfId="0" applyNumberFormat="1" applyFont="1" applyBorder="1" applyProtection="1">
      <protection locked="0"/>
    </xf>
    <xf numFmtId="166" fontId="2" fillId="0" borderId="50" xfId="0" applyNumberFormat="1" applyFont="1" applyBorder="1"/>
    <xf numFmtId="37" fontId="12" fillId="0" borderId="24" xfId="0" applyNumberFormat="1" applyFont="1" applyBorder="1" applyAlignment="1">
      <alignment horizontal="left" indent="1"/>
    </xf>
    <xf numFmtId="166" fontId="2" fillId="0" borderId="21" xfId="1" applyNumberFormat="1" applyFont="1" applyBorder="1"/>
    <xf numFmtId="166" fontId="2" fillId="0" borderId="23" xfId="0" applyNumberFormat="1" applyFont="1" applyBorder="1"/>
    <xf numFmtId="37" fontId="12" fillId="0" borderId="24" xfId="0" quotePrefix="1" applyNumberFormat="1" applyFont="1" applyBorder="1" applyAlignment="1">
      <alignment horizontal="left" indent="1"/>
    </xf>
    <xf numFmtId="166" fontId="58" fillId="0" borderId="22" xfId="0" applyNumberFormat="1" applyFont="1" applyBorder="1" applyAlignment="1">
      <alignment vertical="center"/>
    </xf>
    <xf numFmtId="166" fontId="39" fillId="0" borderId="0" xfId="0" applyNumberFormat="1" applyFont="1"/>
    <xf numFmtId="37" fontId="12" fillId="0" borderId="25" xfId="0" applyNumberFormat="1" applyFont="1" applyBorder="1" applyAlignment="1">
      <alignment horizontal="left" indent="1"/>
    </xf>
    <xf numFmtId="166" fontId="2" fillId="0" borderId="26" xfId="1" applyNumberFormat="1" applyFont="1" applyBorder="1"/>
    <xf numFmtId="166" fontId="2" fillId="0" borderId="26" xfId="1" applyNumberFormat="1" applyFont="1" applyBorder="1" applyProtection="1">
      <protection locked="0"/>
    </xf>
    <xf numFmtId="166" fontId="2" fillId="0" borderId="26" xfId="0" applyNumberFormat="1" applyFont="1" applyBorder="1" applyProtection="1">
      <protection locked="0"/>
    </xf>
    <xf numFmtId="166" fontId="2" fillId="0" borderId="37" xfId="0" applyNumberFormat="1" applyFont="1" applyBorder="1"/>
    <xf numFmtId="37" fontId="11" fillId="0" borderId="15" xfId="0" applyNumberFormat="1" applyFont="1" applyBorder="1" applyAlignment="1">
      <alignment horizontal="left" indent="1"/>
    </xf>
    <xf numFmtId="166" fontId="6" fillId="0" borderId="16" xfId="1" applyNumberFormat="1" applyFont="1" applyBorder="1"/>
    <xf numFmtId="37" fontId="11" fillId="0" borderId="0" xfId="0" applyNumberFormat="1" applyFont="1" applyAlignment="1">
      <alignment horizontal="left" indent="1"/>
    </xf>
    <xf numFmtId="166" fontId="6" fillId="0" borderId="0" xfId="1" applyNumberFormat="1" applyFont="1"/>
    <xf numFmtId="166" fontId="59" fillId="0" borderId="0" xfId="0" applyNumberFormat="1" applyFont="1" applyAlignment="1">
      <alignment vertical="center"/>
    </xf>
    <xf numFmtId="0" fontId="45" fillId="4" borderId="0" xfId="0" applyFont="1" applyFill="1" applyAlignment="1">
      <alignment horizontal="left" indent="1"/>
    </xf>
    <xf numFmtId="0" fontId="63" fillId="0" borderId="0" xfId="0" applyFont="1"/>
    <xf numFmtId="37" fontId="12" fillId="0" borderId="19" xfId="0" applyNumberFormat="1" applyFont="1" applyBorder="1" applyAlignment="1">
      <alignment horizontal="left" indent="1"/>
    </xf>
    <xf numFmtId="166" fontId="12" fillId="0" borderId="30" xfId="0" applyNumberFormat="1" applyFont="1" applyBorder="1"/>
    <xf numFmtId="166" fontId="2" fillId="0" borderId="50" xfId="0" applyNumberFormat="1" applyFont="1" applyBorder="1" applyProtection="1">
      <protection locked="0"/>
    </xf>
    <xf numFmtId="166" fontId="12" fillId="0" borderId="27" xfId="0" applyNumberFormat="1" applyFont="1" applyBorder="1"/>
    <xf numFmtId="166" fontId="2" fillId="0" borderId="23" xfId="0" applyNumberFormat="1" applyFont="1" applyBorder="1" applyProtection="1">
      <protection locked="0"/>
    </xf>
    <xf numFmtId="3" fontId="12" fillId="0" borderId="27" xfId="0" applyNumberFormat="1" applyFont="1" applyBorder="1"/>
    <xf numFmtId="166" fontId="2" fillId="0" borderId="37" xfId="0" applyNumberFormat="1" applyFont="1" applyBorder="1" applyProtection="1">
      <protection locked="0"/>
    </xf>
    <xf numFmtId="0" fontId="6" fillId="0" borderId="15" xfId="0" applyFont="1" applyBorder="1" applyAlignment="1">
      <alignment horizontal="left" indent="1"/>
    </xf>
    <xf numFmtId="166" fontId="59" fillId="0" borderId="18" xfId="0" applyNumberFormat="1" applyFont="1" applyBorder="1"/>
    <xf numFmtId="37" fontId="12" fillId="0" borderId="0" xfId="0" applyNumberFormat="1" applyFont="1" applyAlignment="1" applyProtection="1">
      <alignment horizontal="left"/>
      <protection locked="0"/>
    </xf>
    <xf numFmtId="166" fontId="58" fillId="0" borderId="46" xfId="0" applyNumberFormat="1" applyFont="1" applyBorder="1" applyAlignment="1">
      <alignment horizontal="right" vertical="center"/>
    </xf>
    <xf numFmtId="166" fontId="2" fillId="0" borderId="50" xfId="0" applyNumberFormat="1" applyFont="1" applyBorder="1" applyAlignment="1">
      <alignment horizontal="right" vertical="center"/>
    </xf>
    <xf numFmtId="166" fontId="58" fillId="0" borderId="21" xfId="0" applyNumberFormat="1" applyFont="1" applyBorder="1" applyAlignment="1">
      <alignment horizontal="right" vertical="center"/>
    </xf>
    <xf numFmtId="166" fontId="2" fillId="0" borderId="23" xfId="0" applyNumberFormat="1" applyFont="1" applyBorder="1" applyAlignment="1">
      <alignment horizontal="right" vertical="center"/>
    </xf>
    <xf numFmtId="166" fontId="2" fillId="0" borderId="37" xfId="0" applyNumberFormat="1" applyFont="1" applyBorder="1" applyAlignment="1">
      <alignment horizontal="right" vertical="center"/>
    </xf>
    <xf numFmtId="166" fontId="6" fillId="0" borderId="16" xfId="1" applyNumberFormat="1" applyFont="1" applyBorder="1" applyAlignment="1">
      <alignment horizontal="right" vertical="center"/>
    </xf>
    <xf numFmtId="37" fontId="12" fillId="0" borderId="38" xfId="0" applyNumberFormat="1" applyFont="1" applyBorder="1" applyAlignment="1">
      <alignment horizontal="left" vertical="center" indent="1"/>
    </xf>
    <xf numFmtId="166" fontId="58" fillId="4" borderId="20" xfId="0" applyNumberFormat="1" applyFont="1" applyFill="1" applyBorder="1" applyAlignment="1">
      <alignment horizontal="right" vertical="center"/>
    </xf>
    <xf numFmtId="166" fontId="58" fillId="0" borderId="20" xfId="0" applyNumberFormat="1" applyFont="1" applyBorder="1" applyAlignment="1">
      <alignment horizontal="right" vertical="center"/>
    </xf>
    <xf numFmtId="166" fontId="12" fillId="0" borderId="20" xfId="0" applyNumberFormat="1" applyFont="1" applyBorder="1" applyAlignment="1">
      <alignment horizontal="right" vertical="center"/>
    </xf>
    <xf numFmtId="166" fontId="2" fillId="0" borderId="33" xfId="0" applyNumberFormat="1" applyFont="1" applyBorder="1" applyAlignment="1">
      <alignment horizontal="right" vertical="center"/>
    </xf>
    <xf numFmtId="166" fontId="6" fillId="0" borderId="18" xfId="1" applyNumberFormat="1" applyFont="1" applyBorder="1" applyAlignment="1">
      <alignment horizontal="right" vertical="center"/>
    </xf>
    <xf numFmtId="0" fontId="6" fillId="0" borderId="0" xfId="0" applyFont="1" applyAlignment="1">
      <alignment horizontal="left" vertical="center" indent="1"/>
    </xf>
    <xf numFmtId="166" fontId="6" fillId="0" borderId="0" xfId="1" applyNumberFormat="1" applyFont="1" applyAlignment="1">
      <alignment horizontal="right" vertical="center"/>
    </xf>
    <xf numFmtId="37" fontId="64" fillId="0" borderId="0" xfId="0" applyNumberFormat="1" applyFont="1" applyAlignment="1" applyProtection="1">
      <alignment horizontal="left" vertical="center" indent="1"/>
      <protection locked="0"/>
    </xf>
    <xf numFmtId="0" fontId="30" fillId="0" borderId="0" xfId="0" applyFont="1" applyAlignment="1">
      <alignment vertical="center"/>
    </xf>
    <xf numFmtId="165" fontId="30" fillId="0" borderId="0" xfId="1" applyNumberFormat="1" applyFont="1" applyAlignment="1">
      <alignment vertical="center"/>
    </xf>
    <xf numFmtId="37" fontId="11" fillId="0" borderId="16" xfId="0" applyNumberFormat="1" applyFont="1" applyBorder="1" applyAlignment="1">
      <alignment horizontal="center" vertical="top" wrapText="1"/>
    </xf>
    <xf numFmtId="37" fontId="11" fillId="0" borderId="18" xfId="0" applyNumberFormat="1" applyFont="1" applyBorder="1" applyAlignment="1">
      <alignment horizontal="center" vertical="top" wrapText="1"/>
    </xf>
    <xf numFmtId="166" fontId="12" fillId="0" borderId="40" xfId="0" applyNumberFormat="1" applyFont="1" applyBorder="1"/>
    <xf numFmtId="166" fontId="12" fillId="0" borderId="49" xfId="0" applyNumberFormat="1" applyFont="1" applyBorder="1"/>
    <xf numFmtId="0" fontId="19" fillId="0" borderId="0" xfId="5" applyFont="1"/>
    <xf numFmtId="166" fontId="12" fillId="0" borderId="28" xfId="0" applyNumberFormat="1" applyFont="1" applyBorder="1"/>
    <xf numFmtId="37" fontId="11" fillId="0" borderId="55" xfId="0" applyNumberFormat="1" applyFont="1" applyBorder="1" applyAlignment="1">
      <alignment horizontal="left" indent="1"/>
    </xf>
    <xf numFmtId="166" fontId="11" fillId="0" borderId="17" xfId="0" applyNumberFormat="1" applyFont="1" applyBorder="1"/>
    <xf numFmtId="166" fontId="11" fillId="0" borderId="18" xfId="0" applyNumberFormat="1" applyFont="1" applyBorder="1"/>
    <xf numFmtId="37" fontId="12" fillId="0" borderId="0" xfId="0" applyNumberFormat="1" applyFont="1" applyAlignment="1">
      <alignment horizontal="left" indent="1"/>
    </xf>
    <xf numFmtId="37" fontId="12" fillId="0" borderId="0" xfId="0" applyNumberFormat="1" applyFont="1"/>
    <xf numFmtId="0" fontId="12" fillId="0" borderId="0" xfId="0" applyFont="1"/>
    <xf numFmtId="0" fontId="12" fillId="0" borderId="0" xfId="0" quotePrefix="1" applyFont="1" applyAlignment="1">
      <alignment horizontal="left"/>
    </xf>
    <xf numFmtId="0" fontId="47" fillId="0" borderId="0" xfId="0" applyFont="1"/>
    <xf numFmtId="166" fontId="58" fillId="0" borderId="28" xfId="0" applyNumberFormat="1" applyFont="1" applyBorder="1" applyAlignment="1">
      <alignment vertical="center"/>
    </xf>
    <xf numFmtId="165" fontId="2" fillId="0" borderId="0" xfId="1" applyNumberFormat="1" applyFont="1" applyAlignment="1">
      <alignment vertical="center"/>
    </xf>
    <xf numFmtId="0" fontId="0" fillId="0" borderId="0" xfId="0" applyAlignment="1">
      <alignment wrapText="1"/>
    </xf>
    <xf numFmtId="38" fontId="0" fillId="0" borderId="0" xfId="0" applyNumberFormat="1"/>
    <xf numFmtId="40" fontId="29" fillId="0" borderId="46" xfId="0" applyNumberFormat="1" applyFont="1" applyBorder="1" applyAlignment="1">
      <alignment horizontal="center" wrapText="1"/>
    </xf>
    <xf numFmtId="40" fontId="29" fillId="0" borderId="50" xfId="0" applyNumberFormat="1" applyFont="1" applyBorder="1" applyAlignment="1">
      <alignment horizontal="center" wrapText="1"/>
    </xf>
    <xf numFmtId="37" fontId="23" fillId="0" borderId="39" xfId="0" applyNumberFormat="1" applyFont="1" applyBorder="1" applyAlignment="1" applyProtection="1">
      <alignment horizontal="left" vertical="center"/>
      <protection locked="0"/>
    </xf>
    <xf numFmtId="38" fontId="36" fillId="0" borderId="16" xfId="0" applyNumberFormat="1" applyFont="1" applyBorder="1"/>
    <xf numFmtId="38" fontId="36" fillId="0" borderId="18" xfId="0" applyNumberFormat="1" applyFont="1" applyBorder="1"/>
    <xf numFmtId="38" fontId="34" fillId="0" borderId="5" xfId="0" applyNumberFormat="1" applyFont="1" applyBorder="1" applyAlignment="1">
      <alignment vertical="center"/>
    </xf>
    <xf numFmtId="0" fontId="65" fillId="0" borderId="0" xfId="0" applyFont="1"/>
    <xf numFmtId="38" fontId="34" fillId="0" borderId="31" xfId="0" applyNumberFormat="1" applyFont="1" applyBorder="1" applyAlignment="1">
      <alignment vertical="center"/>
    </xf>
    <xf numFmtId="39" fontId="17" fillId="0" borderId="0" xfId="0" applyNumberFormat="1" applyFont="1"/>
    <xf numFmtId="40" fontId="17" fillId="0" borderId="0" xfId="0" applyNumberFormat="1" applyFont="1" applyAlignment="1">
      <alignment horizontal="left"/>
    </xf>
    <xf numFmtId="43" fontId="2" fillId="0" borderId="0" xfId="0" applyNumberFormat="1" applyFont="1"/>
    <xf numFmtId="43" fontId="0" fillId="0" borderId="0" xfId="0" applyNumberFormat="1"/>
    <xf numFmtId="170" fontId="0" fillId="0" borderId="0" xfId="2" applyNumberFormat="1" applyFont="1"/>
    <xf numFmtId="38" fontId="6" fillId="0" borderId="0" xfId="0" applyNumberFormat="1" applyFont="1"/>
    <xf numFmtId="9" fontId="31" fillId="0" borderId="0" xfId="2" applyFont="1" applyFill="1" applyBorder="1" applyAlignment="1">
      <alignment vertical="center"/>
    </xf>
    <xf numFmtId="170" fontId="31" fillId="0" borderId="0" xfId="2" applyNumberFormat="1" applyFont="1" applyFill="1" applyBorder="1" applyAlignment="1">
      <alignment vertical="center"/>
    </xf>
    <xf numFmtId="0" fontId="4" fillId="0" borderId="0" xfId="0" applyFont="1" applyAlignment="1">
      <alignment vertical="top"/>
    </xf>
    <xf numFmtId="43" fontId="4" fillId="0" borderId="0" xfId="1" applyFont="1" applyAlignment="1">
      <alignment vertical="top"/>
    </xf>
    <xf numFmtId="3" fontId="23" fillId="0" borderId="19" xfId="0" applyNumberFormat="1" applyFont="1" applyBorder="1" applyAlignment="1">
      <alignment horizontal="left" vertical="center" indent="1"/>
    </xf>
    <xf numFmtId="3" fontId="23" fillId="2" borderId="24" xfId="0" applyNumberFormat="1" applyFont="1" applyFill="1" applyBorder="1" applyAlignment="1">
      <alignment horizontal="left" vertical="center" indent="1"/>
    </xf>
    <xf numFmtId="3" fontId="23" fillId="0" borderId="21" xfId="0" applyNumberFormat="1" applyFont="1" applyBorder="1" applyAlignment="1">
      <alignment vertical="center"/>
    </xf>
    <xf numFmtId="3" fontId="23" fillId="0" borderId="23" xfId="1" applyNumberFormat="1" applyFont="1" applyBorder="1" applyAlignment="1">
      <alignment vertical="top" wrapText="1"/>
    </xf>
    <xf numFmtId="3" fontId="23" fillId="2" borderId="24" xfId="0" quotePrefix="1" applyNumberFormat="1" applyFont="1" applyFill="1" applyBorder="1" applyAlignment="1">
      <alignment horizontal="left" vertical="center" indent="1"/>
    </xf>
    <xf numFmtId="3" fontId="23" fillId="0" borderId="24" xfId="0" applyNumberFormat="1" applyFont="1" applyBorder="1" applyAlignment="1">
      <alignment horizontal="left" vertical="center" indent="1"/>
    </xf>
    <xf numFmtId="3" fontId="23" fillId="0" borderId="25" xfId="0" applyNumberFormat="1" applyFont="1" applyBorder="1" applyAlignment="1">
      <alignment horizontal="left" vertical="center" indent="1"/>
    </xf>
    <xf numFmtId="3" fontId="23" fillId="0" borderId="28" xfId="1" applyNumberFormat="1" applyFont="1" applyBorder="1" applyAlignment="1">
      <alignment vertical="top" wrapText="1"/>
    </xf>
    <xf numFmtId="3" fontId="29" fillId="0" borderId="15" xfId="0" applyNumberFormat="1" applyFont="1" applyBorder="1" applyAlignment="1">
      <alignment horizontal="left" vertical="center" indent="1"/>
    </xf>
    <xf numFmtId="3" fontId="19" fillId="0" borderId="38" xfId="0" applyNumberFormat="1" applyFont="1" applyBorder="1" applyAlignment="1">
      <alignment horizontal="left" vertical="center" indent="1"/>
    </xf>
    <xf numFmtId="3" fontId="23" fillId="0" borderId="29" xfId="0" applyNumberFormat="1" applyFont="1" applyBorder="1" applyAlignment="1">
      <alignment vertical="center"/>
    </xf>
    <xf numFmtId="3" fontId="19" fillId="0" borderId="29" xfId="0" applyNumberFormat="1" applyFont="1" applyBorder="1" applyAlignment="1">
      <alignment vertical="center"/>
    </xf>
    <xf numFmtId="3" fontId="19" fillId="0" borderId="31" xfId="0" applyNumberFormat="1" applyFont="1" applyBorder="1"/>
    <xf numFmtId="3" fontId="31" fillId="0" borderId="15" xfId="0" applyNumberFormat="1" applyFont="1" applyBorder="1" applyAlignment="1">
      <alignment horizontal="left" vertical="center" indent="1"/>
    </xf>
    <xf numFmtId="3" fontId="19" fillId="0" borderId="23" xfId="0" applyNumberFormat="1" applyFont="1" applyBorder="1" applyAlignment="1" applyProtection="1">
      <alignment vertical="center"/>
      <protection locked="0"/>
    </xf>
    <xf numFmtId="3" fontId="0" fillId="0" borderId="0" xfId="0" applyNumberFormat="1"/>
    <xf numFmtId="3" fontId="23" fillId="0" borderId="24" xfId="0" quotePrefix="1" applyNumberFormat="1" applyFont="1" applyBorder="1" applyAlignment="1">
      <alignment horizontal="left" vertical="center" indent="1"/>
    </xf>
    <xf numFmtId="3" fontId="37" fillId="0" borderId="0" xfId="1" applyNumberFormat="1" applyFont="1"/>
    <xf numFmtId="3" fontId="0" fillId="0" borderId="0" xfId="1" applyNumberFormat="1" applyFont="1"/>
    <xf numFmtId="3" fontId="23" fillId="0" borderId="38" xfId="0" applyNumberFormat="1" applyFont="1" applyBorder="1" applyAlignment="1">
      <alignment horizontal="left" vertical="center" indent="1"/>
    </xf>
    <xf numFmtId="3" fontId="23" fillId="0" borderId="15" xfId="0" applyNumberFormat="1" applyFont="1" applyBorder="1" applyAlignment="1" applyProtection="1">
      <alignment horizontal="left" vertical="center"/>
      <protection locked="0"/>
    </xf>
    <xf numFmtId="3" fontId="23" fillId="3" borderId="22" xfId="0" applyNumberFormat="1" applyFont="1" applyFill="1" applyBorder="1" applyAlignment="1">
      <alignment vertical="center"/>
    </xf>
    <xf numFmtId="3" fontId="29" fillId="0" borderId="15" xfId="0" applyNumberFormat="1" applyFont="1" applyBorder="1" applyAlignment="1" applyProtection="1">
      <alignment horizontal="left" vertical="center"/>
      <protection locked="0"/>
    </xf>
    <xf numFmtId="3" fontId="23" fillId="0" borderId="0" xfId="0" applyNumberFormat="1" applyFont="1" applyAlignment="1" applyProtection="1">
      <alignment horizontal="left" vertical="center"/>
      <protection locked="0"/>
    </xf>
    <xf numFmtId="3" fontId="34" fillId="0" borderId="0" xfId="0" applyNumberFormat="1" applyFont="1" applyAlignment="1">
      <alignment vertical="center"/>
    </xf>
    <xf numFmtId="3" fontId="35" fillId="3" borderId="15" xfId="0" applyNumberFormat="1" applyFont="1" applyFill="1" applyBorder="1" applyAlignment="1">
      <alignment vertical="center"/>
    </xf>
    <xf numFmtId="3" fontId="35" fillId="3" borderId="16" xfId="0" applyNumberFormat="1" applyFont="1" applyFill="1" applyBorder="1" applyAlignment="1">
      <alignment vertical="center"/>
    </xf>
    <xf numFmtId="3" fontId="34" fillId="3" borderId="18" xfId="0" applyNumberFormat="1" applyFont="1" applyFill="1" applyBorder="1" applyAlignment="1" applyProtection="1">
      <alignment vertical="center"/>
      <protection locked="0"/>
    </xf>
    <xf numFmtId="3" fontId="39" fillId="0" borderId="0" xfId="0" applyNumberFormat="1" applyFont="1"/>
    <xf numFmtId="3" fontId="38" fillId="0" borderId="0" xfId="0" applyNumberFormat="1" applyFont="1"/>
    <xf numFmtId="3" fontId="38" fillId="0" borderId="0" xfId="2" applyNumberFormat="1" applyFont="1"/>
    <xf numFmtId="3" fontId="39" fillId="0" borderId="0" xfId="1" applyNumberFormat="1" applyFont="1"/>
    <xf numFmtId="3" fontId="0" fillId="0" borderId="0" xfId="2" applyNumberFormat="1" applyFont="1"/>
    <xf numFmtId="3" fontId="23" fillId="3" borderId="21" xfId="0" applyNumberFormat="1" applyFont="1" applyFill="1" applyBorder="1" applyAlignment="1">
      <alignment vertical="center"/>
    </xf>
    <xf numFmtId="3" fontId="23" fillId="0" borderId="26" xfId="0" applyNumberFormat="1" applyFont="1" applyBorder="1" applyAlignment="1">
      <alignment vertical="center"/>
    </xf>
    <xf numFmtId="3" fontId="31" fillId="0" borderId="41" xfId="0" applyNumberFormat="1" applyFont="1" applyBorder="1" applyAlignment="1">
      <alignment horizontal="left" vertical="center" indent="1"/>
    </xf>
    <xf numFmtId="3" fontId="31" fillId="0" borderId="42" xfId="1" applyNumberFormat="1" applyFont="1" applyBorder="1" applyAlignment="1">
      <alignment vertical="center"/>
    </xf>
    <xf numFmtId="3" fontId="31" fillId="0" borderId="43" xfId="1" applyNumberFormat="1" applyFont="1" applyBorder="1" applyAlignment="1">
      <alignment vertical="center"/>
    </xf>
    <xf numFmtId="3" fontId="23" fillId="0" borderId="39" xfId="0" applyNumberFormat="1" applyFont="1" applyBorder="1" applyAlignment="1" applyProtection="1">
      <alignment horizontal="left" vertical="center"/>
      <protection locked="0"/>
    </xf>
    <xf numFmtId="3" fontId="19" fillId="0" borderId="28" xfId="0" applyNumberFormat="1" applyFont="1" applyBorder="1" applyAlignment="1" applyProtection="1">
      <alignment vertical="center"/>
      <protection locked="0"/>
    </xf>
    <xf numFmtId="3" fontId="36" fillId="0" borderId="16" xfId="0" applyNumberFormat="1" applyFont="1" applyBorder="1"/>
    <xf numFmtId="3" fontId="36" fillId="0" borderId="18" xfId="0" applyNumberFormat="1" applyFont="1" applyBorder="1"/>
    <xf numFmtId="3" fontId="36" fillId="0" borderId="0" xfId="0" applyNumberFormat="1" applyFont="1"/>
    <xf numFmtId="3" fontId="23" fillId="0" borderId="0" xfId="0" applyNumberFormat="1" applyFont="1" applyAlignment="1" applyProtection="1">
      <alignment horizontal="left" vertical="center" wrapText="1"/>
      <protection locked="0"/>
    </xf>
    <xf numFmtId="3" fontId="65" fillId="0" borderId="0" xfId="0" applyNumberFormat="1" applyFont="1"/>
    <xf numFmtId="3" fontId="19" fillId="0" borderId="0" xfId="0" applyNumberFormat="1" applyFont="1"/>
    <xf numFmtId="3" fontId="19" fillId="0" borderId="24" xfId="0" applyNumberFormat="1" applyFont="1" applyBorder="1" applyAlignment="1">
      <alignment horizontal="left" vertical="center" indent="1"/>
    </xf>
    <xf numFmtId="3" fontId="31" fillId="0" borderId="16" xfId="1" applyNumberFormat="1" applyFont="1" applyFill="1" applyBorder="1" applyAlignment="1">
      <alignment vertical="center"/>
    </xf>
    <xf numFmtId="3" fontId="31" fillId="0" borderId="18" xfId="1" applyNumberFormat="1" applyFont="1" applyFill="1" applyBorder="1" applyAlignment="1">
      <alignment vertical="center"/>
    </xf>
    <xf numFmtId="3" fontId="35" fillId="0" borderId="15" xfId="0" applyNumberFormat="1" applyFont="1" applyBorder="1" applyAlignment="1">
      <alignment vertical="center"/>
    </xf>
    <xf numFmtId="3" fontId="35" fillId="0" borderId="16" xfId="0" applyNumberFormat="1" applyFont="1" applyBorder="1" applyAlignment="1">
      <alignment vertical="center"/>
    </xf>
    <xf numFmtId="3" fontId="34" fillId="0" borderId="18" xfId="0" applyNumberFormat="1" applyFont="1" applyBorder="1" applyAlignment="1" applyProtection="1">
      <alignment vertical="center"/>
      <protection locked="0"/>
    </xf>
    <xf numFmtId="3" fontId="66" fillId="0" borderId="16" xfId="1" applyNumberFormat="1" applyFont="1" applyFill="1" applyBorder="1" applyAlignment="1">
      <alignment vertical="center"/>
    </xf>
    <xf numFmtId="3" fontId="19" fillId="0" borderId="18" xfId="0" applyNumberFormat="1" applyFont="1" applyBorder="1" applyAlignment="1" applyProtection="1">
      <alignment vertical="center"/>
      <protection locked="0"/>
    </xf>
    <xf numFmtId="3" fontId="29" fillId="0" borderId="41" xfId="0" applyNumberFormat="1" applyFont="1" applyBorder="1" applyAlignment="1" applyProtection="1">
      <alignment horizontal="left" vertical="center"/>
      <protection locked="0"/>
    </xf>
    <xf numFmtId="3" fontId="36" fillId="0" borderId="42" xfId="0" applyNumberFormat="1" applyFont="1" applyBorder="1"/>
    <xf numFmtId="3" fontId="69" fillId="0" borderId="42" xfId="0" applyNumberFormat="1" applyFont="1" applyBorder="1"/>
    <xf numFmtId="3" fontId="36" fillId="0" borderId="43" xfId="0" applyNumberFormat="1" applyFont="1" applyBorder="1"/>
    <xf numFmtId="3" fontId="68" fillId="0" borderId="16" xfId="0" applyNumberFormat="1" applyFont="1" applyBorder="1" applyAlignment="1">
      <alignment vertical="center"/>
    </xf>
    <xf numFmtId="3" fontId="67" fillId="3" borderId="22" xfId="0" applyNumberFormat="1" applyFont="1" applyFill="1" applyBorder="1" applyAlignment="1">
      <alignment vertical="center"/>
    </xf>
    <xf numFmtId="3" fontId="66" fillId="0" borderId="16" xfId="0" applyNumberFormat="1" applyFont="1" applyBorder="1" applyAlignment="1">
      <alignment vertical="center"/>
    </xf>
    <xf numFmtId="3" fontId="68" fillId="3" borderId="16" xfId="0" applyNumberFormat="1" applyFont="1" applyFill="1" applyBorder="1" applyAlignment="1">
      <alignment vertical="center"/>
    </xf>
    <xf numFmtId="3" fontId="2" fillId="0" borderId="20" xfId="1" applyNumberFormat="1" applyFont="1" applyBorder="1" applyAlignment="1">
      <alignment vertical="center"/>
    </xf>
    <xf numFmtId="3" fontId="12" fillId="0" borderId="24" xfId="0" applyNumberFormat="1" applyFont="1" applyBorder="1" applyAlignment="1">
      <alignment horizontal="left" vertical="center" indent="2"/>
    </xf>
    <xf numFmtId="3" fontId="11" fillId="0" borderId="24" xfId="0" applyNumberFormat="1" applyFont="1" applyBorder="1" applyAlignment="1">
      <alignment horizontal="left" vertical="center" indent="1"/>
    </xf>
    <xf numFmtId="3" fontId="6" fillId="0" borderId="21" xfId="1" applyNumberFormat="1" applyFont="1" applyBorder="1" applyAlignment="1" applyProtection="1">
      <alignment vertical="center"/>
      <protection locked="0"/>
    </xf>
    <xf numFmtId="3" fontId="12" fillId="0" borderId="24" xfId="0" applyNumberFormat="1" applyFont="1" applyBorder="1" applyAlignment="1">
      <alignment horizontal="left" vertical="center" indent="1"/>
    </xf>
    <xf numFmtId="3" fontId="2" fillId="0" borderId="21" xfId="2" applyNumberFormat="1" applyFont="1" applyBorder="1" applyAlignment="1">
      <alignment vertical="center"/>
    </xf>
    <xf numFmtId="3" fontId="2" fillId="0" borderId="24" xfId="0" applyNumberFormat="1" applyFont="1" applyBorder="1" applyAlignment="1">
      <alignment horizontal="left" vertical="center" indent="1"/>
    </xf>
    <xf numFmtId="3" fontId="2" fillId="0" borderId="21" xfId="0" applyNumberFormat="1" applyFont="1" applyBorder="1" applyAlignment="1">
      <alignment vertical="center"/>
    </xf>
    <xf numFmtId="3" fontId="6" fillId="0" borderId="24" xfId="0" applyNumberFormat="1" applyFont="1" applyBorder="1" applyAlignment="1">
      <alignment horizontal="left" vertical="center" indent="1"/>
    </xf>
    <xf numFmtId="3" fontId="2" fillId="0" borderId="25" xfId="0" applyNumberFormat="1" applyFont="1" applyBorder="1" applyAlignment="1">
      <alignment horizontal="left" vertical="center" indent="1"/>
    </xf>
    <xf numFmtId="3" fontId="2" fillId="0" borderId="26" xfId="0" applyNumberFormat="1" applyFont="1" applyBorder="1" applyAlignment="1">
      <alignment vertical="center"/>
    </xf>
    <xf numFmtId="3" fontId="6" fillId="0" borderId="15" xfId="1" applyNumberFormat="1" applyFont="1" applyBorder="1" applyAlignment="1">
      <alignment horizontal="left" vertical="center" indent="1"/>
    </xf>
    <xf numFmtId="3" fontId="6" fillId="0" borderId="16" xfId="1" applyNumberFormat="1" applyFont="1" applyBorder="1" applyAlignment="1">
      <alignment vertical="center"/>
    </xf>
    <xf numFmtId="3" fontId="2" fillId="0" borderId="19" xfId="1" applyNumberFormat="1" applyFont="1" applyBorder="1" applyAlignment="1">
      <alignment horizontal="left" vertical="center" indent="1"/>
    </xf>
    <xf numFmtId="3" fontId="6" fillId="0" borderId="21" xfId="0" applyNumberFormat="1" applyFont="1" applyBorder="1" applyAlignment="1">
      <alignment horizontal="right" vertical="center"/>
    </xf>
    <xf numFmtId="3" fontId="12" fillId="0" borderId="24" xfId="0" applyNumberFormat="1" applyFont="1" applyBorder="1" applyAlignment="1">
      <alignment horizontal="left" vertical="top" wrapText="1" indent="1"/>
    </xf>
    <xf numFmtId="3" fontId="12" fillId="0" borderId="34" xfId="0" applyNumberFormat="1" applyFont="1" applyBorder="1" applyAlignment="1">
      <alignment horizontal="left" vertical="center" indent="1"/>
    </xf>
    <xf numFmtId="3" fontId="4" fillId="0" borderId="0" xfId="0" applyNumberFormat="1" applyFont="1"/>
    <xf numFmtId="3" fontId="2" fillId="0" borderId="4" xfId="0" applyNumberFormat="1" applyFont="1" applyBorder="1" applyAlignment="1">
      <alignment horizontal="left" indent="1"/>
    </xf>
    <xf numFmtId="3" fontId="11" fillId="0" borderId="5" xfId="0" applyNumberFormat="1" applyFont="1" applyBorder="1"/>
    <xf numFmtId="3" fontId="4" fillId="0" borderId="0" xfId="1" applyNumberFormat="1" applyFont="1"/>
    <xf numFmtId="3" fontId="13" fillId="0" borderId="0" xfId="1" applyNumberFormat="1" applyFont="1"/>
    <xf numFmtId="3" fontId="14" fillId="0" borderId="0" xfId="0" applyNumberFormat="1" applyFont="1"/>
    <xf numFmtId="3" fontId="6" fillId="0" borderId="6" xfId="0" applyNumberFormat="1" applyFont="1" applyBorder="1" applyAlignment="1">
      <alignment horizontal="left" indent="1"/>
    </xf>
    <xf numFmtId="3" fontId="6" fillId="0" borderId="7" xfId="0" applyNumberFormat="1" applyFont="1" applyBorder="1"/>
    <xf numFmtId="3" fontId="6" fillId="0" borderId="9" xfId="0" quotePrefix="1" applyNumberFormat="1" applyFont="1" applyBorder="1" applyAlignment="1">
      <alignment horizontal="left" indent="1"/>
    </xf>
    <xf numFmtId="3" fontId="6" fillId="0" borderId="10" xfId="0" applyNumberFormat="1" applyFont="1" applyBorder="1"/>
    <xf numFmtId="3" fontId="6" fillId="0" borderId="4" xfId="0" applyNumberFormat="1" applyFont="1" applyBorder="1" applyAlignment="1">
      <alignment horizontal="left" indent="1"/>
    </xf>
    <xf numFmtId="3" fontId="4" fillId="0" borderId="0" xfId="2" applyNumberFormat="1" applyFont="1"/>
    <xf numFmtId="3" fontId="2" fillId="0" borderId="4" xfId="0" quotePrefix="1" applyNumberFormat="1" applyFont="1" applyBorder="1" applyAlignment="1">
      <alignment horizontal="left" indent="1"/>
    </xf>
    <xf numFmtId="3" fontId="11" fillId="0" borderId="4" xfId="0" applyNumberFormat="1" applyFont="1" applyBorder="1" applyAlignment="1">
      <alignment horizontal="left" indent="1"/>
    </xf>
    <xf numFmtId="3" fontId="2" fillId="0" borderId="4" xfId="2" quotePrefix="1" applyNumberFormat="1" applyFont="1" applyBorder="1" applyAlignment="1">
      <alignment horizontal="left" indent="1"/>
    </xf>
    <xf numFmtId="3" fontId="4" fillId="0" borderId="0" xfId="0" applyNumberFormat="1" applyFont="1" applyAlignment="1">
      <alignment horizontal="center"/>
    </xf>
    <xf numFmtId="3" fontId="2" fillId="0" borderId="4" xfId="2" applyNumberFormat="1" applyFont="1" applyBorder="1" applyAlignment="1">
      <alignment horizontal="left" indent="1"/>
    </xf>
    <xf numFmtId="3" fontId="14" fillId="0" borderId="0" xfId="1" applyNumberFormat="1" applyFont="1"/>
    <xf numFmtId="3" fontId="2" fillId="0" borderId="10" xfId="0" applyNumberFormat="1" applyFont="1" applyBorder="1"/>
    <xf numFmtId="3" fontId="6" fillId="0" borderId="4" xfId="0" quotePrefix="1" applyNumberFormat="1" applyFont="1" applyBorder="1" applyAlignment="1">
      <alignment horizontal="left" indent="1"/>
    </xf>
    <xf numFmtId="3" fontId="6" fillId="0" borderId="5" xfId="1" applyNumberFormat="1" applyFont="1" applyBorder="1"/>
    <xf numFmtId="3" fontId="6" fillId="0" borderId="4" xfId="0" applyNumberFormat="1" applyFont="1" applyBorder="1" applyAlignment="1">
      <alignment horizontal="right" indent="1"/>
    </xf>
    <xf numFmtId="3" fontId="12" fillId="0" borderId="4" xfId="0" applyNumberFormat="1" applyFont="1" applyBorder="1" applyAlignment="1">
      <alignment horizontal="left" indent="1"/>
    </xf>
    <xf numFmtId="3" fontId="2" fillId="0" borderId="12" xfId="0" quotePrefix="1" applyNumberFormat="1" applyFont="1" applyBorder="1" applyAlignment="1">
      <alignment horizontal="left" vertical="center" indent="1"/>
    </xf>
    <xf numFmtId="3" fontId="2" fillId="0" borderId="13" xfId="0" applyNumberFormat="1" applyFont="1" applyBorder="1" applyAlignment="1">
      <alignment vertical="center"/>
    </xf>
    <xf numFmtId="3" fontId="11" fillId="0" borderId="14" xfId="0" applyNumberFormat="1" applyFont="1" applyBorder="1" applyAlignment="1">
      <alignment vertical="center"/>
    </xf>
    <xf numFmtId="3" fontId="4" fillId="2" borderId="0" xfId="1" applyNumberFormat="1" applyFont="1" applyFill="1"/>
    <xf numFmtId="3" fontId="4" fillId="0" borderId="0" xfId="0" applyNumberFormat="1" applyFont="1" applyAlignment="1">
      <alignment vertical="top"/>
    </xf>
    <xf numFmtId="3" fontId="4" fillId="0" borderId="0" xfId="1" applyNumberFormat="1" applyFont="1" applyAlignment="1">
      <alignment vertical="top"/>
    </xf>
    <xf numFmtId="3" fontId="14" fillId="0" borderId="0" xfId="0" applyNumberFormat="1" applyFont="1" applyAlignment="1">
      <alignment vertical="top"/>
    </xf>
    <xf numFmtId="3" fontId="4" fillId="0" borderId="0" xfId="0" applyNumberFormat="1" applyFont="1" applyAlignment="1">
      <alignment horizontal="center" vertical="top"/>
    </xf>
    <xf numFmtId="3" fontId="2" fillId="0" borderId="0" xfId="0" applyNumberFormat="1" applyFont="1" applyAlignment="1">
      <alignment vertical="top" wrapText="1"/>
    </xf>
    <xf numFmtId="3" fontId="4" fillId="0" borderId="0" xfId="1" applyNumberFormat="1" applyFont="1" applyAlignment="1">
      <alignment horizontal="justify" vertical="top"/>
    </xf>
    <xf numFmtId="3" fontId="6" fillId="0" borderId="39" xfId="0" applyNumberFormat="1" applyFont="1" applyBorder="1" applyAlignment="1">
      <alignment horizontal="center"/>
    </xf>
    <xf numFmtId="3" fontId="6" fillId="0" borderId="48" xfId="0" applyNumberFormat="1" applyFont="1" applyBorder="1" applyAlignment="1">
      <alignment horizontal="center"/>
    </xf>
    <xf numFmtId="0" fontId="6" fillId="0" borderId="48" xfId="0" applyFont="1" applyBorder="1" applyAlignment="1">
      <alignment horizontal="center"/>
    </xf>
    <xf numFmtId="0" fontId="6" fillId="0" borderId="40" xfId="0" applyFont="1" applyBorder="1" applyAlignment="1">
      <alignment horizontal="center"/>
    </xf>
    <xf numFmtId="3" fontId="23" fillId="3" borderId="30" xfId="0" applyNumberFormat="1" applyFont="1" applyFill="1" applyBorder="1" applyAlignment="1">
      <alignment vertical="center"/>
    </xf>
    <xf numFmtId="3" fontId="19" fillId="0" borderId="33" xfId="0" applyNumberFormat="1" applyFont="1" applyBorder="1" applyAlignment="1" applyProtection="1">
      <alignment vertical="center"/>
      <protection locked="0"/>
    </xf>
    <xf numFmtId="3" fontId="23" fillId="0" borderId="20" xfId="0" applyNumberFormat="1" applyFont="1" applyBorder="1" applyAlignment="1">
      <alignment vertical="center"/>
    </xf>
    <xf numFmtId="3" fontId="29" fillId="0" borderId="20" xfId="0" applyNumberFormat="1" applyFont="1" applyBorder="1" applyAlignment="1">
      <alignment horizontal="centerContinuous" vertical="top" wrapText="1"/>
    </xf>
    <xf numFmtId="3" fontId="70" fillId="0" borderId="0" xfId="0" applyNumberFormat="1" applyFont="1"/>
    <xf numFmtId="3" fontId="23" fillId="2" borderId="19" xfId="0" applyNumberFormat="1" applyFont="1" applyFill="1" applyBorder="1" applyAlignment="1">
      <alignment horizontal="left" vertical="center" indent="1"/>
    </xf>
    <xf numFmtId="3" fontId="23" fillId="3" borderId="20" xfId="0" applyNumberFormat="1" applyFont="1" applyFill="1" applyBorder="1" applyAlignment="1">
      <alignment vertical="center"/>
    </xf>
    <xf numFmtId="38" fontId="23" fillId="3" borderId="20" xfId="0" applyNumberFormat="1" applyFont="1" applyFill="1" applyBorder="1" applyAlignment="1">
      <alignment vertical="center"/>
    </xf>
    <xf numFmtId="38" fontId="29" fillId="0" borderId="20" xfId="0" applyNumberFormat="1" applyFont="1" applyBorder="1" applyAlignment="1">
      <alignment horizontal="centerContinuous" vertical="top" wrapText="1"/>
    </xf>
    <xf numFmtId="38" fontId="19" fillId="0" borderId="33" xfId="0" applyNumberFormat="1" applyFont="1" applyBorder="1" applyAlignment="1" applyProtection="1">
      <alignment vertical="center"/>
      <protection locked="0"/>
    </xf>
    <xf numFmtId="43" fontId="29" fillId="0" borderId="52" xfId="1" applyFont="1" applyBorder="1" applyAlignment="1">
      <alignment horizontal="center" wrapText="1"/>
    </xf>
    <xf numFmtId="3" fontId="23" fillId="3" borderId="61" xfId="1" applyNumberFormat="1" applyFont="1" applyFill="1" applyBorder="1" applyAlignment="1">
      <alignment vertical="center"/>
    </xf>
    <xf numFmtId="40" fontId="29" fillId="0" borderId="54" xfId="0" applyNumberFormat="1" applyFont="1" applyBorder="1" applyAlignment="1">
      <alignment horizontal="center" wrapText="1"/>
    </xf>
    <xf numFmtId="38" fontId="29" fillId="0" borderId="61" xfId="0" applyNumberFormat="1" applyFont="1" applyBorder="1" applyAlignment="1">
      <alignment horizontal="centerContinuous" vertical="top" wrapText="1"/>
    </xf>
    <xf numFmtId="38" fontId="23" fillId="0" borderId="62" xfId="0" applyNumberFormat="1" applyFont="1" applyBorder="1" applyAlignment="1">
      <alignment vertical="center"/>
    </xf>
    <xf numFmtId="38" fontId="23" fillId="0" borderId="63" xfId="0" applyNumberFormat="1" applyFont="1" applyBorder="1" applyAlignment="1">
      <alignment vertical="center"/>
    </xf>
    <xf numFmtId="40" fontId="29" fillId="0" borderId="61" xfId="0" applyNumberFormat="1" applyFont="1" applyBorder="1" applyAlignment="1">
      <alignment horizontal="center" wrapText="1"/>
    </xf>
    <xf numFmtId="38" fontId="29" fillId="0" borderId="63" xfId="0" applyNumberFormat="1" applyFont="1" applyBorder="1" applyAlignment="1">
      <alignment horizontal="centerContinuous" vertical="top" wrapText="1"/>
    </xf>
    <xf numFmtId="3" fontId="29" fillId="0" borderId="62" xfId="0" applyNumberFormat="1" applyFont="1" applyBorder="1" applyAlignment="1">
      <alignment horizontal="centerContinuous" vertical="top" wrapText="1"/>
    </xf>
    <xf numFmtId="3" fontId="6" fillId="0" borderId="52" xfId="0" applyNumberFormat="1" applyFont="1" applyBorder="1" applyAlignment="1">
      <alignment horizontal="center"/>
    </xf>
    <xf numFmtId="3" fontId="2" fillId="0" borderId="57" xfId="0" applyNumberFormat="1" applyFont="1" applyBorder="1" applyAlignment="1">
      <alignment vertical="center"/>
    </xf>
    <xf numFmtId="3" fontId="6" fillId="0" borderId="54" xfId="1" applyNumberFormat="1" applyFont="1" applyBorder="1" applyAlignment="1">
      <alignment vertical="center"/>
    </xf>
    <xf numFmtId="3" fontId="2" fillId="0" borderId="62" xfId="1" applyNumberFormat="1" applyFont="1" applyBorder="1" applyAlignment="1">
      <alignment vertical="center"/>
    </xf>
    <xf numFmtId="3" fontId="23" fillId="3" borderId="20" xfId="1" applyNumberFormat="1" applyFont="1" applyFill="1" applyBorder="1" applyAlignment="1">
      <alignment vertical="center"/>
    </xf>
    <xf numFmtId="38" fontId="23" fillId="3" borderId="32" xfId="0" applyNumberFormat="1" applyFont="1" applyFill="1" applyBorder="1" applyAlignment="1">
      <alignment vertical="center"/>
    </xf>
    <xf numFmtId="3" fontId="6" fillId="0" borderId="0" xfId="0" applyNumberFormat="1" applyFont="1"/>
    <xf numFmtId="3" fontId="6" fillId="0" borderId="0" xfId="0" applyNumberFormat="1" applyFont="1" applyAlignment="1">
      <alignment horizontal="left"/>
    </xf>
    <xf numFmtId="3" fontId="12" fillId="0" borderId="0" xfId="0" applyNumberFormat="1" applyFont="1" applyAlignment="1">
      <alignment horizontal="right"/>
    </xf>
    <xf numFmtId="3" fontId="12" fillId="0" borderId="0" xfId="0" applyNumberFormat="1" applyFont="1"/>
    <xf numFmtId="3" fontId="2" fillId="0" borderId="0" xfId="0" applyNumberFormat="1" applyFont="1" applyAlignment="1">
      <alignment horizontal="right"/>
    </xf>
    <xf numFmtId="3" fontId="6" fillId="0" borderId="0" xfId="1" applyNumberFormat="1" applyFont="1" applyBorder="1" applyAlignment="1">
      <alignment horizontal="right"/>
    </xf>
    <xf numFmtId="3" fontId="2" fillId="0" borderId="0" xfId="2" applyNumberFormat="1" applyFont="1" applyBorder="1"/>
    <xf numFmtId="3" fontId="2" fillId="0" borderId="0" xfId="1" applyNumberFormat="1" applyFont="1" applyBorder="1"/>
    <xf numFmtId="3" fontId="23" fillId="3" borderId="50" xfId="1" applyNumberFormat="1" applyFont="1" applyFill="1" applyBorder="1" applyAlignment="1">
      <alignment vertical="center"/>
    </xf>
    <xf numFmtId="3" fontId="23" fillId="3" borderId="16" xfId="1" applyNumberFormat="1" applyFont="1" applyFill="1" applyBorder="1" applyAlignment="1">
      <alignment vertical="center"/>
    </xf>
    <xf numFmtId="3" fontId="23" fillId="3" borderId="18" xfId="1" applyNumberFormat="1" applyFont="1" applyFill="1" applyBorder="1" applyAlignment="1">
      <alignment vertical="center"/>
    </xf>
    <xf numFmtId="38" fontId="23" fillId="3" borderId="50" xfId="0" applyNumberFormat="1" applyFont="1" applyFill="1" applyBorder="1" applyAlignment="1">
      <alignment vertical="center"/>
    </xf>
    <xf numFmtId="38" fontId="23" fillId="3" borderId="36" xfId="0" applyNumberFormat="1" applyFont="1" applyFill="1" applyBorder="1" applyAlignment="1">
      <alignment vertical="center"/>
    </xf>
    <xf numFmtId="38" fontId="23" fillId="3" borderId="18" xfId="0" applyNumberFormat="1" applyFont="1" applyFill="1" applyBorder="1" applyAlignment="1">
      <alignment vertical="center"/>
    </xf>
    <xf numFmtId="38" fontId="23" fillId="3" borderId="23" xfId="0" applyNumberFormat="1" applyFont="1" applyFill="1" applyBorder="1" applyAlignment="1">
      <alignment vertical="center"/>
    </xf>
    <xf numFmtId="38" fontId="23" fillId="3" borderId="35" xfId="0" applyNumberFormat="1" applyFont="1" applyFill="1" applyBorder="1" applyAlignment="1">
      <alignment vertical="center"/>
    </xf>
    <xf numFmtId="38" fontId="23" fillId="3" borderId="37" xfId="0" applyNumberFormat="1" applyFont="1" applyFill="1" applyBorder="1" applyAlignment="1">
      <alignment vertical="center"/>
    </xf>
    <xf numFmtId="3" fontId="6" fillId="0" borderId="49" xfId="0" applyNumberFormat="1" applyFont="1" applyBorder="1" applyAlignment="1">
      <alignment horizontal="center"/>
    </xf>
    <xf numFmtId="3" fontId="2" fillId="0" borderId="28" xfId="0" applyNumberFormat="1" applyFont="1" applyBorder="1" applyAlignment="1">
      <alignment vertical="center"/>
    </xf>
    <xf numFmtId="3" fontId="6" fillId="0" borderId="18" xfId="1" applyNumberFormat="1" applyFont="1" applyBorder="1" applyAlignment="1">
      <alignment vertical="center"/>
    </xf>
    <xf numFmtId="3" fontId="2" fillId="0" borderId="33" xfId="1" applyNumberFormat="1" applyFont="1" applyBorder="1" applyAlignment="1">
      <alignment vertical="center"/>
    </xf>
    <xf numFmtId="3" fontId="19" fillId="0" borderId="5" xfId="0" applyNumberFormat="1" applyFont="1" applyBorder="1"/>
    <xf numFmtId="3" fontId="23" fillId="0" borderId="2" xfId="0" applyNumberFormat="1" applyFont="1" applyBorder="1" applyAlignment="1">
      <alignment vertical="center"/>
    </xf>
    <xf numFmtId="3" fontId="19" fillId="0" borderId="31" xfId="0" applyNumberFormat="1" applyFont="1" applyBorder="1" applyAlignment="1" applyProtection="1">
      <alignment vertical="center"/>
      <protection locked="0"/>
    </xf>
    <xf numFmtId="3" fontId="65" fillId="0" borderId="2" xfId="0" applyNumberFormat="1" applyFont="1" applyBorder="1"/>
    <xf numFmtId="3" fontId="0" fillId="0" borderId="13" xfId="0" applyNumberFormat="1" applyBorder="1"/>
    <xf numFmtId="40" fontId="29" fillId="0" borderId="17" xfId="0" applyNumberFormat="1" applyFont="1" applyBorder="1" applyAlignment="1">
      <alignment horizontal="center" wrapText="1"/>
    </xf>
    <xf numFmtId="3" fontId="23" fillId="3" borderId="63" xfId="0" applyNumberFormat="1" applyFont="1" applyFill="1" applyBorder="1" applyAlignment="1">
      <alignment vertical="center"/>
    </xf>
    <xf numFmtId="3" fontId="23" fillId="3" borderId="26" xfId="0" applyNumberFormat="1" applyFont="1" applyFill="1" applyBorder="1" applyAlignment="1">
      <alignment vertical="center"/>
    </xf>
    <xf numFmtId="3" fontId="23" fillId="3" borderId="29" xfId="0" applyNumberFormat="1" applyFont="1" applyFill="1" applyBorder="1" applyAlignment="1">
      <alignment vertical="center"/>
    </xf>
    <xf numFmtId="3" fontId="23" fillId="3" borderId="0" xfId="0" applyNumberFormat="1" applyFont="1" applyFill="1" applyAlignment="1">
      <alignment vertical="center"/>
    </xf>
    <xf numFmtId="3" fontId="23" fillId="0" borderId="19" xfId="0" quotePrefix="1" applyNumberFormat="1" applyFont="1" applyBorder="1" applyAlignment="1">
      <alignment horizontal="left" vertical="center" indent="1"/>
    </xf>
    <xf numFmtId="3" fontId="19" fillId="2" borderId="23" xfId="0" applyNumberFormat="1" applyFont="1" applyFill="1" applyBorder="1" applyAlignment="1" applyProtection="1">
      <alignment vertical="center"/>
      <protection locked="0"/>
    </xf>
    <xf numFmtId="43" fontId="31" fillId="0" borderId="0" xfId="1" applyFont="1" applyFill="1" applyBorder="1" applyAlignment="1">
      <alignment vertical="center"/>
    </xf>
    <xf numFmtId="9" fontId="2" fillId="0" borderId="21" xfId="2" applyFont="1" applyBorder="1" applyAlignment="1">
      <alignment vertical="center"/>
    </xf>
    <xf numFmtId="166" fontId="2" fillId="0" borderId="22" xfId="1" applyNumberFormat="1" applyFont="1" applyBorder="1" applyAlignment="1" applyProtection="1">
      <alignment vertical="center"/>
      <protection locked="0"/>
    </xf>
    <xf numFmtId="40" fontId="29" fillId="0" borderId="48" xfId="0" applyNumberFormat="1" applyFont="1" applyBorder="1" applyAlignment="1">
      <alignment horizontal="center" wrapText="1"/>
    </xf>
    <xf numFmtId="3" fontId="23" fillId="0" borderId="21" xfId="0" applyNumberFormat="1" applyFont="1" applyBorder="1" applyAlignment="1">
      <alignment horizontal="right" vertical="top" wrapText="1"/>
    </xf>
    <xf numFmtId="40" fontId="29" fillId="0" borderId="49" xfId="0" applyNumberFormat="1" applyFont="1" applyBorder="1" applyAlignment="1">
      <alignment horizontal="center" wrapText="1"/>
    </xf>
    <xf numFmtId="3" fontId="23" fillId="0" borderId="21" xfId="0" applyNumberFormat="1" applyFont="1" applyBorder="1" applyAlignment="1">
      <alignment horizontal="left" vertical="center" indent="1"/>
    </xf>
    <xf numFmtId="3" fontId="23" fillId="2" borderId="21" xfId="0" applyNumberFormat="1" applyFont="1" applyFill="1" applyBorder="1" applyAlignment="1">
      <alignment horizontal="left" vertical="center" indent="1"/>
    </xf>
    <xf numFmtId="3" fontId="19" fillId="2" borderId="21" xfId="0" applyNumberFormat="1" applyFont="1" applyFill="1" applyBorder="1" applyAlignment="1">
      <alignment horizontal="left" vertical="center" indent="1"/>
    </xf>
    <xf numFmtId="43" fontId="23" fillId="3" borderId="63" xfId="1" applyFont="1" applyFill="1" applyBorder="1" applyAlignment="1">
      <alignment vertical="center"/>
    </xf>
    <xf numFmtId="3" fontId="23" fillId="0" borderId="23" xfId="1" applyNumberFormat="1" applyFont="1" applyFill="1" applyBorder="1" applyAlignment="1">
      <alignment vertical="top" wrapText="1"/>
    </xf>
    <xf numFmtId="0" fontId="6" fillId="0" borderId="49" xfId="0" applyFont="1" applyBorder="1" applyAlignment="1">
      <alignment horizontal="center"/>
    </xf>
    <xf numFmtId="3" fontId="2" fillId="0" borderId="22" xfId="1" applyNumberFormat="1" applyFont="1" applyFill="1" applyBorder="1" applyAlignment="1">
      <alignment vertical="center"/>
    </xf>
    <xf numFmtId="3" fontId="2" fillId="0" borderId="23" xfId="1" applyNumberFormat="1" applyFont="1" applyFill="1" applyBorder="1" applyAlignment="1">
      <alignment vertical="center"/>
    </xf>
    <xf numFmtId="166" fontId="6" fillId="0" borderId="21" xfId="1" applyNumberFormat="1" applyFont="1" applyFill="1" applyBorder="1" applyAlignment="1" applyProtection="1">
      <alignment vertical="center"/>
      <protection locked="0"/>
    </xf>
    <xf numFmtId="3" fontId="6" fillId="0" borderId="23" xfId="1" applyNumberFormat="1" applyFont="1" applyFill="1" applyBorder="1" applyAlignment="1">
      <alignment vertical="center"/>
    </xf>
    <xf numFmtId="166" fontId="2" fillId="0" borderId="22" xfId="1" applyNumberFormat="1" applyFont="1" applyFill="1" applyBorder="1" applyAlignment="1" applyProtection="1">
      <alignment vertical="center"/>
      <protection locked="0"/>
    </xf>
    <xf numFmtId="9" fontId="2" fillId="0" borderId="21" xfId="2" applyFont="1" applyFill="1" applyBorder="1" applyAlignment="1">
      <alignment vertical="center"/>
    </xf>
    <xf numFmtId="9" fontId="2" fillId="0" borderId="23" xfId="2" applyFont="1" applyFill="1" applyBorder="1" applyAlignment="1">
      <alignment vertical="center"/>
    </xf>
    <xf numFmtId="165" fontId="2" fillId="0" borderId="22" xfId="1" applyNumberFormat="1" applyFont="1" applyFill="1" applyBorder="1" applyAlignment="1">
      <alignment vertical="center"/>
    </xf>
    <xf numFmtId="165" fontId="2" fillId="0" borderId="23" xfId="1" applyNumberFormat="1" applyFont="1" applyFill="1" applyBorder="1" applyAlignment="1">
      <alignment vertical="center"/>
    </xf>
    <xf numFmtId="165" fontId="22" fillId="0" borderId="22" xfId="1" applyNumberFormat="1" applyFont="1" applyFill="1" applyBorder="1" applyAlignment="1" applyProtection="1">
      <alignment vertical="center"/>
      <protection locked="0"/>
    </xf>
    <xf numFmtId="166" fontId="6" fillId="0" borderId="23" xfId="1" applyNumberFormat="1" applyFont="1" applyFill="1" applyBorder="1" applyAlignment="1" applyProtection="1">
      <alignment vertical="center"/>
      <protection locked="0"/>
    </xf>
    <xf numFmtId="165" fontId="2" fillId="0" borderId="22" xfId="1" applyNumberFormat="1" applyFont="1" applyFill="1" applyBorder="1" applyAlignment="1" applyProtection="1">
      <alignment vertical="center"/>
      <protection locked="0"/>
    </xf>
    <xf numFmtId="165" fontId="2" fillId="0" borderId="27" xfId="1" applyNumberFormat="1" applyFont="1" applyFill="1" applyBorder="1" applyAlignment="1">
      <alignment vertical="center"/>
    </xf>
    <xf numFmtId="165" fontId="2" fillId="0" borderId="28" xfId="1" applyNumberFormat="1" applyFont="1" applyFill="1" applyBorder="1" applyAlignment="1">
      <alignment vertical="center"/>
    </xf>
    <xf numFmtId="166" fontId="6" fillId="0" borderId="16" xfId="1" applyNumberFormat="1" applyFont="1" applyFill="1" applyBorder="1" applyAlignment="1" applyProtection="1">
      <alignment vertical="center"/>
      <protection locked="0"/>
    </xf>
    <xf numFmtId="166" fontId="6" fillId="0" borderId="18" xfId="1" applyNumberFormat="1" applyFont="1" applyFill="1" applyBorder="1" applyAlignment="1" applyProtection="1">
      <alignment vertical="center"/>
      <protection locked="0"/>
    </xf>
    <xf numFmtId="165" fontId="2" fillId="0" borderId="30" xfId="1" applyNumberFormat="1" applyFont="1" applyFill="1" applyBorder="1" applyAlignment="1">
      <alignment vertical="center"/>
    </xf>
    <xf numFmtId="165" fontId="2" fillId="0" borderId="31" xfId="1" applyNumberFormat="1" applyFont="1" applyFill="1" applyBorder="1" applyAlignment="1">
      <alignment vertical="center"/>
    </xf>
    <xf numFmtId="0" fontId="6" fillId="0" borderId="23" xfId="0" applyFont="1" applyBorder="1" applyAlignment="1">
      <alignment horizontal="right" vertical="center"/>
    </xf>
    <xf numFmtId="166" fontId="2" fillId="0" borderId="21" xfId="1" applyNumberFormat="1" applyFont="1" applyFill="1" applyBorder="1" applyAlignment="1">
      <alignment vertical="center"/>
    </xf>
    <xf numFmtId="166" fontId="2" fillId="0" borderId="23" xfId="1" applyNumberFormat="1" applyFont="1" applyFill="1" applyBorder="1" applyAlignment="1">
      <alignment vertical="center"/>
    </xf>
    <xf numFmtId="10" fontId="2" fillId="0" borderId="21" xfId="2" applyNumberFormat="1" applyFont="1" applyFill="1" applyBorder="1" applyAlignment="1">
      <alignment vertical="center"/>
    </xf>
    <xf numFmtId="10" fontId="2" fillId="0" borderId="23" xfId="2" applyNumberFormat="1" applyFont="1" applyFill="1" applyBorder="1" applyAlignment="1">
      <alignment vertical="center"/>
    </xf>
    <xf numFmtId="3" fontId="12" fillId="0" borderId="8" xfId="0" applyNumberFormat="1" applyFont="1" applyBorder="1"/>
    <xf numFmtId="3" fontId="11" fillId="0" borderId="11" xfId="1" applyNumberFormat="1" applyFont="1" applyFill="1" applyBorder="1"/>
    <xf numFmtId="3" fontId="12" fillId="0" borderId="5" xfId="0" applyNumberFormat="1" applyFont="1" applyBorder="1" applyAlignment="1">
      <alignment horizontal="left"/>
    </xf>
    <xf numFmtId="3" fontId="2" fillId="0" borderId="5" xfId="0" applyNumberFormat="1" applyFont="1" applyBorder="1"/>
    <xf numFmtId="3" fontId="6" fillId="0" borderId="5" xfId="0" applyNumberFormat="1" applyFont="1" applyBorder="1"/>
    <xf numFmtId="3" fontId="2" fillId="0" borderId="5" xfId="0" applyNumberFormat="1" applyFont="1" applyBorder="1" applyAlignment="1">
      <alignment horizontal="center"/>
    </xf>
    <xf numFmtId="3" fontId="12" fillId="0" borderId="5" xfId="0" applyNumberFormat="1" applyFont="1" applyBorder="1" applyProtection="1">
      <protection locked="0"/>
    </xf>
    <xf numFmtId="3" fontId="2" fillId="0" borderId="8" xfId="0" applyNumberFormat="1" applyFont="1" applyBorder="1" applyProtection="1">
      <protection locked="0"/>
    </xf>
    <xf numFmtId="3" fontId="6" fillId="0" borderId="11" xfId="1" applyNumberFormat="1" applyFont="1" applyFill="1" applyBorder="1"/>
    <xf numFmtId="3" fontId="6" fillId="0" borderId="5" xfId="1" applyNumberFormat="1" applyFont="1" applyFill="1" applyBorder="1"/>
    <xf numFmtId="3" fontId="6" fillId="0" borderId="5" xfId="0" applyNumberFormat="1" applyFont="1" applyBorder="1" applyAlignment="1">
      <alignment horizontal="right"/>
    </xf>
    <xf numFmtId="165" fontId="22" fillId="0" borderId="21" xfId="1" applyNumberFormat="1" applyFont="1" applyFill="1" applyBorder="1" applyAlignment="1" applyProtection="1">
      <alignment vertical="center"/>
      <protection locked="0"/>
    </xf>
    <xf numFmtId="3" fontId="2" fillId="0" borderId="0" xfId="0" applyNumberFormat="1" applyFont="1" applyAlignment="1">
      <alignment horizontal="left" vertical="top" wrapText="1"/>
    </xf>
    <xf numFmtId="0" fontId="8" fillId="0" borderId="0" xfId="0" applyFont="1" applyAlignment="1">
      <alignment horizontal="center" wrapText="1"/>
    </xf>
    <xf numFmtId="0" fontId="10" fillId="0" borderId="0" xfId="0" applyFont="1" applyAlignment="1">
      <alignment horizontal="center" wrapText="1"/>
    </xf>
    <xf numFmtId="37" fontId="8" fillId="0" borderId="0" xfId="0" applyNumberFormat="1" applyFont="1" applyAlignment="1" applyProtection="1">
      <alignment horizontal="center" wrapText="1"/>
      <protection locked="0"/>
    </xf>
    <xf numFmtId="3" fontId="2" fillId="2" borderId="0" xfId="0" applyNumberFormat="1" applyFont="1" applyFill="1" applyAlignment="1">
      <alignment horizontal="left" vertical="top"/>
    </xf>
    <xf numFmtId="3" fontId="2" fillId="2" borderId="0" xfId="0" applyNumberFormat="1" applyFont="1" applyFill="1" applyAlignment="1">
      <alignment horizontal="justify" vertical="top" wrapText="1"/>
    </xf>
    <xf numFmtId="37" fontId="8" fillId="0" borderId="0" xfId="0" applyNumberFormat="1" applyFont="1" applyAlignment="1">
      <alignment horizontal="center" vertical="top"/>
    </xf>
    <xf numFmtId="37" fontId="20" fillId="0" borderId="0" xfId="0" applyNumberFormat="1" applyFont="1" applyAlignment="1">
      <alignment horizontal="center" vertical="top"/>
    </xf>
    <xf numFmtId="37" fontId="8" fillId="0" borderId="13" xfId="0" applyNumberFormat="1" applyFont="1" applyBorder="1" applyAlignment="1">
      <alignment horizontal="center" wrapText="1"/>
    </xf>
    <xf numFmtId="0" fontId="8" fillId="0" borderId="13" xfId="0" applyFont="1" applyBorder="1" applyAlignment="1">
      <alignment horizontal="center" wrapText="1"/>
    </xf>
    <xf numFmtId="0" fontId="8" fillId="0" borderId="64" xfId="0" applyFont="1" applyBorder="1" applyAlignment="1">
      <alignment horizontal="center" wrapText="1"/>
    </xf>
    <xf numFmtId="9" fontId="4" fillId="0" borderId="0" xfId="2" applyFont="1" applyAlignment="1">
      <alignment horizontal="center"/>
    </xf>
    <xf numFmtId="37" fontId="23" fillId="0" borderId="0" xfId="0" applyNumberFormat="1" applyFont="1" applyAlignment="1" applyProtection="1">
      <alignment horizontal="left" vertical="center" wrapText="1"/>
      <protection locked="0"/>
    </xf>
    <xf numFmtId="0" fontId="8" fillId="0" borderId="0" xfId="0" applyFont="1" applyAlignment="1">
      <alignment horizontal="center" vertical="top"/>
    </xf>
    <xf numFmtId="0" fontId="19" fillId="0" borderId="0" xfId="0" applyFont="1" applyAlignment="1">
      <alignment horizontal="justify" wrapText="1"/>
    </xf>
    <xf numFmtId="0" fontId="19" fillId="0" borderId="0" xfId="0" applyFont="1" applyAlignment="1">
      <alignment horizontal="left" wrapText="1"/>
    </xf>
    <xf numFmtId="39" fontId="17" fillId="0" borderId="0" xfId="0" applyNumberFormat="1" applyFont="1" applyAlignment="1">
      <alignment horizontal="left"/>
    </xf>
    <xf numFmtId="39" fontId="17" fillId="0" borderId="0" xfId="0" applyNumberFormat="1" applyFont="1"/>
    <xf numFmtId="37" fontId="8" fillId="0" borderId="13" xfId="0" applyNumberFormat="1" applyFont="1" applyBorder="1" applyAlignment="1">
      <alignment horizontal="center" vertical="top"/>
    </xf>
    <xf numFmtId="39" fontId="17" fillId="0" borderId="0" xfId="0" applyNumberFormat="1" applyFont="1" applyAlignment="1">
      <alignment horizontal="right"/>
    </xf>
    <xf numFmtId="40" fontId="17" fillId="0" borderId="0" xfId="0" applyNumberFormat="1" applyFont="1" applyAlignment="1">
      <alignment horizontal="right"/>
    </xf>
    <xf numFmtId="40" fontId="17" fillId="0" borderId="0" xfId="0" applyNumberFormat="1" applyFont="1" applyAlignment="1">
      <alignment horizontal="left"/>
    </xf>
    <xf numFmtId="39" fontId="2" fillId="0" borderId="0" xfId="0" applyNumberFormat="1" applyFont="1" applyAlignment="1">
      <alignment horizontal="left"/>
    </xf>
    <xf numFmtId="0" fontId="3" fillId="0" borderId="0" xfId="0" applyFont="1" applyAlignment="1">
      <alignment horizontal="center" vertical="top"/>
    </xf>
    <xf numFmtId="37" fontId="22" fillId="0" borderId="0" xfId="0" applyNumberFormat="1" applyFont="1" applyAlignment="1">
      <alignment horizontal="center" vertical="top"/>
    </xf>
    <xf numFmtId="37" fontId="3" fillId="0" borderId="0" xfId="0" applyNumberFormat="1" applyFont="1" applyAlignment="1">
      <alignment horizontal="center" vertical="top"/>
    </xf>
    <xf numFmtId="0" fontId="19" fillId="0" borderId="2" xfId="0" applyFont="1" applyBorder="1" applyAlignment="1">
      <alignment horizontal="left" vertical="center" wrapText="1"/>
    </xf>
    <xf numFmtId="0" fontId="19" fillId="0" borderId="0" xfId="0" applyFont="1" applyAlignment="1">
      <alignment horizontal="left" vertical="center" wrapText="1"/>
    </xf>
    <xf numFmtId="39" fontId="40" fillId="4" borderId="0" xfId="0" applyNumberFormat="1" applyFont="1" applyFill="1" applyAlignment="1">
      <alignment horizontal="left"/>
    </xf>
    <xf numFmtId="0" fontId="40" fillId="0" borderId="0" xfId="0" applyFont="1" applyAlignment="1">
      <alignment horizontal="left"/>
    </xf>
    <xf numFmtId="0" fontId="42" fillId="0" borderId="0" xfId="0" applyFont="1" applyAlignment="1">
      <alignment horizontal="center" vertical="top"/>
    </xf>
    <xf numFmtId="37" fontId="43" fillId="0" borderId="0" xfId="0" applyNumberFormat="1" applyFont="1" applyAlignment="1">
      <alignment horizontal="center" vertical="top"/>
    </xf>
    <xf numFmtId="37" fontId="42" fillId="0" borderId="13" xfId="0" applyNumberFormat="1" applyFont="1" applyBorder="1" applyAlignment="1">
      <alignment horizontal="center" vertical="top"/>
    </xf>
    <xf numFmtId="0" fontId="19" fillId="0" borderId="0" xfId="0" applyFont="1" applyAlignment="1">
      <alignment horizontal="left" vertical="center"/>
    </xf>
    <xf numFmtId="0" fontId="2" fillId="0" borderId="0" xfId="0" applyFont="1" applyAlignment="1">
      <alignment horizontal="center" vertical="top"/>
    </xf>
    <xf numFmtId="37" fontId="6" fillId="0" borderId="0" xfId="0" applyNumberFormat="1" applyFont="1" applyAlignment="1">
      <alignment horizontal="center" vertical="top"/>
    </xf>
    <xf numFmtId="37" fontId="2" fillId="0" borderId="13" xfId="0" applyNumberFormat="1" applyFont="1" applyBorder="1" applyAlignment="1">
      <alignment horizontal="center" vertical="top"/>
    </xf>
    <xf numFmtId="0" fontId="19" fillId="0" borderId="2" xfId="0" applyFont="1" applyBorder="1" applyAlignment="1">
      <alignment horizontal="left" vertical="center"/>
    </xf>
    <xf numFmtId="0" fontId="34" fillId="0" borderId="0" xfId="0" applyFont="1" applyAlignment="1">
      <alignment horizontal="center" vertical="top"/>
    </xf>
    <xf numFmtId="37" fontId="36" fillId="0" borderId="0" xfId="0" applyNumberFormat="1" applyFont="1" applyAlignment="1">
      <alignment horizontal="center" vertical="top"/>
    </xf>
    <xf numFmtId="37" fontId="34" fillId="0" borderId="13" xfId="0" applyNumberFormat="1" applyFont="1" applyBorder="1" applyAlignment="1">
      <alignment horizontal="center" vertical="top"/>
    </xf>
    <xf numFmtId="39" fontId="3" fillId="0" borderId="0" xfId="0" applyNumberFormat="1" applyFont="1" applyAlignment="1">
      <alignment horizontal="right"/>
    </xf>
    <xf numFmtId="0" fontId="51" fillId="0" borderId="0" xfId="0" applyFont="1" applyAlignment="1">
      <alignment horizontal="center" vertical="top"/>
    </xf>
    <xf numFmtId="37" fontId="52" fillId="0" borderId="0" xfId="0" applyNumberFormat="1" applyFont="1" applyAlignment="1">
      <alignment horizontal="center" vertical="top"/>
    </xf>
    <xf numFmtId="37" fontId="51" fillId="0" borderId="13" xfId="0" applyNumberFormat="1" applyFont="1" applyBorder="1" applyAlignment="1">
      <alignment horizontal="center" vertical="top"/>
    </xf>
    <xf numFmtId="37" fontId="17" fillId="0" borderId="13" xfId="0" applyNumberFormat="1" applyFont="1" applyBorder="1" applyAlignment="1">
      <alignment horizontal="center" vertical="top"/>
    </xf>
  </cellXfs>
  <cellStyles count="6">
    <cellStyle name="Comma" xfId="1" builtinId="3"/>
    <cellStyle name="Normal" xfId="0" builtinId="0"/>
    <cellStyle name="Normal 2" xfId="4" xr:uid="{43FF535D-5CD7-438A-B410-BD7D2E870176}"/>
    <cellStyle name="Normal 3" xfId="3" xr:uid="{A90E1C0D-14CD-4D4B-8600-4C10190FCD1D}"/>
    <cellStyle name="Normal_Book1" xfId="5" xr:uid="{55DCCF0A-2DFF-4CDE-9CE1-2B140102377A}"/>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1.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8" Type="http://schemas.openxmlformats.org/officeDocument/2006/relationships/customXml" Target="../customXml/item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3.xml"/><Relationship Id="rId60"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nitednations-my.sharepoint.com/personal/girma_gina_un_org/Documents/MFL/MFL/Interest_Income/Trinneial_Interest%20income.xlsx" TargetMode="External"/><Relationship Id="rId1" Type="http://schemas.openxmlformats.org/officeDocument/2006/relationships/externalLinkPath" Target="/personal/girma_gina_un_org/Documents/MFL/MFL/Interest_Income/Trinneial_Interest%20incom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unitednations-my.sharepoint.com/personal/girma_gina_un_org/Documents/MFL/MFL/94th_ExCom/FERM%20Gain%20and%20Loss%20as%20at%2031.05.2024.xls" TargetMode="External"/><Relationship Id="rId1" Type="http://schemas.openxmlformats.org/officeDocument/2006/relationships/externalLinkPath" Target="/personal/fadi_abouelias_un_org/Documents/C-Drive/MLF/EXCOM/94th%20Meeting/Documents/Status%20of%20Contributions/Drafts/V6-Received%20from%20Girma/FERM%20Gain%20and%20Loss%20as%20at%2031.05.2024.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unitednations-my.sharepoint.com/personal/girma_gina_un_org/Documents/MFL/MFL/94th_ExCom/FERM%20Gain%20and%20Loss%20as%20at%2031.05.2024.xls" TargetMode="External"/><Relationship Id="rId1" Type="http://schemas.openxmlformats.org/officeDocument/2006/relationships/externalLinkPath" Target="/personal/fadi_abouelias_un_org/Documents/C-Drive/MLF/EXCOM/94th%20Meeting/Documents/Status%20of%20Contributions/In-session/FERM%20Gain%20and%20Loss%20as%20at%2031.05.202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015_17_Interest"/>
      <sheetName val="2018_20_Interest"/>
      <sheetName val="2021_23_Interest"/>
      <sheetName val="2024_26_Interest"/>
      <sheetName val="Sheet3"/>
    </sheetNames>
    <sheetDataSet>
      <sheetData sheetId="0"/>
      <sheetData sheetId="1"/>
      <sheetData sheetId="2">
        <row r="68">
          <cell r="D68">
            <v>38706412.780000001</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AUL41"/>
      <sheetName val="AUS41"/>
      <sheetName val="BEL40"/>
      <sheetName val="CAN41"/>
      <sheetName val="CROATIA"/>
      <sheetName val="CYP"/>
      <sheetName val="CZE38"/>
      <sheetName val="DEN38"/>
      <sheetName val="EST09"/>
      <sheetName val="FIN38"/>
      <sheetName val="FRA38 AA"/>
      <sheetName val="GER38 AA"/>
      <sheetName val="GRE38"/>
      <sheetName val="HUN38"/>
      <sheetName val="ICE38"/>
      <sheetName val="IRE38"/>
      <sheetName val="ITA38"/>
      <sheetName val="LATV48"/>
      <sheetName val="LITU"/>
      <sheetName val="LUX38"/>
      <sheetName val="MAT"/>
      <sheetName val="MON49"/>
      <sheetName val="NET38 AA"/>
      <sheetName val="NZL38"/>
      <sheetName val="NOR38"/>
      <sheetName val="POL38"/>
      <sheetName val="POR38"/>
      <sheetName val="ROM54"/>
      <sheetName val="RUSSIA"/>
      <sheetName val="SanMarino"/>
      <sheetName val="Slovenia"/>
      <sheetName val="SLOVAK REP"/>
      <sheetName val="SPAIN"/>
      <sheetName val="SWE38"/>
      <sheetName val="SWZ38"/>
      <sheetName val="UK41 AA"/>
      <sheetName val="USA38 AA"/>
    </sheetNames>
    <sheetDataSet>
      <sheetData sheetId="0">
        <row r="100">
          <cell r="D100">
            <v>2612082.1424330585</v>
          </cell>
        </row>
        <row r="101">
          <cell r="D101">
            <v>517558.62613258261</v>
          </cell>
        </row>
        <row r="103">
          <cell r="D103">
            <v>-1070816.9367961115</v>
          </cell>
        </row>
        <row r="104">
          <cell r="D104">
            <v>179764.44969109265</v>
          </cell>
        </row>
        <row r="105">
          <cell r="D105">
            <v>50507.634293122384</v>
          </cell>
        </row>
        <row r="106">
          <cell r="D106">
            <v>726084.80068758852</v>
          </cell>
        </row>
        <row r="107">
          <cell r="D107">
            <v>4379.2182163185207</v>
          </cell>
        </row>
        <row r="109">
          <cell r="D109">
            <v>-58592.863029833126</v>
          </cell>
        </row>
        <row r="110">
          <cell r="D110">
            <v>-4326929.1537742922</v>
          </cell>
        </row>
        <row r="113">
          <cell r="D113">
            <v>102931.95168235083</v>
          </cell>
        </row>
        <row r="114">
          <cell r="D114">
            <v>51218.003903283177</v>
          </cell>
        </row>
        <row r="115">
          <cell r="D115">
            <v>897883.79583348893</v>
          </cell>
        </row>
        <row r="116">
          <cell r="D116">
            <v>7669715.2762428699</v>
          </cell>
        </row>
        <row r="117">
          <cell r="D117">
            <v>-14878.565886757449</v>
          </cell>
        </row>
        <row r="118">
          <cell r="D118">
            <v>-1376.5715850361266</v>
          </cell>
        </row>
        <row r="119">
          <cell r="D119">
            <v>17635.093815221509</v>
          </cell>
        </row>
        <row r="120">
          <cell r="D120">
            <v>15484.63042334206</v>
          </cell>
        </row>
        <row r="121">
          <cell r="D121">
            <v>-571.53258343895504</v>
          </cell>
        </row>
        <row r="122">
          <cell r="D122">
            <v>-9.9999999999999995E-7</v>
          </cell>
        </row>
        <row r="123">
          <cell r="D123">
            <v>482201.52233455342</v>
          </cell>
        </row>
        <row r="124">
          <cell r="D124">
            <v>2024225.9409621567</v>
          </cell>
        </row>
        <row r="125">
          <cell r="D125">
            <v>1436466.6558757434</v>
          </cell>
        </row>
        <row r="127">
          <cell r="D127">
            <v>-1285.7995563792647</v>
          </cell>
        </row>
        <row r="128">
          <cell r="D128">
            <v>6576264.6170411594</v>
          </cell>
        </row>
        <row r="129">
          <cell r="D129">
            <v>3429.0443625200414</v>
          </cell>
        </row>
        <row r="130">
          <cell r="D130">
            <v>6037.1446589246661</v>
          </cell>
        </row>
        <row r="131">
          <cell r="D131">
            <v>183326.75934440293</v>
          </cell>
        </row>
        <row r="133">
          <cell r="D133">
            <v>874336.74799752771</v>
          </cell>
        </row>
        <row r="134">
          <cell r="D134">
            <v>-2130301.7809921568</v>
          </cell>
        </row>
        <row r="135">
          <cell r="D135">
            <v>1185228.5003438238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AUL41"/>
      <sheetName val="AUS41"/>
      <sheetName val="BEL40"/>
      <sheetName val="CAN41"/>
      <sheetName val="CROATIA"/>
      <sheetName val="CYP"/>
      <sheetName val="CZE38"/>
      <sheetName val="DEN38"/>
      <sheetName val="EST09"/>
      <sheetName val="FIN38"/>
      <sheetName val="FRA38 AA"/>
      <sheetName val="GER38 AA"/>
      <sheetName val="GRE38"/>
      <sheetName val="HUN38"/>
      <sheetName val="ICE38"/>
      <sheetName val="IRE38"/>
      <sheetName val="ITA38"/>
      <sheetName val="LATV48"/>
      <sheetName val="LITU"/>
      <sheetName val="LUX38"/>
      <sheetName val="MAT"/>
      <sheetName val="MON49"/>
      <sheetName val="NET38 AA"/>
      <sheetName val="NZL38"/>
      <sheetName val="NOR38"/>
      <sheetName val="POL38"/>
      <sheetName val="POR38"/>
      <sheetName val="ROM54"/>
      <sheetName val="RUSSIA"/>
      <sheetName val="SanMarino"/>
      <sheetName val="Slovenia"/>
      <sheetName val="SLOVAK REP"/>
      <sheetName val="SPAIN"/>
      <sheetName val="SWE38"/>
      <sheetName val="SWZ38"/>
      <sheetName val="UK41 AA"/>
      <sheetName val="USA38 AA"/>
    </sheetNames>
    <sheetDataSet>
      <sheetData sheetId="0">
        <row r="102">
          <cell r="D102">
            <v>2544028.0918142796</v>
          </cell>
        </row>
        <row r="108">
          <cell r="D108">
            <v>58850.667911263947</v>
          </cell>
        </row>
        <row r="111">
          <cell r="D111">
            <v>7263875.3918412859</v>
          </cell>
        </row>
        <row r="112">
          <cell r="D112">
            <v>-1224610.7613075883</v>
          </cell>
        </row>
        <row r="126">
          <cell r="D126">
            <v>268750.91781857901</v>
          </cell>
        </row>
        <row r="132">
          <cell r="D132">
            <v>3123009.5305774738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persons/person.xml><?xml version="1.0" encoding="utf-8"?>
<personList xmlns="http://schemas.microsoft.com/office/spreadsheetml/2018/threadedcomments" xmlns:x="http://schemas.openxmlformats.org/spreadsheetml/2006/main">
  <person displayName="Girma Gina" id="{89AAA98A-ED27-43B8-8104-9E51F8AB2E2A}" userId="S-1-5-21-3409425046-721531827-225666627-10621" providerId="AD"/>
  <person displayName="Elina Yuen" id="{B5297068-6DE2-4CAB-86C7-6CCD335C490A}" userId="S::elina.yuen@un.org::8c11097e-c8db-43d5-b40b-ef2347cc3803" providerId="AD"/>
  <person displayName="Girma Gina" id="{050B8286-ED73-4055-BF25-5DDE9B2B4060}" userId="S::girma.gina@un.org::90e5efff-ae20-4b95-841a-5944e2503ddc" providerId="AD"/>
  <person displayName="Samuel Shimba" id="{D407842A-4913-4787-B7DE-D0C810A503F6}" userId="S::samuel.shimba@un.org::73b05dbb-98d4-47da-b7a7-3f6f48f8e37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9" dT="2024-04-24T12:49:27.52" personId="{B5297068-6DE2-4CAB-86C7-6CCD335C490A}" id="{E8B35E39-05D5-4537-9264-E0289E8974A7}">
    <text>This only contains 2024</text>
  </threadedComment>
  <threadedComment ref="L21" dT="2024-04-27T10:37:12.28" personId="{050B8286-ED73-4055-BF25-5DDE9B2B4060}" id="{1649BCF6-DCB7-449D-88DA-0A1B0B1A1DBD}">
    <text>These amounts are Cost differential contribution from Canada.</text>
  </threadedComment>
</ThreadedComments>
</file>

<file path=xl/threadedComments/threadedComment10.xml><?xml version="1.0" encoding="utf-8"?>
<ThreadedComments xmlns="http://schemas.microsoft.com/office/spreadsheetml/2018/threadedcomments" xmlns:x="http://schemas.openxmlformats.org/spreadsheetml/2006/main">
  <threadedComment ref="C25" dT="2022-01-06T15:34:42.85" personId="{050B8286-ED73-4055-BF25-5DDE9B2B4060}" id="{0698250B-A735-44B8-B8F1-62DA71E1487D}">
    <text>From Greece payment on 29/12/2021 US$8,592,814.10</text>
  </threadedComment>
</ThreadedComments>
</file>

<file path=xl/threadedComments/threadedComment11.xml><?xml version="1.0" encoding="utf-8"?>
<ThreadedComments xmlns="http://schemas.microsoft.com/office/spreadsheetml/2018/threadedcomments" xmlns:x="http://schemas.openxmlformats.org/spreadsheetml/2006/main">
  <threadedComment ref="C25" dT="2022-01-06T15:34:21.39" personId="{050B8286-ED73-4055-BF25-5DDE9B2B4060}" id="{AE3B594F-503D-416D-97DF-A84410AC32AA}">
    <text>From Greece payment on 29/12/2021 US$8,592,814.10</text>
  </threadedComment>
</ThreadedComments>
</file>

<file path=xl/threadedComments/threadedComment12.xml><?xml version="1.0" encoding="utf-8"?>
<ThreadedComments xmlns="http://schemas.microsoft.com/office/spreadsheetml/2018/threadedcomments" xmlns:x="http://schemas.openxmlformats.org/spreadsheetml/2006/main">
  <threadedComment ref="C25" dT="2022-01-06T15:33:47.39" personId="{050B8286-ED73-4055-BF25-5DDE9B2B4060}" id="{1BCD0D7E-C405-43C4-80F2-514A9DFDB238}">
    <text>From Greece payment on 29/12/2021 US$8,592,814.10</text>
  </threadedComment>
</ThreadedComments>
</file>

<file path=xl/threadedComments/threadedComment13.xml><?xml version="1.0" encoding="utf-8"?>
<ThreadedComments xmlns="http://schemas.microsoft.com/office/spreadsheetml/2018/threadedcomments" xmlns:x="http://schemas.openxmlformats.org/spreadsheetml/2006/main">
  <threadedComment ref="C25" dT="2022-01-06T15:33:19.22" personId="{050B8286-ED73-4055-BF25-5DDE9B2B4060}" id="{097DFE4D-3CF7-494D-B432-8D50651065AB}">
    <text>From Greece payment on 29/12/2021 US$8,592,814.10</text>
  </threadedComment>
</ThreadedComments>
</file>

<file path=xl/threadedComments/threadedComment14.xml><?xml version="1.0" encoding="utf-8"?>
<ThreadedComments xmlns="http://schemas.microsoft.com/office/spreadsheetml/2018/threadedcomments" xmlns:x="http://schemas.openxmlformats.org/spreadsheetml/2006/main">
  <threadedComment ref="D20" dT="2020-10-20T10:56:00.64" personId="{050B8286-ED73-4055-BF25-5DDE9B2B4060}" id="{3044DFB1-985B-4766-8B98-6113960C1E7C}">
    <text>Adjustment as per bilateral reconciliation</text>
  </threadedComment>
</ThreadedComments>
</file>

<file path=xl/threadedComments/threadedComment15.xml><?xml version="1.0" encoding="utf-8"?>
<ThreadedComments xmlns="http://schemas.microsoft.com/office/spreadsheetml/2018/threadedcomments" xmlns:x="http://schemas.openxmlformats.org/spreadsheetml/2006/main">
  <threadedComment ref="D20" dT="2020-10-20T10:55:29.47" personId="{050B8286-ED73-4055-BF25-5DDE9B2B4060}" id="{B8CB65A7-23BE-45A9-9A9B-AA5E860F9E60}">
    <text>Adjustment as per bilateral reconciliation</text>
  </threadedComment>
</ThreadedComments>
</file>

<file path=xl/threadedComments/threadedComment16.xml><?xml version="1.0" encoding="utf-8"?>
<ThreadedComments xmlns="http://schemas.microsoft.com/office/spreadsheetml/2018/threadedcomments" xmlns:x="http://schemas.openxmlformats.org/spreadsheetml/2006/main">
  <threadedComment ref="D20" dT="2020-10-20T10:53:06.90" personId="{050B8286-ED73-4055-BF25-5DDE9B2B4060}" id="{CEA1EF39-23FE-4400-819F-B6375382491B}">
    <text>Adjustment as per bilateral reconciliation</text>
  </threadedComment>
</ThreadedComments>
</file>

<file path=xl/threadedComments/threadedComment17.xml><?xml version="1.0" encoding="utf-8"?>
<ThreadedComments xmlns="http://schemas.microsoft.com/office/spreadsheetml/2018/threadedcomments" xmlns:x="http://schemas.openxmlformats.org/spreadsheetml/2006/main">
  <threadedComment ref="D20" dT="2020-10-20T10:49:18.76" personId="{050B8286-ED73-4055-BF25-5DDE9B2B4060}" id="{50F1A08F-5364-41FB-8B91-DA36D586A4D1}">
    <text>Adjustment as per bilateral reconciliation</text>
  </threadedComment>
</ThreadedComments>
</file>

<file path=xl/threadedComments/threadedComment18.xml><?xml version="1.0" encoding="utf-8"?>
<ThreadedComments xmlns="http://schemas.microsoft.com/office/spreadsheetml/2018/threadedcomments" xmlns:x="http://schemas.openxmlformats.org/spreadsheetml/2006/main">
  <threadedComment ref="D20" dT="2020-10-20T10:47:52.91" personId="{050B8286-ED73-4055-BF25-5DDE9B2B4060}" id="{26A6C3F3-7530-469C-AEFE-3EA9D4A8CF77}">
    <text>Adjustment as per bilateral reconciliation</text>
  </threadedComment>
</ThreadedComments>
</file>

<file path=xl/threadedComments/threadedComment19.xml><?xml version="1.0" encoding="utf-8"?>
<ThreadedComments xmlns="http://schemas.microsoft.com/office/spreadsheetml/2018/threadedcomments" xmlns:x="http://schemas.openxmlformats.org/spreadsheetml/2006/main">
  <threadedComment ref="D20" dT="2020-10-20T10:46:18.82" personId="{050B8286-ED73-4055-BF25-5DDE9B2B4060}" id="{C6A3FA63-62DE-4AEE-BBC1-804F6D4D3C59}">
    <text>Adjustment as per bilateral reconciliation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F10" dT="2024-04-27T10:47:49.28" personId="{050B8286-ED73-4055-BF25-5DDE9B2B4060}" id="{6F455D61-9E54-4BDD-85D3-A67482821E16}">
    <text>Deferred contribution from Australia</text>
  </threadedComment>
</ThreadedComments>
</file>

<file path=xl/threadedComments/threadedComment20.xml><?xml version="1.0" encoding="utf-8"?>
<ThreadedComments xmlns="http://schemas.microsoft.com/office/spreadsheetml/2018/threadedcomments" xmlns:x="http://schemas.openxmlformats.org/spreadsheetml/2006/main">
  <threadedComment ref="D23" dT="2020-10-20T10:46:01.70" personId="{050B8286-ED73-4055-BF25-5DDE9B2B4060}" id="{12D1188A-6C7A-47C8-96FA-BB78AA86C97D}">
    <text>Adjustment as per bilateral reconciliation</text>
  </threadedComment>
</ThreadedComments>
</file>

<file path=xl/threadedComments/threadedComment21.xml><?xml version="1.0" encoding="utf-8"?>
<ThreadedComments xmlns="http://schemas.microsoft.com/office/spreadsheetml/2018/threadedcomments" xmlns:x="http://schemas.openxmlformats.org/spreadsheetml/2006/main">
  <threadedComment ref="D23" dT="2020-10-20T10:45:51.20" personId="{050B8286-ED73-4055-BF25-5DDE9B2B4060}" id="{3F80C775-FA20-4027-AE9F-11EFD9F11A25}">
    <text>Adjustment as per bilateral reconciliation</text>
  </threadedComment>
</ThreadedComments>
</file>

<file path=xl/threadedComments/threadedComment22.xml><?xml version="1.0" encoding="utf-8"?>
<ThreadedComments xmlns="http://schemas.microsoft.com/office/spreadsheetml/2018/threadedcomments" xmlns:x="http://schemas.openxmlformats.org/spreadsheetml/2006/main">
  <threadedComment ref="D23" dT="2020-10-20T10:45:25.40" personId="{050B8286-ED73-4055-BF25-5DDE9B2B4060}" id="{BD0C75FC-12E0-46AF-88CE-8FEF49EC310F}">
    <text>Adjustment as per bilateral reconciliation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D24" dT="2023-06-15T09:41:05.88" personId="{050B8286-ED73-4055-BF25-5DDE9B2B4060}" id="{C8E410B6-889B-4539-8C38-EFD6DA9B7683}">
    <text>Bilateral approved at 92nd and transfer of projects to UNDP as per 92nd decision and 93rd meeting</text>
  </threadedComment>
  <threadedComment ref="D32" dT="2024-04-15T05:59:38.31" personId="{050B8286-ED73-4055-BF25-5DDE9B2B4060}" id="{81C7A460-8C21-4EC6-8353-317C38F2D3DF}">
    <text>Bilateral 93rd meeting</text>
  </threadedComment>
</ThreadedComments>
</file>

<file path=xl/threadedComments/threadedComment4.xml><?xml version="1.0" encoding="utf-8"?>
<ThreadedComments xmlns="http://schemas.microsoft.com/office/spreadsheetml/2018/threadedcomments" xmlns:x="http://schemas.openxmlformats.org/spreadsheetml/2006/main">
  <threadedComment ref="D24" dT="2022-12-29T08:40:54.19" personId="{050B8286-ED73-4055-BF25-5DDE9B2B4060}" id="{42158F13-B374-4B46-86DC-194E324B76F7}">
    <text>Bilateral 90th ExCom 07 July 2022 and 91st Excom dd 28 Dec 2022</text>
  </threadedComment>
</ThreadedComments>
</file>

<file path=xl/threadedComments/threadedComment5.xml><?xml version="1.0" encoding="utf-8"?>
<ThreadedComments xmlns="http://schemas.microsoft.com/office/spreadsheetml/2018/threadedcomments" xmlns:x="http://schemas.openxmlformats.org/spreadsheetml/2006/main">
  <threadedComment ref="D23" dT="2022-05-26T06:33:39.66" personId="{050B8286-ED73-4055-BF25-5DDE9B2B4060}" id="{95602D43-0518-46FC-8DC3-8B784149C5E4}">
    <text>Bilateral approved at 86th ExCom and US$6,747 return of bilateral to the 87th ExCom</text>
  </threadedComment>
  <threadedComment ref="D23" dT="2022-12-01T07:35:00.45" personId="{050B8286-ED73-4055-BF25-5DDE9B2B4060}" id="{7319E5C8-F808-4449-A8B0-F0DD6E493FCB}" parentId="{95602D43-0518-46FC-8DC3-8B784149C5E4}">
    <text>Difference of $30,250 arose because of the FERM rate difference between 2018/20 and 2021/23</text>
  </threadedComment>
  <threadedComment ref="D23" dT="2022-12-01T07:36:24.86" personId="{050B8286-ED73-4055-BF25-5DDE9B2B4060}" id="{7B90A0D3-27F2-4E93-9FFB-3EC45CB41ACD}" parentId="{95602D43-0518-46FC-8DC3-8B784149C5E4}">
    <text>86th ExCom decided to offset France's 2020 contribution for the bilateral, but invoice done in 2021/22</text>
  </threadedComment>
  <threadedComment ref="D23" dT="2023-04-24T06:29:12.89" personId="{050B8286-ED73-4055-BF25-5DDE9B2B4060}" id="{41F1D8E4-6F13-4000-B00A-9258DA27620A}" parentId="{95602D43-0518-46FC-8DC3-8B784149C5E4}">
    <text>Bilateral return ExCom decision 91/3 (a)(vi) US$21,199</text>
  </threadedComment>
  <threadedComment ref="D24" dT="2022-08-23T10:39:27.45" personId="{050B8286-ED73-4055-BF25-5DDE9B2B4060}" id="{F01F2486-62F1-4B3D-8D34-9C3B2987B8CD}">
    <text>US$1,102,511 at 87th ExCom US$3,214,121 at 88th ExCom; balance to be transferred to 2022</text>
  </threadedComment>
  <threadedComment ref="D31" dT="2022-08-02T08:07:21.84" personId="{050B8286-ED73-4055-BF25-5DDE9B2B4060}" id="{03BDAC45-F2E4-4F2E-A012-E00F9ABEC245}">
    <text>Bilateral approved at 88th ExCom</text>
  </threadedComment>
  <threadedComment ref="D32" dT="2024-02-06T08:12:59.64" personId="{050B8286-ED73-4055-BF25-5DDE9B2B4060}" id="{0B6E999B-FBAF-4602-BD8C-37C34FA53E15}">
    <text>Approved 87th and 88th ExCom</text>
  </threadedComment>
</ThreadedComments>
</file>

<file path=xl/threadedComments/threadedComment6.xml><?xml version="1.0" encoding="utf-8"?>
<ThreadedComments xmlns="http://schemas.microsoft.com/office/spreadsheetml/2018/threadedcomments" xmlns:x="http://schemas.openxmlformats.org/spreadsheetml/2006/main">
  <threadedComment ref="D16" dT="2019-09-24T14:04:59.62" personId="{050B8286-ED73-4055-BF25-5DDE9B2B4060}" id="{7A63BFF3-56A5-4366-97AE-E67630A98965}">
    <text>Email request from Phillipe on 24/09/2019</text>
  </threadedComment>
  <threadedComment ref="D16" dT="2020-06-10T08:48:34.32" personId="{050B8286-ED73-4055-BF25-5DDE9B2B4060}" id="{850E80C3-A512-4163-B178-FC7342B148E7}" parentId="{7A63BFF3-56A5-4366-97AE-E67630A98965}">
    <text>US$42,800 85th ISA</text>
  </threadedComment>
  <threadedComment ref="D23" dT="2020-01-23T13:33:31.14" personId="{050B8286-ED73-4055-BF25-5DDE9B2B4060}" id="{74F000F5-243F-4633-B4F6-C0A2C74B6C4C}">
    <text>84th ExCom bilateral approval</text>
  </threadedComment>
  <threadedComment ref="D23" dT="2020-06-10T08:47:58.97" personId="{050B8286-ED73-4055-BF25-5DDE9B2B4060}" id="{50AEADCD-59D0-4DF9-BFD6-ABD9F016E785}" parentId="{74F000F5-243F-4633-B4F6-C0A2C74B6C4C}">
    <text>US5,085 85th ISA</text>
  </threadedComment>
  <threadedComment ref="D23" dT="2021-08-12T13:32:04.64" personId="{D407842A-4913-4787-B7DE-D0C810A503F6}" id="{89B414CA-24DF-4464-B425-044D551DD791}" parentId="{74F000F5-243F-4633-B4F6-C0A2C74B6C4C}">
    <text>87th ExCom Cash transfer due</text>
  </threadedComment>
</ThreadedComments>
</file>

<file path=xl/threadedComments/threadedComment7.xml><?xml version="1.0" encoding="utf-8"?>
<ThreadedComments xmlns="http://schemas.microsoft.com/office/spreadsheetml/2018/threadedcomments" xmlns:x="http://schemas.openxmlformats.org/spreadsheetml/2006/main">
  <threadedComment ref="D16" dT="2019-09-24T14:04:14.71" personId="{050B8286-ED73-4055-BF25-5DDE9B2B4060}" id="{7D76BCFE-8940-48D0-AFF9-CE83BFEE5282}">
    <text>Email request from Phillipe on 24/09/2019</text>
  </threadedComment>
  <threadedComment ref="C24" dT="2019-03-26T06:27:14.35" personId="{050B8286-ED73-4055-BF25-5DDE9B2B4060}" id="{1F92A21C-2F77-40C4-8872-E3BAEDB377A9}">
    <text>US$304,950 is bilateral from the additional contribution that Germany paid without deducting it.</text>
  </threadedComment>
  <threadedComment ref="D24" dT="2019-01-17T14:01:56.82" personId="{89AAA98A-ED27-43B8-8104-9E51F8AB2E2A}" id="{C831BBF8-190D-438C-A024-98B1D153B605}">
    <text>US$1,852,533.4 bilateral approved by 82nd ExCom</text>
  </threadedComment>
  <threadedComment ref="D24" dT="2020-06-02T07:21:10.19" personId="{050B8286-ED73-4055-BF25-5DDE9B2B4060}" id="{3AACB4D1-2346-47AE-8033-C9C8EA2F359F}" parentId="{C831BBF8-190D-438C-A024-98B1D153B605}">
    <text>$1,367,733.6 portion of 84th ExCom approval</text>
  </threadedComment>
  <threadedComment ref="C25" dT="2022-01-06T15:36:02.22" personId="{050B8286-ED73-4055-BF25-5DDE9B2B4060}" id="{48529FD9-7CE9-44CB-87E6-2938AA58AADF}">
    <text>From Greece payment on 29/12/2021 US$8,592,814.10</text>
  </threadedComment>
  <threadedComment ref="D31" dT="2020-08-21T10:05:42.42" personId="{050B8286-ED73-4055-BF25-5DDE9B2B4060}" id="{100460EE-D6BF-4935-98D6-9839A47D353D}">
    <text>84th Excom approval</text>
  </threadedComment>
  <threadedComment ref="C32" dT="2020-01-28T07:57:15.83" personId="{050B8286-ED73-4055-BF25-5DDE9B2B4060}" id="{3C5974EA-09B2-4AFB-964F-8F4FBF7E71DF}">
    <text>MOFA &amp; MOE invoices settled and on 17/03/2020 MoF settled the balance</text>
  </threadedComment>
  <threadedComment ref="D32" dT="2020-08-17T05:37:39.79" personId="{050B8286-ED73-4055-BF25-5DDE9B2B4060}" id="{93003BFA-4C6D-4EBB-BB5B-08F8D60B9699}">
    <text>84th ExCom meeting approval</text>
  </threadedComment>
  <threadedComment ref="D32" dT="2020-08-19T07:11:37.95" personId="{050B8286-ED73-4055-BF25-5DDE9B2B4060}" id="{5F74B6AA-AA0E-4B8F-B239-84D35B06A6E6}" parentId="{93003BFA-4C6D-4EBB-BB5B-08F8D60B9699}">
    <text>Paid to WB on 06 March 2020</text>
  </threadedComment>
</ThreadedComments>
</file>

<file path=xl/threadedComments/threadedComment8.xml><?xml version="1.0" encoding="utf-8"?>
<ThreadedComments xmlns="http://schemas.microsoft.com/office/spreadsheetml/2018/threadedcomments" xmlns:x="http://schemas.openxmlformats.org/spreadsheetml/2006/main">
  <threadedComment ref="D23" dT="2019-01-17T13:01:40.39" personId="{89AAA98A-ED27-43B8-8104-9E51F8AB2E2A}" id="{166EFB7F-1C0E-479E-923A-F19C12D2CD5B}">
    <text>82nd ExCom bilateral approva</text>
  </threadedComment>
  <threadedComment ref="D24" dT="2019-01-17T13:57:11.98" personId="{89AAA98A-ED27-43B8-8104-9E51F8AB2E2A}" id="{02CCE766-94F6-4EFF-9B1C-0537FCB7C132}">
    <text>US$222,182 bilateral approved 81st ExCom; US$2,998,084.6</text>
  </threadedComment>
  <threadedComment ref="C25" dT="2022-01-06T15:35:34.14" personId="{050B8286-ED73-4055-BF25-5DDE9B2B4060}" id="{BFC0BCEA-FD1D-4645-B479-EB72877571CD}">
    <text>From Greece payment on 29/12/2021 US$8,592,814.10</text>
  </threadedComment>
</ThreadedComments>
</file>

<file path=xl/threadedComments/threadedComment9.xml><?xml version="1.0" encoding="utf-8"?>
<ThreadedComments xmlns="http://schemas.microsoft.com/office/spreadsheetml/2018/threadedcomments" xmlns:x="http://schemas.openxmlformats.org/spreadsheetml/2006/main">
  <threadedComment ref="C25" dT="2022-01-06T15:35:01.44" personId="{050B8286-ED73-4055-BF25-5DDE9B2B4060}" id="{9580F38D-58CC-4914-A29E-458DDEFE12D0}">
    <text>From Greece payment on 29/12/2021 US$8,592,814.10</text>
  </threadedComment>
  <threadedComment ref="C44" dT="2019-01-16T13:14:20.17" personId="{89AAA98A-ED27-43B8-8104-9E51F8AB2E2A}" id="{F832AEF9-67AA-4955-8A35-348F2709A5A2}">
    <text>From Portugal payment of US$1,826,537.45 dd 17/12/2018</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5.bin"/><Relationship Id="rId4" Type="http://schemas.microsoft.com/office/2017/10/relationships/threadedComment" Target="../threadedComments/threadedComment9.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6.bin"/><Relationship Id="rId4" Type="http://schemas.microsoft.com/office/2017/10/relationships/threadedComment" Target="../threadedComments/threadedComment10.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32.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33.xml.rels><?xml version="1.0" encoding="UTF-8" standalone="yes"?>
<Relationships xmlns="http://schemas.openxmlformats.org/package/2006/relationships"><Relationship Id="rId3" Type="http://schemas.microsoft.com/office/2017/10/relationships/threadedComment" Target="../threadedComments/threadedComment16.xml"/><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35.xml.rels><?xml version="1.0" encoding="UTF-8" standalone="yes"?>
<Relationships xmlns="http://schemas.openxmlformats.org/package/2006/relationships"><Relationship Id="rId3" Type="http://schemas.microsoft.com/office/2017/10/relationships/threadedComment" Target="../threadedComments/threadedComment17.xml"/><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36.xml.rels><?xml version="1.0" encoding="UTF-8" standalone="yes"?>
<Relationships xmlns="http://schemas.openxmlformats.org/package/2006/relationships"><Relationship Id="rId3" Type="http://schemas.microsoft.com/office/2017/10/relationships/threadedComment" Target="../threadedComments/threadedComment18.xml"/><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37.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39.xml.rels><?xml version="1.0" encoding="UTF-8" standalone="yes"?>
<Relationships xmlns="http://schemas.openxmlformats.org/package/2006/relationships"><Relationship Id="rId3" Type="http://schemas.microsoft.com/office/2017/10/relationships/threadedComment" Target="../threadedComments/threadedComment20.xml"/><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microsoft.com/office/2017/10/relationships/threadedComment" Target="../threadedComments/threadedComment21.xml"/><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41.xml.rels><?xml version="1.0" encoding="UTF-8" standalone="yes"?>
<Relationships xmlns="http://schemas.openxmlformats.org/package/2006/relationships"><Relationship Id="rId3" Type="http://schemas.microsoft.com/office/2017/10/relationships/threadedComment" Target="../threadedComments/threadedComment22.xml"/><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E28D6-B575-4AF2-9518-09AC84595062}">
  <sheetPr>
    <pageSetUpPr fitToPage="1"/>
  </sheetPr>
  <dimension ref="A1:I66"/>
  <sheetViews>
    <sheetView tabSelected="1" zoomScale="107" zoomScaleNormal="107" workbookViewId="0">
      <selection activeCell="C36" sqref="C36"/>
    </sheetView>
  </sheetViews>
  <sheetFormatPr defaultColWidth="9.7265625" defaultRowHeight="15.5"/>
  <cols>
    <col min="1" max="1" width="61.7265625" style="3" customWidth="1"/>
    <col min="2" max="2" width="22.26953125" style="3" customWidth="1"/>
    <col min="3" max="3" width="48.81640625" style="3" customWidth="1"/>
    <col min="4" max="4" width="2.453125" style="3" customWidth="1"/>
    <col min="5" max="5" width="23.7265625" style="3" customWidth="1"/>
    <col min="6" max="6" width="18.7265625" style="4" bestFit="1" customWidth="1"/>
    <col min="7" max="7" width="9.7265625" style="3"/>
    <col min="8" max="8" width="13.54296875" style="3" customWidth="1"/>
    <col min="9" max="9" width="13.54296875" style="4" bestFit="1" customWidth="1"/>
    <col min="10" max="16384" width="9.7265625" style="3"/>
  </cols>
  <sheetData>
    <row r="1" spans="1:8" ht="16.5" customHeight="1">
      <c r="A1" s="1"/>
      <c r="B1" s="1"/>
      <c r="C1" s="2" t="s">
        <v>266</v>
      </c>
    </row>
    <row r="2" spans="1:8" ht="16.5" customHeight="1">
      <c r="A2" s="1"/>
      <c r="B2" s="1"/>
      <c r="C2" s="5" t="s">
        <v>0</v>
      </c>
    </row>
    <row r="3" spans="1:8">
      <c r="A3" s="6"/>
      <c r="B3" s="7"/>
      <c r="C3" s="5" t="s">
        <v>1</v>
      </c>
      <c r="D3" s="8"/>
    </row>
    <row r="4" spans="1:8" ht="22.5" customHeight="1">
      <c r="A4" s="723" t="s">
        <v>2</v>
      </c>
      <c r="B4" s="723"/>
      <c r="C4" s="723"/>
      <c r="D4" s="9"/>
    </row>
    <row r="5" spans="1:8" ht="19.5" customHeight="1">
      <c r="A5" s="724" t="s">
        <v>269</v>
      </c>
      <c r="B5" s="724"/>
      <c r="C5" s="724"/>
      <c r="D5" s="9"/>
    </row>
    <row r="6" spans="1:8" ht="18" customHeight="1">
      <c r="A6" s="725" t="s">
        <v>291</v>
      </c>
      <c r="B6" s="725"/>
      <c r="C6" s="725"/>
      <c r="D6" s="9"/>
    </row>
    <row r="7" spans="1:8" ht="10.5" customHeight="1" thickBot="1">
      <c r="A7" s="10">
        <v>7</v>
      </c>
      <c r="B7" s="11"/>
      <c r="C7" s="12"/>
      <c r="D7" s="9"/>
    </row>
    <row r="8" spans="1:8" ht="18" customHeight="1">
      <c r="A8" s="13" t="s">
        <v>3</v>
      </c>
      <c r="B8" s="14"/>
      <c r="C8" s="15"/>
      <c r="D8" s="9"/>
      <c r="E8" s="4"/>
    </row>
    <row r="9" spans="1:8" ht="18" customHeight="1">
      <c r="A9" s="581" t="s">
        <v>4</v>
      </c>
      <c r="B9" s="642"/>
      <c r="C9" s="582"/>
      <c r="D9" s="580"/>
      <c r="E9" s="583"/>
      <c r="F9" s="583"/>
      <c r="G9" s="580"/>
    </row>
    <row r="10" spans="1:8" ht="18" customHeight="1">
      <c r="A10" s="581" t="s">
        <v>5</v>
      </c>
      <c r="B10" s="642"/>
      <c r="C10" s="17">
        <f>Statistics!N11</f>
        <v>4345293307.0782166</v>
      </c>
      <c r="D10" s="580"/>
      <c r="E10" s="584"/>
      <c r="F10" s="583"/>
      <c r="G10" s="585"/>
      <c r="H10" s="4"/>
    </row>
    <row r="11" spans="1:8" ht="18" customHeight="1">
      <c r="A11" s="581" t="s">
        <v>6</v>
      </c>
      <c r="B11" s="642"/>
      <c r="C11" s="17">
        <f>Statistics!N13</f>
        <v>-0.10985664278268814</v>
      </c>
      <c r="D11" s="580"/>
      <c r="E11" s="583"/>
      <c r="F11" s="583"/>
      <c r="G11" s="585"/>
      <c r="H11" s="4"/>
    </row>
    <row r="12" spans="1:8" ht="18" customHeight="1">
      <c r="A12" s="581" t="s">
        <v>7</v>
      </c>
      <c r="B12" s="642"/>
      <c r="C12" s="17">
        <f>Statistics!N12</f>
        <v>188759809.12</v>
      </c>
      <c r="D12" s="580"/>
      <c r="E12" s="583"/>
      <c r="F12" s="583"/>
      <c r="G12" s="585"/>
      <c r="H12" s="4"/>
    </row>
    <row r="13" spans="1:8" ht="18" customHeight="1">
      <c r="A13" s="581" t="s">
        <v>8</v>
      </c>
      <c r="B13" s="642"/>
      <c r="C13" s="17">
        <f>Statistics!N19</f>
        <v>285391676.14999998</v>
      </c>
      <c r="D13" s="580"/>
      <c r="E13" s="583"/>
      <c r="F13" s="583"/>
      <c r="G13" s="585"/>
      <c r="H13" s="4"/>
    </row>
    <row r="14" spans="1:8" ht="18" customHeight="1">
      <c r="A14" s="581" t="s">
        <v>9</v>
      </c>
      <c r="B14" s="642"/>
      <c r="C14" s="17">
        <f>Statistics!N21</f>
        <v>26422452.59</v>
      </c>
      <c r="D14" s="580"/>
      <c r="E14" s="583"/>
      <c r="F14" s="583"/>
      <c r="G14" s="585"/>
    </row>
    <row r="15" spans="1:8" ht="17.25" customHeight="1">
      <c r="A15" s="586"/>
      <c r="B15" s="587"/>
      <c r="C15" s="710"/>
      <c r="D15" s="580"/>
      <c r="E15" s="583"/>
      <c r="F15" s="583"/>
      <c r="G15" s="580"/>
    </row>
    <row r="16" spans="1:8" ht="18" customHeight="1">
      <c r="A16" s="588" t="s">
        <v>10</v>
      </c>
      <c r="B16" s="589"/>
      <c r="C16" s="711">
        <f>SUM(C10:C14)</f>
        <v>4845867244.8283596</v>
      </c>
      <c r="D16" s="580"/>
      <c r="E16" s="583"/>
      <c r="F16" s="583"/>
      <c r="G16" s="580"/>
    </row>
    <row r="17" spans="1:7" ht="21" customHeight="1">
      <c r="A17" s="581"/>
      <c r="B17" s="643"/>
      <c r="C17" s="712"/>
      <c r="D17" s="580"/>
      <c r="E17" s="583"/>
      <c r="F17" s="583"/>
      <c r="G17" s="580"/>
    </row>
    <row r="18" spans="1:7" ht="18" customHeight="1">
      <c r="A18" s="590" t="s">
        <v>252</v>
      </c>
      <c r="B18" s="644"/>
      <c r="C18" s="712"/>
      <c r="D18" s="580"/>
      <c r="E18" s="580"/>
      <c r="F18" s="583"/>
      <c r="G18" s="580"/>
    </row>
    <row r="19" spans="1:7" ht="18" customHeight="1">
      <c r="A19" s="581" t="s">
        <v>11</v>
      </c>
      <c r="B19" s="20">
        <f>294152170+(12915408+5195122)+(15215276-2977982)+(8618910-419301-226000)+(17018478)+(14177265-1683603)+((12653435+1430647)-2718481)+((14424568+1402119)-(193367+25137)-(53839+6999))+(19995569-314251-1103805+1500000)+0+4814666+30020278+8641445+5336707+13927069+252410+12804629+889225+19594404+4729942-124783+1329884+11966824+1717058+3758174+8437561+4643575+5472174-12091+17773210+5420536+2351096+8247485+13634970+1762610+8758421+5300312+45267545+15663304+46931+14033043+22222778+353925+2031741+35862061+5275344+20355546+5561567+32430951+6356195+37713812+2647144+31695752+13510235+31350593+1361219+11103876+17110701+16526718-6740+4778720+23735582-2537891-112350+5091172-2436628+15002341-3253421-11990+10244536-358115+860143+32100+28075102</f>
        <v>1058007535</v>
      </c>
      <c r="C19" s="713"/>
      <c r="D19" s="580"/>
      <c r="E19" s="580"/>
      <c r="F19" s="583"/>
      <c r="G19" s="580"/>
    </row>
    <row r="20" spans="1:7" ht="18" customHeight="1">
      <c r="A20" s="581" t="s">
        <v>12</v>
      </c>
      <c r="B20" s="645">
        <f>46210607+(101700+93490)+(357921)+(5484085-46400+171195)+(455902-40050)+(1661931)+(8068739)+(1177484+52390)+((2305708+158594)-(69497+9035))+(7000091-196620-123196+0)+1256149+0+9367431+880987+2148145+119287+1006383+10018090-841216+1779504+10544117+1280894+1050162+11556946+644616+1349797+13840796+1733102+5704190+12279953+3630556+2306856+11564589+2959988+2128461+12382802+4217794+3233622+11644151+4490046+1110714+14250414+1735847+2388552+11808589+707576+12364538+7046470+16832202+3789280+18664356+266352+11294792+8452995+13846250+519362+14653425+3117082+16391215-4723+4241284+19235415-5291619+5603434-6601+20651757-3692709+7017631-295104-11300+20811969</f>
        <v>444592682</v>
      </c>
      <c r="C20" s="17"/>
      <c r="D20" s="580"/>
      <c r="E20" s="580"/>
      <c r="F20" s="583"/>
      <c r="G20" s="580"/>
    </row>
    <row r="21" spans="1:7" ht="18" customHeight="1">
      <c r="A21" s="581" t="s">
        <v>13</v>
      </c>
      <c r="B21" s="645">
        <f>226247686+(9821527)+(17607754-330901)+(1327750-13492-329594)+(17843201)+(11039608-1093144)+((8981845+924465)-242936)+((10132368+1172196)-(453780+58992)+(53839+6999))+(18986156-2002717-5373340+1500000)+3460759+7017695+18453278+26445457+1619061+10489152+4692401+19140591+5102515+34085890+2861489-21500+3555874+17755253+5937374+9676792+12431007+4668250+8531775+24514248+4062480+1075000+8624563+6178010+13125921+17303725+22049303+6068096+70263252+8270724+11924951+6100287+20497057+12598913+758804+21550622+3912801+25360888+8111466+34888271+10347591+31376536+4898512+13550541+23328094+6446974+4870833+16602196+12378137+6300+4304263+548972+4157688+22256233-89028+112350+7138877-1036861+16652728-912525+11990+8452345-1852739+10700+37450+25787607</f>
        <v>1048274757</v>
      </c>
      <c r="C21" s="17"/>
      <c r="D21" s="580"/>
      <c r="E21" s="580"/>
      <c r="F21" s="583"/>
      <c r="G21" s="580"/>
    </row>
    <row r="22" spans="1:7" ht="18.75" customHeight="1">
      <c r="A22" s="581" t="s">
        <v>254</v>
      </c>
      <c r="B22" s="645">
        <f>452427292+(16328864-1390630+919299+565000)+(9567629-994997-3395917+455597+284462)+(19320950-4296039)+((5882093+7085000))+(22844466-5930702)+((25095985+2087461)-1169780+616208)+((8273445+733010)-(2850828+76545))+(34135937-1237903-5271991-1159980+1500000)+41061596+8695727+(6206417+2049896)+28102429+32524768+18745197+32665054-22100402+21285528+10809594+46739582+52952081+9274829+2100000+4305380+44857769+17924143+10002270+20268552+16973843+7733205+11627575+5019776+13171590+837278+670378+1447935+3511955+43027044+2575018-1092081+11832051+24346431+1406655+5309798+14543440+22983559+4143052+25506900+10385585+36910263+4197195+11171583+971052+2535452+25616457+3477126-1428418-3008057+2211703+1237924+3624827+141384+7376464-8723002+26674944-263722-2787+2681988-2767-37450+15693399</f>
        <v>1325834341</v>
      </c>
      <c r="C22" s="17"/>
      <c r="D22" s="580"/>
      <c r="E22" s="580"/>
      <c r="F22" s="583"/>
      <c r="G22" s="580"/>
    </row>
    <row r="23" spans="1:7" ht="18.75" customHeight="1">
      <c r="A23" s="581" t="s">
        <v>14</v>
      </c>
      <c r="B23" s="646" t="s">
        <v>15</v>
      </c>
      <c r="C23" s="17"/>
      <c r="D23" s="580"/>
      <c r="E23" s="580"/>
      <c r="F23" s="583"/>
      <c r="G23" s="580"/>
    </row>
    <row r="24" spans="1:7" ht="18.75" customHeight="1">
      <c r="A24" s="581" t="s">
        <v>16</v>
      </c>
      <c r="B24" s="644" t="s">
        <v>15</v>
      </c>
      <c r="C24" s="714"/>
      <c r="D24" s="580"/>
      <c r="E24" s="591"/>
      <c r="F24" s="583"/>
      <c r="G24" s="580"/>
    </row>
    <row r="25" spans="1:7" ht="18" customHeight="1">
      <c r="A25" s="592" t="s">
        <v>17</v>
      </c>
      <c r="B25" s="647"/>
      <c r="C25" s="582">
        <f>SUM(B19:B24)</f>
        <v>3876709315</v>
      </c>
      <c r="D25" s="580"/>
      <c r="E25" s="583"/>
      <c r="F25" s="583"/>
      <c r="G25" s="580"/>
    </row>
    <row r="26" spans="1:7" ht="12" customHeight="1">
      <c r="A26" s="593"/>
      <c r="B26" s="20"/>
      <c r="C26" s="17"/>
      <c r="D26" s="580"/>
      <c r="E26" s="583"/>
      <c r="F26" s="583"/>
      <c r="G26" s="580"/>
    </row>
    <row r="27" spans="1:7" ht="18" customHeight="1">
      <c r="A27" s="594" t="s">
        <v>290</v>
      </c>
      <c r="B27" s="648"/>
      <c r="C27" s="715"/>
      <c r="D27" s="595"/>
      <c r="E27" s="583"/>
      <c r="F27" s="583"/>
      <c r="G27" s="580"/>
    </row>
    <row r="28" spans="1:7" ht="18" customHeight="1">
      <c r="A28" s="596" t="s">
        <v>284</v>
      </c>
      <c r="B28" s="648"/>
      <c r="C28" s="716">
        <f>49469950+4025245+50000+637373+2776000-500000+3129183+150000+95000+2784087-500000+3285641+150000+102946+299468+314443+2714587-500000+3771753+3144869+3888905-500000+3834869-500000+4001453-800000+3034869-500000+42063+4164821+7380090-500000-814921+7235044-500000-1190283+4138196+7190229-500000-1245943+60000+7268801-500000-1449117+434833+558753+560237+7510970-500000+7652890-500000-1345650-426619-421543-1631096-58470+7799067-50000-1624548+7949630-500000-1735073-2427831+7039830-500000+7167615-500000-1033864-1491964+1605497+1442409+8224624-500000+671063+671063+9056985-500000</f>
        <v>171238429</v>
      </c>
      <c r="D28" s="580"/>
      <c r="E28" s="583"/>
      <c r="F28" s="583"/>
      <c r="G28" s="580"/>
    </row>
    <row r="29" spans="1:7" ht="18" customHeight="1">
      <c r="A29" s="581" t="s">
        <v>285</v>
      </c>
      <c r="B29" s="648"/>
      <c r="C29" s="716">
        <f>1050300+250+500000+500000+500000+500000+500000+500000+500000+500000+500000+6432+1000000+500000+500000+500000+500000+500000+500000+500000+500000+500000+500000+500000</f>
        <v>12056982</v>
      </c>
      <c r="D29" s="580"/>
      <c r="E29" s="583"/>
      <c r="F29" s="583"/>
      <c r="G29" s="580"/>
    </row>
    <row r="30" spans="1:7" ht="18" customHeight="1">
      <c r="A30" s="581" t="s">
        <v>286</v>
      </c>
      <c r="B30" s="20"/>
      <c r="C30" s="17">
        <f>1753754+80000+346000+361000+326000+75000+86750+325000+191000-480393+148700+91285-67209+177226-28136+143484+174780-43108-34335+136050-21915+36500-47189-3000+85000-51558+115000-40000+175000</f>
        <v>4010686</v>
      </c>
      <c r="D30" s="580"/>
      <c r="E30" s="583"/>
      <c r="F30" s="583"/>
      <c r="G30" s="580"/>
    </row>
    <row r="31" spans="1:7" ht="18" customHeight="1">
      <c r="A31" s="581" t="s">
        <v>18</v>
      </c>
      <c r="B31" s="20"/>
      <c r="C31" s="17">
        <f>909960+800000-10154</f>
        <v>1699806</v>
      </c>
      <c r="D31" s="580"/>
      <c r="E31" s="583"/>
      <c r="F31" s="583"/>
      <c r="G31" s="580"/>
    </row>
    <row r="32" spans="1:7" ht="18" customHeight="1">
      <c r="A32" s="581" t="s">
        <v>19</v>
      </c>
      <c r="B32" s="20"/>
      <c r="C32" s="17"/>
      <c r="D32" s="580"/>
      <c r="E32" s="583"/>
      <c r="F32" s="583"/>
      <c r="G32" s="580"/>
    </row>
    <row r="33" spans="1:8" ht="18" customHeight="1">
      <c r="A33" s="596" t="s">
        <v>20</v>
      </c>
      <c r="B33" s="20"/>
      <c r="C33" s="17">
        <f>905750-500000-100333-200667</f>
        <v>104750</v>
      </c>
      <c r="D33" s="580"/>
      <c r="E33" s="583"/>
      <c r="F33" s="583"/>
      <c r="G33" s="580"/>
    </row>
    <row r="34" spans="1:8" ht="18" customHeight="1">
      <c r="A34" s="592" t="s">
        <v>21</v>
      </c>
      <c r="B34" s="20"/>
      <c r="C34" s="17">
        <f>C12</f>
        <v>188759809.12</v>
      </c>
      <c r="D34" s="580"/>
      <c r="E34" s="583"/>
      <c r="F34" s="583"/>
      <c r="G34" s="580"/>
      <c r="H34" s="4"/>
    </row>
    <row r="35" spans="1:8" ht="18" customHeight="1">
      <c r="A35" s="592" t="s">
        <v>22</v>
      </c>
      <c r="B35" s="20"/>
      <c r="C35" s="17"/>
      <c r="D35" s="580"/>
      <c r="E35" s="583"/>
      <c r="F35" s="583"/>
      <c r="G35" s="580"/>
    </row>
    <row r="36" spans="1:8" ht="18" customHeight="1">
      <c r="A36" s="581" t="s">
        <v>23</v>
      </c>
      <c r="B36" s="20"/>
      <c r="C36" s="17">
        <f>YR91_24!G64</f>
        <v>30045913.190725416</v>
      </c>
      <c r="D36" s="580"/>
      <c r="E36" s="583"/>
      <c r="F36" s="583"/>
      <c r="G36" s="597"/>
      <c r="H36" s="4"/>
    </row>
    <row r="37" spans="1:8" ht="11.25" customHeight="1">
      <c r="A37" s="581"/>
      <c r="B37" s="20"/>
      <c r="C37" s="717"/>
      <c r="D37" s="580"/>
      <c r="E37" s="583"/>
      <c r="F37" s="583"/>
      <c r="G37" s="585"/>
      <c r="H37" s="19"/>
    </row>
    <row r="38" spans="1:8" ht="18" customHeight="1">
      <c r="A38" s="588" t="s">
        <v>24</v>
      </c>
      <c r="B38" s="598"/>
      <c r="C38" s="718">
        <f>SUM(C25:C37)</f>
        <v>4284625690.3107252</v>
      </c>
      <c r="D38" s="580"/>
      <c r="E38" s="583"/>
      <c r="F38" s="583"/>
      <c r="G38" s="585"/>
    </row>
    <row r="39" spans="1:8" ht="18" customHeight="1">
      <c r="A39" s="599"/>
      <c r="B39" s="20"/>
      <c r="C39" s="719"/>
      <c r="D39" s="580"/>
      <c r="E39" s="583"/>
      <c r="F39" s="583"/>
      <c r="G39" s="585"/>
    </row>
    <row r="40" spans="1:8" ht="18" customHeight="1">
      <c r="A40" s="590" t="s">
        <v>289</v>
      </c>
      <c r="B40" s="20"/>
      <c r="C40" s="720">
        <f>C50-C48</f>
        <v>561241554.51763439</v>
      </c>
      <c r="D40" s="580"/>
      <c r="E40" s="583"/>
      <c r="F40" s="583"/>
      <c r="G40" s="585"/>
    </row>
    <row r="41" spans="1:8" ht="15" customHeight="1">
      <c r="A41" s="590" t="s">
        <v>25</v>
      </c>
      <c r="B41" s="20"/>
      <c r="C41" s="719"/>
      <c r="D41" s="580"/>
      <c r="E41" s="585"/>
      <c r="F41" s="583"/>
      <c r="G41" s="585"/>
    </row>
    <row r="42" spans="1:8" ht="18" customHeight="1">
      <c r="A42" s="601"/>
      <c r="B42" s="20"/>
      <c r="C42" s="719"/>
      <c r="D42" s="580"/>
      <c r="E42" s="580"/>
      <c r="F42" s="583"/>
      <c r="G42" s="585"/>
    </row>
    <row r="43" spans="1:8" ht="18" customHeight="1">
      <c r="A43" s="601"/>
      <c r="B43" s="649"/>
      <c r="C43" s="719"/>
      <c r="D43" s="580"/>
      <c r="E43" s="580"/>
      <c r="F43" s="583"/>
      <c r="G43" s="585"/>
    </row>
    <row r="44" spans="1:8" ht="18" customHeight="1">
      <c r="A44" s="601"/>
      <c r="B44" s="20"/>
      <c r="C44" s="719"/>
      <c r="D44" s="580"/>
      <c r="E44" s="580"/>
      <c r="F44" s="583"/>
      <c r="G44" s="585"/>
    </row>
    <row r="45" spans="1:8" ht="18" customHeight="1">
      <c r="A45" s="601"/>
      <c r="B45" s="20"/>
      <c r="C45" s="600"/>
      <c r="D45" s="580"/>
      <c r="E45" s="580"/>
      <c r="F45" s="583"/>
      <c r="G45" s="585"/>
    </row>
    <row r="46" spans="1:8" ht="18" customHeight="1">
      <c r="A46" s="601"/>
      <c r="B46" s="20"/>
      <c r="C46" s="600"/>
      <c r="D46" s="580"/>
      <c r="E46" s="580"/>
      <c r="F46" s="583"/>
      <c r="G46" s="585"/>
    </row>
    <row r="47" spans="1:8" ht="18" customHeight="1">
      <c r="A47" s="601"/>
      <c r="B47" s="20"/>
      <c r="C47" s="600"/>
      <c r="D47" s="580"/>
      <c r="E47" s="580"/>
      <c r="F47" s="583"/>
      <c r="G47" s="585"/>
    </row>
    <row r="48" spans="1:8" ht="18" customHeight="1">
      <c r="A48" s="601"/>
      <c r="B48" s="646"/>
      <c r="C48" s="600"/>
      <c r="D48" s="580"/>
      <c r="E48" s="583"/>
      <c r="F48" s="583"/>
      <c r="G48" s="585"/>
    </row>
    <row r="49" spans="1:9" ht="20.25" customHeight="1" thickBot="1">
      <c r="A49" s="602"/>
      <c r="B49" s="20"/>
      <c r="C49" s="17"/>
      <c r="D49" s="580"/>
      <c r="E49" s="583"/>
      <c r="F49" s="583"/>
      <c r="G49" s="585"/>
    </row>
    <row r="50" spans="1:9" ht="19.5" customHeight="1" thickBot="1">
      <c r="A50" s="603" t="s">
        <v>26</v>
      </c>
      <c r="B50" s="604"/>
      <c r="C50" s="605">
        <f>C16-C38</f>
        <v>561241554.51763439</v>
      </c>
      <c r="D50" s="580"/>
      <c r="E50" s="606"/>
      <c r="F50" s="583"/>
      <c r="G50" s="585"/>
      <c r="H50" s="4"/>
    </row>
    <row r="51" spans="1:9" s="499" customFormat="1" ht="18" customHeight="1">
      <c r="A51" s="726" t="s">
        <v>287</v>
      </c>
      <c r="B51" s="726"/>
      <c r="C51" s="726"/>
      <c r="D51" s="607"/>
      <c r="E51" s="608"/>
      <c r="F51" s="607"/>
      <c r="G51" s="609"/>
      <c r="H51" s="500"/>
      <c r="I51" s="500"/>
    </row>
    <row r="52" spans="1:9" s="499" customFormat="1" ht="33.75" customHeight="1">
      <c r="A52" s="727" t="s">
        <v>288</v>
      </c>
      <c r="B52" s="727"/>
      <c r="C52" s="727"/>
      <c r="D52" s="610"/>
      <c r="E52" s="609"/>
      <c r="F52" s="608"/>
      <c r="G52" s="609"/>
      <c r="I52" s="500"/>
    </row>
    <row r="53" spans="1:9" s="499" customFormat="1" ht="33" customHeight="1">
      <c r="A53" s="722"/>
      <c r="B53" s="722"/>
      <c r="C53" s="722"/>
      <c r="D53" s="611"/>
      <c r="E53" s="607"/>
      <c r="F53" s="612"/>
      <c r="G53" s="607"/>
      <c r="I53" s="500"/>
    </row>
    <row r="54" spans="1:9">
      <c r="A54" s="20"/>
      <c r="B54" s="20"/>
      <c r="C54" s="20"/>
      <c r="D54" s="580"/>
      <c r="E54" s="580"/>
      <c r="F54" s="583"/>
      <c r="G54" s="580"/>
    </row>
    <row r="55" spans="1:9">
      <c r="A55" s="580"/>
      <c r="B55" s="580"/>
      <c r="C55" s="580"/>
      <c r="D55" s="580"/>
      <c r="E55" s="580"/>
      <c r="F55" s="583"/>
      <c r="G55" s="580"/>
    </row>
    <row r="56" spans="1:9">
      <c r="A56" s="580"/>
      <c r="B56" s="580"/>
      <c r="C56" s="580"/>
      <c r="D56" s="580"/>
      <c r="E56" s="580"/>
      <c r="F56" s="583"/>
      <c r="G56" s="580"/>
    </row>
    <row r="57" spans="1:9">
      <c r="A57" s="580"/>
      <c r="B57" s="580"/>
      <c r="C57" s="580"/>
      <c r="D57" s="580"/>
      <c r="E57" s="580"/>
      <c r="F57" s="583"/>
      <c r="G57" s="580"/>
    </row>
    <row r="58" spans="1:9">
      <c r="A58" s="580"/>
      <c r="B58" s="580"/>
      <c r="C58" s="580"/>
      <c r="D58" s="580"/>
      <c r="E58" s="580"/>
      <c r="F58" s="583"/>
      <c r="G58" s="580"/>
    </row>
    <row r="59" spans="1:9">
      <c r="A59" s="580"/>
      <c r="B59" s="580"/>
      <c r="C59" s="580"/>
      <c r="D59" s="580"/>
      <c r="E59" s="580"/>
      <c r="F59" s="583"/>
      <c r="G59" s="580"/>
    </row>
    <row r="60" spans="1:9">
      <c r="A60" s="580"/>
      <c r="B60" s="580"/>
      <c r="C60" s="580"/>
      <c r="D60" s="580"/>
      <c r="E60" s="580"/>
      <c r="F60" s="583"/>
      <c r="G60" s="580"/>
    </row>
    <row r="61" spans="1:9">
      <c r="A61" s="580"/>
      <c r="B61" s="580"/>
      <c r="C61" s="580"/>
      <c r="D61" s="580"/>
      <c r="E61" s="580"/>
      <c r="F61" s="583"/>
      <c r="G61" s="580"/>
    </row>
    <row r="62" spans="1:9">
      <c r="A62" s="580"/>
      <c r="B62" s="580"/>
      <c r="C62" s="580"/>
      <c r="D62" s="580"/>
      <c r="E62" s="580"/>
      <c r="F62" s="583"/>
      <c r="G62" s="580"/>
    </row>
    <row r="63" spans="1:9">
      <c r="A63" s="580"/>
      <c r="B63" s="580"/>
      <c r="C63" s="580"/>
      <c r="D63" s="580"/>
      <c r="E63" s="580"/>
      <c r="F63" s="583"/>
      <c r="G63" s="580"/>
    </row>
    <row r="64" spans="1:9">
      <c r="A64" s="580"/>
      <c r="B64" s="580"/>
      <c r="C64" s="580"/>
      <c r="D64" s="580"/>
      <c r="E64" s="580"/>
      <c r="F64" s="583"/>
      <c r="G64" s="580"/>
    </row>
    <row r="65" spans="1:7">
      <c r="A65" s="580"/>
      <c r="B65" s="580"/>
      <c r="C65" s="580"/>
      <c r="D65" s="580"/>
      <c r="E65" s="580"/>
      <c r="F65" s="583"/>
      <c r="G65" s="580"/>
    </row>
    <row r="66" spans="1:7">
      <c r="A66" s="580"/>
      <c r="B66" s="580"/>
      <c r="C66" s="580"/>
      <c r="D66" s="580"/>
      <c r="E66" s="580"/>
      <c r="F66" s="583"/>
      <c r="G66" s="580"/>
    </row>
  </sheetData>
  <mergeCells count="6">
    <mergeCell ref="A53:C53"/>
    <mergeCell ref="A4:C4"/>
    <mergeCell ref="A5:C5"/>
    <mergeCell ref="A6:C6"/>
    <mergeCell ref="A51:C51"/>
    <mergeCell ref="A52:C52"/>
  </mergeCells>
  <printOptions horizontalCentered="1"/>
  <pageMargins left="0.11811023622047245" right="0.11811023622047245" top="0.27559055118110237" bottom="0.19685039370078741" header="0.27559055118110237" footer="0.11811023622047245"/>
  <pageSetup scale="76"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A6303-87B9-421D-B541-7AD7BAF748DD}">
  <sheetPr>
    <pageSetUpPr fitToPage="1"/>
  </sheetPr>
  <dimension ref="A1:G66"/>
  <sheetViews>
    <sheetView topLeftCell="A43" zoomScale="113" zoomScaleNormal="160" workbookViewId="0">
      <selection activeCell="D72" sqref="D72"/>
    </sheetView>
  </sheetViews>
  <sheetFormatPr defaultRowHeight="14.5"/>
  <cols>
    <col min="1" max="1" width="30.7265625" customWidth="1"/>
    <col min="2" max="6" width="20.7265625" customWidth="1"/>
  </cols>
  <sheetData>
    <row r="1" spans="1:7" ht="18">
      <c r="A1" s="491" t="str">
        <f>Status!C1</f>
        <v>UNEP/OzL.Pro/ExCom/94/3</v>
      </c>
      <c r="B1" s="491"/>
      <c r="C1" s="62"/>
      <c r="D1" s="62"/>
      <c r="E1" s="741"/>
      <c r="F1" s="741"/>
      <c r="G1" s="491"/>
    </row>
    <row r="2" spans="1:7" ht="18">
      <c r="A2" s="95" t="s">
        <v>0</v>
      </c>
      <c r="B2" s="62"/>
      <c r="C2" s="62"/>
      <c r="D2" s="62"/>
      <c r="E2" s="62"/>
    </row>
    <row r="3" spans="1:7" ht="18">
      <c r="A3" s="23" t="s">
        <v>145</v>
      </c>
      <c r="B3" s="62"/>
      <c r="C3" s="62"/>
      <c r="D3" s="62"/>
      <c r="E3" s="62"/>
    </row>
    <row r="4" spans="1:7" ht="15.5">
      <c r="A4" s="1"/>
      <c r="B4" s="62"/>
      <c r="C4" s="62"/>
      <c r="D4" s="62"/>
      <c r="E4" s="62"/>
      <c r="F4" s="62"/>
    </row>
    <row r="5" spans="1:7" ht="16.5" customHeight="1">
      <c r="A5" s="735" t="s">
        <v>2</v>
      </c>
      <c r="B5" s="735"/>
      <c r="C5" s="735"/>
      <c r="D5" s="735"/>
      <c r="E5" s="735"/>
      <c r="F5" s="735"/>
    </row>
    <row r="6" spans="1:7" ht="15.5">
      <c r="A6" s="729" t="s">
        <v>278</v>
      </c>
      <c r="B6" s="729"/>
      <c r="C6" s="729"/>
      <c r="D6" s="729"/>
      <c r="E6" s="729"/>
      <c r="F6" s="729"/>
    </row>
    <row r="7" spans="1:7" ht="16.5" thickBot="1">
      <c r="A7" s="728" t="str">
        <f>Status!A6</f>
        <v>As at 24/05/2024</v>
      </c>
      <c r="B7" s="728"/>
      <c r="C7" s="728"/>
      <c r="D7" s="740"/>
      <c r="E7" s="740"/>
      <c r="F7" s="740"/>
    </row>
    <row r="8" spans="1:7" ht="27" thickBot="1">
      <c r="A8" s="68" t="s">
        <v>60</v>
      </c>
      <c r="B8" s="69" t="s">
        <v>61</v>
      </c>
      <c r="C8" s="69" t="s">
        <v>62</v>
      </c>
      <c r="D8" s="629" t="s">
        <v>63</v>
      </c>
      <c r="E8" s="69" t="s">
        <v>64</v>
      </c>
      <c r="F8" s="70" t="s">
        <v>65</v>
      </c>
    </row>
    <row r="9" spans="1:7">
      <c r="A9" s="501" t="s">
        <v>67</v>
      </c>
      <c r="B9" s="623">
        <f>'YR2018'!B9+'YR2019'!B9+'YR2020'!B9</f>
        <v>45501</v>
      </c>
      <c r="C9" s="623">
        <f>'YR2018'!C9+'YR2019'!C9+'YR2020'!C9</f>
        <v>45501</v>
      </c>
      <c r="D9" s="623">
        <f>'YR2018'!D9+'YR2019'!D9+'YR2020'!D9</f>
        <v>0</v>
      </c>
      <c r="E9" s="623">
        <f>'YR2018'!E9+'YR2019'!E9+'YR2020'!E9</f>
        <v>0</v>
      </c>
      <c r="F9" s="665">
        <f>B9-C9-D9-E9</f>
        <v>0</v>
      </c>
      <c r="G9" s="516"/>
    </row>
    <row r="10" spans="1:7">
      <c r="A10" s="506" t="s">
        <v>130</v>
      </c>
      <c r="B10" s="534">
        <f>'YR2018'!B10+'YR2019'!B10+'YR2020'!B10</f>
        <v>17669001</v>
      </c>
      <c r="C10" s="534">
        <f>'YR2018'!C10+'YR2019'!C10+'YR2020'!C10</f>
        <v>17247737</v>
      </c>
      <c r="D10" s="534">
        <f>'YR2018'!D10+'YR2019'!D10+'YR2020'!D10</f>
        <v>421264</v>
      </c>
      <c r="E10" s="534">
        <f>'YR2018'!E10+'YR2019'!E10+'YR2020'!E10</f>
        <v>0</v>
      </c>
      <c r="F10" s="515">
        <f t="shared" ref="F10:F57" si="0">B10-C10-D10-E10</f>
        <v>0</v>
      </c>
      <c r="G10" s="516"/>
    </row>
    <row r="11" spans="1:7">
      <c r="A11" s="506" t="s">
        <v>69</v>
      </c>
      <c r="B11" s="534">
        <f>'YR2018'!B11+'YR2019'!B11+'YR2020'!B11</f>
        <v>5443500</v>
      </c>
      <c r="C11" s="534">
        <f>'YR2018'!C11+'YR2019'!C11+'YR2020'!C11</f>
        <v>5443500</v>
      </c>
      <c r="D11" s="534">
        <f>'YR2018'!D11+'YR2019'!D11+'YR2020'!D11</f>
        <v>0</v>
      </c>
      <c r="E11" s="534">
        <f>'YR2018'!E11+'YR2019'!E11+'YR2020'!E11</f>
        <v>0</v>
      </c>
      <c r="F11" s="515">
        <f t="shared" si="0"/>
        <v>0</v>
      </c>
      <c r="G11" s="516"/>
    </row>
    <row r="12" spans="1:7">
      <c r="A12" s="517" t="s">
        <v>70</v>
      </c>
      <c r="B12" s="534">
        <f>'YR2018'!B12+'YR2019'!B12+'YR2020'!B12</f>
        <v>453501</v>
      </c>
      <c r="C12" s="534">
        <f>'YR2018'!C12+'YR2019'!C12+'YR2020'!C12</f>
        <v>0</v>
      </c>
      <c r="D12" s="534">
        <f>'YR2018'!D12+'YR2019'!D12+'YR2020'!D12</f>
        <v>0</v>
      </c>
      <c r="E12" s="534">
        <f>'YR2018'!E12+'YR2019'!E12+'YR2020'!E12</f>
        <v>0</v>
      </c>
      <c r="F12" s="515">
        <f t="shared" si="0"/>
        <v>453501</v>
      </c>
      <c r="G12" s="516"/>
    </row>
    <row r="13" spans="1:7">
      <c r="A13" s="506" t="s">
        <v>71</v>
      </c>
      <c r="B13" s="534">
        <f>'YR2018'!B13+'YR2019'!B13+'YR2020'!B13</f>
        <v>423501</v>
      </c>
      <c r="C13" s="534">
        <f>'YR2018'!C13+'YR2019'!C13+'YR2020'!C13</f>
        <v>359334</v>
      </c>
      <c r="D13" s="534">
        <f>'YR2018'!D13+'YR2019'!D13+'YR2020'!D13</f>
        <v>0</v>
      </c>
      <c r="E13" s="534">
        <f>'YR2018'!E13+'YR2019'!E13+'YR2020'!E13</f>
        <v>0</v>
      </c>
      <c r="F13" s="515">
        <f t="shared" si="0"/>
        <v>64167</v>
      </c>
      <c r="G13" s="516"/>
    </row>
    <row r="14" spans="1:7">
      <c r="A14" s="506" t="s">
        <v>72</v>
      </c>
      <c r="B14" s="534">
        <f>'YR2018'!B14+'YR2019'!B14+'YR2020'!B14</f>
        <v>6690999</v>
      </c>
      <c r="C14" s="534">
        <f>'YR2018'!C14+'YR2019'!C14+'YR2020'!C14</f>
        <v>6690999</v>
      </c>
      <c r="D14" s="534">
        <f>'YR2018'!D14+'YR2019'!D14+'YR2020'!D14</f>
        <v>0</v>
      </c>
      <c r="E14" s="534">
        <f>'YR2018'!E14+'YR2019'!E14+'YR2020'!E14</f>
        <v>0</v>
      </c>
      <c r="F14" s="515">
        <f t="shared" si="0"/>
        <v>0</v>
      </c>
      <c r="G14" s="516"/>
    </row>
    <row r="15" spans="1:7">
      <c r="A15" s="506" t="s">
        <v>73</v>
      </c>
      <c r="B15" s="534">
        <f>'YR2018'!B15+'YR2019'!B15+'YR2020'!B15</f>
        <v>339999</v>
      </c>
      <c r="C15" s="534">
        <f>'YR2018'!C15+'YR2019'!C15+'YR2020'!C15</f>
        <v>339999</v>
      </c>
      <c r="D15" s="534">
        <f>'YR2018'!D15+'YR2019'!D15+'YR2020'!D15</f>
        <v>0</v>
      </c>
      <c r="E15" s="534">
        <f>'YR2018'!E15+'YR2019'!E15+'YR2020'!E15</f>
        <v>0</v>
      </c>
      <c r="F15" s="515">
        <f>B15-C15-D15-E15</f>
        <v>0</v>
      </c>
      <c r="G15" s="516"/>
    </row>
    <row r="16" spans="1:7">
      <c r="A16" s="506" t="s">
        <v>131</v>
      </c>
      <c r="B16" s="534">
        <f>'YR2018'!B16+'YR2019'!B16+'YR2020'!B16</f>
        <v>22083999</v>
      </c>
      <c r="C16" s="534">
        <f>'YR2018'!C16+'YR2019'!C16+'YR2020'!C16</f>
        <v>21029237.009999998</v>
      </c>
      <c r="D16" s="534">
        <f>'YR2018'!D16+'YR2019'!D16+'YR2020'!D16</f>
        <v>1054762</v>
      </c>
      <c r="E16" s="534">
        <f>'YR2018'!E16+'YR2019'!E16+'YR2020'!E16</f>
        <v>0</v>
      </c>
      <c r="F16" s="515">
        <f t="shared" si="0"/>
        <v>-9.9999979138374329E-3</v>
      </c>
      <c r="G16" s="516"/>
    </row>
    <row r="17" spans="1:7">
      <c r="A17" s="506" t="s">
        <v>75</v>
      </c>
      <c r="B17" s="534">
        <f>'YR2018'!B17+'YR2019'!B17+'YR2020'!B17</f>
        <v>748500</v>
      </c>
      <c r="C17" s="534">
        <f>'YR2018'!C17+'YR2019'!C17+'YR2020'!C17</f>
        <v>748500</v>
      </c>
      <c r="D17" s="534">
        <f>'YR2018'!D17+'YR2019'!D17+'YR2020'!D17</f>
        <v>0</v>
      </c>
      <c r="E17" s="534">
        <f>'YR2018'!E17+'YR2019'!E17+'YR2020'!E17</f>
        <v>0</v>
      </c>
      <c r="F17" s="515">
        <f t="shared" si="0"/>
        <v>0</v>
      </c>
      <c r="G17" s="516"/>
    </row>
    <row r="18" spans="1:7">
      <c r="A18" s="506" t="s">
        <v>76</v>
      </c>
      <c r="B18" s="534">
        <f>'YR2018'!B18+'YR2019'!B18+'YR2020'!B18</f>
        <v>324999</v>
      </c>
      <c r="C18" s="534">
        <f>'YR2018'!C18+'YR2019'!C18+'YR2020'!C18</f>
        <v>324999</v>
      </c>
      <c r="D18" s="534">
        <f>'YR2018'!D18+'YR2019'!D18+'YR2020'!D18</f>
        <v>0</v>
      </c>
      <c r="E18" s="534">
        <f>'YR2018'!E18+'YR2019'!E18+'YR2020'!E18</f>
        <v>0</v>
      </c>
      <c r="F18" s="515">
        <f t="shared" si="0"/>
        <v>0</v>
      </c>
      <c r="G18" s="516"/>
    </row>
    <row r="19" spans="1:7">
      <c r="A19" s="506" t="s">
        <v>77</v>
      </c>
      <c r="B19" s="534">
        <f>'YR2018'!B19+'YR2019'!B19+'YR2020'!B19</f>
        <v>2601000</v>
      </c>
      <c r="C19" s="534">
        <f>'YR2018'!C19+'YR2019'!C19+'YR2020'!C19</f>
        <v>2601000</v>
      </c>
      <c r="D19" s="534">
        <f>'YR2018'!D19+'YR2019'!D19+'YR2020'!D19</f>
        <v>0</v>
      </c>
      <c r="E19" s="534">
        <f>'YR2018'!E19+'YR2019'!E19+'YR2020'!E19</f>
        <v>0</v>
      </c>
      <c r="F19" s="515">
        <f t="shared" si="0"/>
        <v>0</v>
      </c>
      <c r="G19" s="516"/>
    </row>
    <row r="20" spans="1:7">
      <c r="A20" s="506" t="s">
        <v>78</v>
      </c>
      <c r="B20" s="534">
        <f>'YR2018'!B20+'YR2019'!B20+'YR2020'!B20</f>
        <v>4415499</v>
      </c>
      <c r="C20" s="534">
        <f>'YR2018'!C20+'YR2019'!C20+'YR2020'!C20</f>
        <v>4415499</v>
      </c>
      <c r="D20" s="534">
        <f>'YR2018'!D20+'YR2019'!D20+'YR2020'!D20</f>
        <v>0</v>
      </c>
      <c r="E20" s="534">
        <f>'YR2018'!E20+'YR2019'!E20+'YR2020'!E20</f>
        <v>0</v>
      </c>
      <c r="F20" s="515">
        <f t="shared" si="0"/>
        <v>0</v>
      </c>
      <c r="G20" s="516"/>
    </row>
    <row r="21" spans="1:7">
      <c r="A21" s="506" t="s">
        <v>79</v>
      </c>
      <c r="B21" s="534">
        <f>'YR2018'!B21+'YR2019'!B21+'YR2020'!B21</f>
        <v>287499</v>
      </c>
      <c r="C21" s="534">
        <f>'YR2018'!C21+'YR2019'!C21+'YR2020'!C21</f>
        <v>287498.96999999997</v>
      </c>
      <c r="D21" s="534">
        <f>'YR2018'!D21+'YR2019'!D21+'YR2020'!D21</f>
        <v>0</v>
      </c>
      <c r="E21" s="534">
        <f>'YR2018'!E21+'YR2019'!E21+'YR2020'!E21</f>
        <v>0</v>
      </c>
      <c r="F21" s="515">
        <f t="shared" si="0"/>
        <v>3.0000000027939677E-2</v>
      </c>
      <c r="G21" s="516"/>
    </row>
    <row r="22" spans="1:7">
      <c r="A22" s="506" t="s">
        <v>80</v>
      </c>
      <c r="B22" s="534">
        <f>'YR2018'!B22+'YR2019'!B22+'YR2020'!B22</f>
        <v>3447501</v>
      </c>
      <c r="C22" s="534">
        <f>'YR2018'!C22+'YR2019'!C22+'YR2020'!C22</f>
        <v>3447501</v>
      </c>
      <c r="D22" s="534">
        <f>'YR2018'!D22+'YR2019'!D22+'YR2020'!D22</f>
        <v>0</v>
      </c>
      <c r="E22" s="534">
        <f>'YR2018'!E22+'YR2019'!E22+'YR2020'!E22</f>
        <v>0</v>
      </c>
      <c r="F22" s="515">
        <f t="shared" si="0"/>
        <v>0</v>
      </c>
      <c r="G22" s="516"/>
    </row>
    <row r="23" spans="1:7">
      <c r="A23" s="506" t="s">
        <v>132</v>
      </c>
      <c r="B23" s="534">
        <f>'YR2018'!B23+'YR2019'!B23+'YR2020'!B23</f>
        <v>36736500</v>
      </c>
      <c r="C23" s="534">
        <f>'YR2018'!C23+'YR2019'!C23+'YR2020'!C23</f>
        <v>36596945</v>
      </c>
      <c r="D23" s="534">
        <f>'YR2018'!D23+'YR2019'!D23+'YR2020'!D23</f>
        <v>139555</v>
      </c>
      <c r="E23" s="534">
        <f>'YR2018'!E23+'YR2019'!E23+'YR2020'!E23</f>
        <v>0</v>
      </c>
      <c r="F23" s="515">
        <f t="shared" si="0"/>
        <v>0</v>
      </c>
      <c r="G23" s="516"/>
    </row>
    <row r="24" spans="1:7">
      <c r="A24" s="506" t="s">
        <v>133</v>
      </c>
      <c r="B24" s="534">
        <f>'YR2018'!B24+'YR2019'!B24+'YR2020'!B24</f>
        <v>48303999</v>
      </c>
      <c r="C24" s="534">
        <f>'YR2018'!C24+'YR2019'!C24+'YR2020'!C24</f>
        <v>38948148.700000003</v>
      </c>
      <c r="D24" s="534">
        <f>'YR2018'!D24+'YR2019'!D24+'YR2020'!D24</f>
        <v>9660801</v>
      </c>
      <c r="E24" s="534">
        <f>'YR2018'!E24+'YR2019'!E24+'YR2020'!E24</f>
        <v>0</v>
      </c>
      <c r="F24" s="515">
        <f t="shared" si="0"/>
        <v>-304950.70000000298</v>
      </c>
      <c r="G24" s="516"/>
    </row>
    <row r="25" spans="1:7">
      <c r="A25" s="506" t="s">
        <v>83</v>
      </c>
      <c r="B25" s="534">
        <f>'YR2018'!B25+'YR2019'!B25+'YR2020'!B25</f>
        <v>3561000</v>
      </c>
      <c r="C25" s="534">
        <f>'YR2018'!C25+'YR2019'!C25+'YR2020'!C25</f>
        <v>3561000</v>
      </c>
      <c r="D25" s="534">
        <f>'YR2018'!D25+'YR2019'!D25+'YR2020'!D25</f>
        <v>0</v>
      </c>
      <c r="E25" s="534">
        <f>'YR2018'!E25+'YR2019'!E25+'YR2020'!E25</f>
        <v>0</v>
      </c>
      <c r="F25" s="515">
        <f t="shared" si="0"/>
        <v>0</v>
      </c>
      <c r="G25" s="516"/>
    </row>
    <row r="26" spans="1:7">
      <c r="A26" s="506" t="s">
        <v>84</v>
      </c>
      <c r="B26" s="534">
        <f>'YR2018'!B26+'YR2019'!B26+'YR2020'!B26</f>
        <v>7500</v>
      </c>
      <c r="C26" s="534">
        <f>'YR2018'!C26+'YR2019'!C26+'YR2020'!C26</f>
        <v>7500</v>
      </c>
      <c r="D26" s="534">
        <f>'YR2018'!D26+'YR2019'!D26+'YR2020'!D26</f>
        <v>0</v>
      </c>
      <c r="E26" s="534">
        <f>'YR2018'!E26+'YR2019'!E26+'YR2020'!E26</f>
        <v>0</v>
      </c>
      <c r="F26" s="515">
        <f t="shared" si="0"/>
        <v>0</v>
      </c>
      <c r="G26" s="516"/>
    </row>
    <row r="27" spans="1:7">
      <c r="A27" s="506" t="s">
        <v>85</v>
      </c>
      <c r="B27" s="534">
        <f>'YR2018'!B27+'YR2019'!B27+'YR2020'!B27</f>
        <v>1217001</v>
      </c>
      <c r="C27" s="534">
        <f>'YR2018'!C27+'YR2019'!C27+'YR2020'!C27</f>
        <v>1217001</v>
      </c>
      <c r="D27" s="534">
        <f>'YR2018'!D27+'YR2019'!D27+'YR2020'!D27</f>
        <v>0</v>
      </c>
      <c r="E27" s="534">
        <f>'YR2018'!E27+'YR2019'!E27+'YR2020'!E27</f>
        <v>0</v>
      </c>
      <c r="F27" s="515">
        <f t="shared" si="0"/>
        <v>0</v>
      </c>
      <c r="G27" s="516"/>
    </row>
    <row r="28" spans="1:7">
      <c r="A28" s="506" t="s">
        <v>86</v>
      </c>
      <c r="B28" s="534">
        <f>'YR2018'!B28+'YR2019'!B28+'YR2020'!B28</f>
        <v>174000</v>
      </c>
      <c r="C28" s="534">
        <f>'YR2018'!C28+'YR2019'!C28+'YR2020'!C28</f>
        <v>174000</v>
      </c>
      <c r="D28" s="534">
        <f>'YR2018'!D28+'YR2019'!D28+'YR2020'!D28</f>
        <v>0</v>
      </c>
      <c r="E28" s="534">
        <f>'YR2018'!E28+'YR2019'!E28+'YR2020'!E28</f>
        <v>0</v>
      </c>
      <c r="F28" s="515">
        <f t="shared" si="0"/>
        <v>0</v>
      </c>
      <c r="G28" s="516"/>
    </row>
    <row r="29" spans="1:7">
      <c r="A29" s="506" t="s">
        <v>134</v>
      </c>
      <c r="B29" s="534">
        <f>'YR2018'!B29+'YR2019'!B29+'YR2020'!B29</f>
        <v>2532999</v>
      </c>
      <c r="C29" s="534">
        <f>'YR2018'!C29+'YR2019'!C29+'YR2020'!C29</f>
        <v>2532999</v>
      </c>
      <c r="D29" s="534">
        <f>'YR2018'!D29+'YR2019'!D29+'YR2020'!D29</f>
        <v>0</v>
      </c>
      <c r="E29" s="534">
        <f>'YR2018'!E29+'YR2019'!E29+'YR2020'!E29</f>
        <v>0</v>
      </c>
      <c r="F29" s="515">
        <f t="shared" si="0"/>
        <v>0</v>
      </c>
      <c r="G29" s="516"/>
    </row>
    <row r="30" spans="1:7">
      <c r="A30" s="506" t="s">
        <v>88</v>
      </c>
      <c r="B30" s="534">
        <f>'YR2018'!B30+'YR2019'!B30+'YR2020'!B30</f>
        <v>3251001</v>
      </c>
      <c r="C30" s="534">
        <f>'YR2018'!C30+'YR2019'!C30+'YR2020'!C30</f>
        <v>0</v>
      </c>
      <c r="D30" s="534">
        <f>'YR2018'!D30+'YR2019'!D30+'YR2020'!D30</f>
        <v>0</v>
      </c>
      <c r="E30" s="534">
        <f>'YR2018'!E30+'YR2019'!E30+'YR2020'!E30</f>
        <v>0</v>
      </c>
      <c r="F30" s="515">
        <f t="shared" si="0"/>
        <v>3251001</v>
      </c>
      <c r="G30" s="516"/>
    </row>
    <row r="31" spans="1:7">
      <c r="A31" s="506" t="s">
        <v>89</v>
      </c>
      <c r="B31" s="534">
        <f>'YR2018'!B31+'YR2019'!B31+'YR2020'!B31</f>
        <v>28336500</v>
      </c>
      <c r="C31" s="534">
        <f>'YR2018'!C31+'YR2019'!C31+'YR2020'!C31</f>
        <v>27399737.609999999</v>
      </c>
      <c r="D31" s="534">
        <f>'YR2018'!D31+'YR2019'!D31+'YR2020'!D31</f>
        <v>936762</v>
      </c>
      <c r="E31" s="534">
        <f>'YR2018'!E31+'YR2019'!E31+'YR2020'!E31</f>
        <v>0</v>
      </c>
      <c r="F31" s="515">
        <f t="shared" si="0"/>
        <v>0.39000000059604645</v>
      </c>
      <c r="G31" s="516"/>
    </row>
    <row r="32" spans="1:7">
      <c r="A32" s="506" t="s">
        <v>135</v>
      </c>
      <c r="B32" s="534">
        <f>'YR2018'!B32+'YR2019'!B32+'YR2020'!B32</f>
        <v>71890118</v>
      </c>
      <c r="C32" s="534">
        <f>'YR2018'!C32+'YR2019'!C32+'YR2020'!C32</f>
        <v>71614421</v>
      </c>
      <c r="D32" s="534">
        <f>'YR2018'!D32+'YR2019'!D32+'YR2020'!D32</f>
        <v>275697</v>
      </c>
      <c r="E32" s="534">
        <f>'YR2018'!E32+'YR2019'!E32+'YR2020'!E32</f>
        <v>0</v>
      </c>
      <c r="F32" s="515">
        <f t="shared" si="0"/>
        <v>0</v>
      </c>
      <c r="G32" s="516"/>
    </row>
    <row r="33" spans="1:7">
      <c r="A33" s="506" t="s">
        <v>91</v>
      </c>
      <c r="B33" s="534">
        <f>'YR2018'!B33+'YR2019'!B33+'YR2020'!B33</f>
        <v>1443999</v>
      </c>
      <c r="C33" s="534">
        <f>'YR2018'!C33+'YR2019'!C33+'YR2020'!C33</f>
        <v>1443999</v>
      </c>
      <c r="D33" s="534">
        <f>'YR2018'!D33+'YR2019'!D33+'YR2020'!D33</f>
        <v>0</v>
      </c>
      <c r="E33" s="534">
        <f>'YR2018'!E33+'YR2019'!E33+'YR2020'!E33</f>
        <v>0</v>
      </c>
      <c r="F33" s="515">
        <f t="shared" si="0"/>
        <v>0</v>
      </c>
      <c r="G33" s="516"/>
    </row>
    <row r="34" spans="1:7">
      <c r="A34" s="506" t="s">
        <v>93</v>
      </c>
      <c r="B34" s="534">
        <f>'YR2018'!B34+'YR2019'!B34+'YR2020'!B34</f>
        <v>378000</v>
      </c>
      <c r="C34" s="534">
        <f>'YR2018'!C34+'YR2019'!C34+'YR2020'!C34</f>
        <v>378000</v>
      </c>
      <c r="D34" s="534">
        <f>'YR2018'!D34+'YR2019'!D34+'YR2020'!D34</f>
        <v>0</v>
      </c>
      <c r="E34" s="534">
        <f>'YR2018'!E34+'YR2019'!E34+'YR2020'!E34</f>
        <v>0</v>
      </c>
      <c r="F34" s="515">
        <f t="shared" si="0"/>
        <v>0</v>
      </c>
      <c r="G34" s="516"/>
    </row>
    <row r="35" spans="1:7">
      <c r="A35" s="506" t="s">
        <v>94</v>
      </c>
      <c r="B35" s="534">
        <f>'YR2018'!B35+'YR2019'!B35+'YR2020'!B35</f>
        <v>53001</v>
      </c>
      <c r="C35" s="534">
        <f>'YR2018'!C35+'YR2019'!C35+'YR2020'!C35</f>
        <v>53001</v>
      </c>
      <c r="D35" s="534">
        <f>'YR2018'!D35+'YR2019'!D35+'YR2020'!D35</f>
        <v>0</v>
      </c>
      <c r="E35" s="534">
        <f>'YR2018'!E35+'YR2019'!E35+'YR2020'!E35</f>
        <v>0</v>
      </c>
      <c r="F35" s="515">
        <f t="shared" si="0"/>
        <v>0</v>
      </c>
      <c r="G35" s="516"/>
    </row>
    <row r="36" spans="1:7">
      <c r="A36" s="506" t="s">
        <v>95</v>
      </c>
      <c r="B36" s="534">
        <f>'YR2018'!B36+'YR2019'!B36+'YR2020'!B36</f>
        <v>544500</v>
      </c>
      <c r="C36" s="534">
        <f>'YR2018'!C36+'YR2019'!C36+'YR2020'!C36</f>
        <v>544499.67999999993</v>
      </c>
      <c r="D36" s="534">
        <f>'YR2018'!D36+'YR2019'!D36+'YR2020'!D36</f>
        <v>0</v>
      </c>
      <c r="E36" s="534">
        <f>'YR2018'!E36+'YR2019'!E36+'YR2020'!E36</f>
        <v>0</v>
      </c>
      <c r="F36" s="515">
        <f t="shared" si="0"/>
        <v>0.32000000006519258</v>
      </c>
      <c r="G36" s="516"/>
    </row>
    <row r="37" spans="1:7">
      <c r="A37" s="506" t="s">
        <v>96</v>
      </c>
      <c r="B37" s="534">
        <f>'YR2018'!B37+'YR2019'!B37+'YR2020'!B37</f>
        <v>483999</v>
      </c>
      <c r="C37" s="534">
        <f>'YR2018'!C37+'YR2019'!C37+'YR2020'!C37</f>
        <v>483999</v>
      </c>
      <c r="D37" s="534">
        <f>'YR2018'!D37+'YR2019'!D37+'YR2020'!D37</f>
        <v>0</v>
      </c>
      <c r="E37" s="534">
        <f>'YR2018'!E37+'YR2019'!E37+'YR2020'!E37</f>
        <v>0</v>
      </c>
      <c r="F37" s="515">
        <f t="shared" si="0"/>
        <v>0</v>
      </c>
      <c r="G37" s="516"/>
    </row>
    <row r="38" spans="1:7">
      <c r="A38" s="506" t="s">
        <v>97</v>
      </c>
      <c r="B38" s="534">
        <f>'YR2018'!B38+'YR2019'!B38+'YR2020'!B38</f>
        <v>120999</v>
      </c>
      <c r="C38" s="534">
        <f>'YR2018'!C38+'YR2019'!C38+'YR2020'!C38</f>
        <v>0</v>
      </c>
      <c r="D38" s="534">
        <f>'YR2018'!D38+'YR2019'!D38+'YR2020'!D38</f>
        <v>0</v>
      </c>
      <c r="E38" s="534">
        <f>'YR2018'!E38+'YR2019'!E38+'YR2020'!E38</f>
        <v>0</v>
      </c>
      <c r="F38" s="515">
        <f t="shared" si="0"/>
        <v>120999</v>
      </c>
      <c r="G38" s="516"/>
    </row>
    <row r="39" spans="1:7">
      <c r="A39" s="506" t="s">
        <v>98</v>
      </c>
      <c r="B39" s="534">
        <f>'YR2018'!B39+'YR2019'!B39+'YR2020'!B39</f>
        <v>75501</v>
      </c>
      <c r="C39" s="534">
        <f>'YR2018'!C39+'YR2019'!C39+'YR2020'!C39</f>
        <v>75501</v>
      </c>
      <c r="D39" s="534">
        <f>'YR2018'!D39+'YR2019'!D39+'YR2020'!D39</f>
        <v>0</v>
      </c>
      <c r="E39" s="534">
        <f>'YR2018'!E39+'YR2019'!E39+'YR2020'!E39</f>
        <v>0</v>
      </c>
      <c r="F39" s="515">
        <f t="shared" si="0"/>
        <v>0</v>
      </c>
      <c r="G39" s="516"/>
    </row>
    <row r="40" spans="1:7">
      <c r="A40" s="506" t="s">
        <v>99</v>
      </c>
      <c r="B40" s="534">
        <f>'YR2018'!B40+'YR2019'!B40+'YR2020'!B40</f>
        <v>11204499</v>
      </c>
      <c r="C40" s="534">
        <f>'YR2018'!C40+'YR2019'!C40+'YR2020'!C40</f>
        <v>11204499</v>
      </c>
      <c r="D40" s="534">
        <f>'YR2018'!D40+'YR2019'!D40+'YR2020'!D40</f>
        <v>0</v>
      </c>
      <c r="E40" s="534">
        <f>'YR2018'!E40+'YR2019'!E40+'YR2020'!E40</f>
        <v>0</v>
      </c>
      <c r="F40" s="515">
        <f t="shared" si="0"/>
        <v>0</v>
      </c>
      <c r="G40" s="516"/>
    </row>
    <row r="41" spans="1:7">
      <c r="A41" s="506" t="s">
        <v>100</v>
      </c>
      <c r="B41" s="534">
        <f>'YR2018'!B41+'YR2019'!B41+'YR2020'!B41</f>
        <v>2025999</v>
      </c>
      <c r="C41" s="534">
        <f>'YR2018'!C41+'YR2019'!C41+'YR2020'!C41</f>
        <v>2025999</v>
      </c>
      <c r="D41" s="534">
        <f>'YR2018'!D41+'YR2019'!D41+'YR2020'!D41</f>
        <v>0</v>
      </c>
      <c r="E41" s="534">
        <f>'YR2018'!E41+'YR2019'!E41+'YR2020'!E41</f>
        <v>0</v>
      </c>
      <c r="F41" s="515">
        <f t="shared" si="0"/>
        <v>0</v>
      </c>
      <c r="G41" s="516"/>
    </row>
    <row r="42" spans="1:7">
      <c r="A42" s="506" t="s">
        <v>101</v>
      </c>
      <c r="B42" s="534">
        <f>'YR2018'!B42+'YR2019'!B42+'YR2020'!B42</f>
        <v>6419001</v>
      </c>
      <c r="C42" s="534">
        <f>'YR2018'!C42+'YR2019'!C42+'YR2020'!C42</f>
        <v>6419001</v>
      </c>
      <c r="D42" s="534">
        <f>'YR2018'!D42+'YR2019'!D42+'YR2020'!D42</f>
        <v>0</v>
      </c>
      <c r="E42" s="534">
        <f>'YR2018'!E42+'YR2019'!E42+'YR2020'!E42</f>
        <v>0</v>
      </c>
      <c r="F42" s="515">
        <f t="shared" si="0"/>
        <v>0</v>
      </c>
      <c r="G42" s="516"/>
    </row>
    <row r="43" spans="1:7">
      <c r="A43" s="506" t="s">
        <v>103</v>
      </c>
      <c r="B43" s="534">
        <f>'YR2018'!B43+'YR2019'!B43+'YR2020'!B43</f>
        <v>6358500</v>
      </c>
      <c r="C43" s="534">
        <f>'YR2018'!C43+'YR2019'!C43+'YR2020'!C43</f>
        <v>6358500</v>
      </c>
      <c r="D43" s="534">
        <f>'YR2018'!D43+'YR2019'!D43+'YR2020'!D43</f>
        <v>0</v>
      </c>
      <c r="E43" s="534">
        <f>'YR2018'!E43+'YR2019'!E43+'YR2020'!E43</f>
        <v>0</v>
      </c>
      <c r="F43" s="515">
        <f t="shared" si="0"/>
        <v>0</v>
      </c>
      <c r="G43" s="516"/>
    </row>
    <row r="44" spans="1:7">
      <c r="A44" s="506" t="s">
        <v>104</v>
      </c>
      <c r="B44" s="534">
        <f>'YR2018'!B44+'YR2019'!B44+'YR2020'!B44</f>
        <v>2963499</v>
      </c>
      <c r="C44" s="534">
        <f>'YR2018'!C44+'YR2019'!C44+'YR2020'!C44</f>
        <v>2963499</v>
      </c>
      <c r="D44" s="534">
        <f>'YR2018'!D44+'YR2019'!D44+'YR2020'!D44</f>
        <v>0</v>
      </c>
      <c r="E44" s="534">
        <f>'YR2018'!E44+'YR2019'!E44+'YR2020'!E44</f>
        <v>0</v>
      </c>
      <c r="F44" s="515">
        <f t="shared" si="0"/>
        <v>0</v>
      </c>
      <c r="G44" s="516"/>
    </row>
    <row r="45" spans="1:7">
      <c r="A45" s="506" t="s">
        <v>105</v>
      </c>
      <c r="B45" s="534">
        <f>'YR2018'!B45+'YR2019'!B45+'YR2020'!B45</f>
        <v>1391001</v>
      </c>
      <c r="C45" s="534">
        <f>'YR2018'!C45+'YR2019'!C45+'YR2020'!C45</f>
        <v>1390991</v>
      </c>
      <c r="D45" s="534">
        <f>'YR2018'!D45+'YR2019'!D45+'YR2020'!D45</f>
        <v>0</v>
      </c>
      <c r="E45" s="534">
        <f>'YR2018'!E45+'YR2019'!E45+'YR2020'!E45</f>
        <v>0</v>
      </c>
      <c r="F45" s="515">
        <f t="shared" si="0"/>
        <v>10</v>
      </c>
      <c r="G45" s="516"/>
    </row>
    <row r="46" spans="1:7">
      <c r="A46" s="506" t="s">
        <v>106</v>
      </c>
      <c r="B46" s="534">
        <f>'YR2018'!B46+'YR2019'!B46+'YR2020'!B46</f>
        <v>23346999</v>
      </c>
      <c r="C46" s="534">
        <f>'YR2018'!C46+'YR2019'!C46+'YR2020'!C46</f>
        <v>23346999</v>
      </c>
      <c r="D46" s="534">
        <f>'YR2018'!D46+'YR2019'!D46+'YR2020'!D46</f>
        <v>0</v>
      </c>
      <c r="E46" s="534">
        <f>'YR2018'!E46+'YR2019'!E46+'YR2020'!E46</f>
        <v>0</v>
      </c>
      <c r="F46" s="515">
        <f t="shared" si="0"/>
        <v>0</v>
      </c>
      <c r="G46" s="516"/>
    </row>
    <row r="47" spans="1:7">
      <c r="A47" s="506" t="s">
        <v>107</v>
      </c>
      <c r="B47" s="534">
        <f>'YR2018'!B47+'YR2019'!B47+'YR2020'!B47</f>
        <v>22500</v>
      </c>
      <c r="C47" s="534">
        <f>'YR2018'!C47+'YR2019'!C47+'YR2020'!C47</f>
        <v>22500</v>
      </c>
      <c r="D47" s="534">
        <f>'YR2018'!D47+'YR2019'!D47+'YR2020'!D47</f>
        <v>0</v>
      </c>
      <c r="E47" s="534">
        <f>'YR2018'!E47+'YR2019'!E47+'YR2020'!E47</f>
        <v>0</v>
      </c>
      <c r="F47" s="515">
        <f t="shared" si="0"/>
        <v>0</v>
      </c>
      <c r="G47" s="516"/>
    </row>
    <row r="48" spans="1:7">
      <c r="A48" s="506" t="s">
        <v>109</v>
      </c>
      <c r="B48" s="534">
        <f>'YR2018'!B48+'YR2019'!B48+'YR2020'!B48</f>
        <v>1209501</v>
      </c>
      <c r="C48" s="534">
        <f>'YR2018'!C48+'YR2019'!C48+'YR2020'!C48</f>
        <v>1209501</v>
      </c>
      <c r="D48" s="534">
        <f>'YR2018'!D48+'YR2019'!D48+'YR2020'!D48</f>
        <v>0</v>
      </c>
      <c r="E48" s="534">
        <f>'YR2018'!E48+'YR2019'!E48+'YR2020'!E48</f>
        <v>0</v>
      </c>
      <c r="F48" s="515">
        <f t="shared" si="0"/>
        <v>0</v>
      </c>
      <c r="G48" s="516"/>
    </row>
    <row r="49" spans="1:7">
      <c r="A49" s="506" t="s">
        <v>110</v>
      </c>
      <c r="B49" s="534">
        <f>'YR2018'!B49+'YR2019'!B49+'YR2020'!B49</f>
        <v>635001</v>
      </c>
      <c r="C49" s="534">
        <f>'YR2018'!C49+'YR2019'!C49+'YR2020'!C49</f>
        <v>635001</v>
      </c>
      <c r="D49" s="534">
        <f>'YR2018'!D49+'YR2019'!D49+'YR2020'!D49</f>
        <v>0</v>
      </c>
      <c r="E49" s="534">
        <f>'YR2018'!E49+'YR2019'!E49+'YR2020'!E49</f>
        <v>0</v>
      </c>
      <c r="F49" s="515">
        <f t="shared" si="0"/>
        <v>0</v>
      </c>
      <c r="G49" s="516"/>
    </row>
    <row r="50" spans="1:7">
      <c r="A50" s="506" t="s">
        <v>112</v>
      </c>
      <c r="B50" s="534">
        <f>'YR2018'!B50+'YR2019'!B50+'YR2020'!B50</f>
        <v>18470499</v>
      </c>
      <c r="C50" s="534">
        <f>'YR2018'!C50+'YR2019'!C50+'YR2020'!C50</f>
        <v>17277768</v>
      </c>
      <c r="D50" s="534">
        <f>'YR2018'!D50+'YR2019'!D50+'YR2020'!D50</f>
        <v>1192731</v>
      </c>
      <c r="E50" s="534">
        <f>'YR2018'!E50+'YR2019'!E50+'YR2020'!E50</f>
        <v>0</v>
      </c>
      <c r="F50" s="515">
        <f t="shared" si="0"/>
        <v>0</v>
      </c>
      <c r="G50" s="516"/>
    </row>
    <row r="51" spans="1:7">
      <c r="A51" s="506" t="s">
        <v>136</v>
      </c>
      <c r="B51" s="534">
        <f>'YR2018'!B51+'YR2019'!B51+'YR2020'!B51</f>
        <v>7227999</v>
      </c>
      <c r="C51" s="534">
        <f>'YR2018'!C51+'YR2019'!C51+'YR2020'!C51</f>
        <v>7227999</v>
      </c>
      <c r="D51" s="534">
        <f>'YR2018'!D51+'YR2019'!D51+'YR2020'!D51</f>
        <v>0</v>
      </c>
      <c r="E51" s="534">
        <f>'YR2018'!E51+'YR2019'!E51+'YR2020'!E51</f>
        <v>0</v>
      </c>
      <c r="F51" s="515">
        <f t="shared" si="0"/>
        <v>0</v>
      </c>
      <c r="G51" s="516"/>
    </row>
    <row r="52" spans="1:7">
      <c r="A52" s="506" t="s">
        <v>114</v>
      </c>
      <c r="B52" s="534">
        <f>'YR2018'!B52+'YR2019'!B52+'YR2020'!B52</f>
        <v>8619000</v>
      </c>
      <c r="C52" s="534">
        <f>'YR2018'!C52+'YR2019'!C52+'YR2020'!C52</f>
        <v>8618999.6699999999</v>
      </c>
      <c r="D52" s="534">
        <f>'YR2018'!D52+'YR2019'!D52+'YR2020'!D52</f>
        <v>0</v>
      </c>
      <c r="E52" s="534">
        <f>'YR2018'!E52+'YR2019'!E52+'YR2020'!E52</f>
        <v>0</v>
      </c>
      <c r="F52" s="515">
        <f t="shared" si="0"/>
        <v>0.33000000007450581</v>
      </c>
      <c r="G52" s="516"/>
    </row>
    <row r="53" spans="1:7" ht="18" customHeight="1">
      <c r="A53" s="506" t="s">
        <v>115</v>
      </c>
      <c r="B53" s="534">
        <f>'YR2018'!B53+'YR2019'!B53+'YR2020'!B53</f>
        <v>30000</v>
      </c>
      <c r="C53" s="534">
        <f>'YR2018'!C53+'YR2019'!C53+'YR2020'!C53</f>
        <v>0</v>
      </c>
      <c r="D53" s="534">
        <f>'YR2018'!D53+'YR2019'!D53+'YR2020'!D53</f>
        <v>0</v>
      </c>
      <c r="E53" s="534">
        <f>'YR2018'!E53+'YR2019'!E53+'YR2020'!E53</f>
        <v>0</v>
      </c>
      <c r="F53" s="515">
        <f t="shared" si="0"/>
        <v>30000</v>
      </c>
      <c r="G53" s="516"/>
    </row>
    <row r="54" spans="1:7">
      <c r="A54" s="506" t="s">
        <v>117</v>
      </c>
      <c r="B54" s="534">
        <f>'YR2018'!B54+'YR2019'!B54+'YR2020'!B54</f>
        <v>778500</v>
      </c>
      <c r="C54" s="534">
        <f>'YR2018'!C54+'YR2019'!C54+'YR2020'!C54</f>
        <v>0</v>
      </c>
      <c r="D54" s="534">
        <f>'YR2018'!D54+'YR2019'!D54+'YR2020'!D54</f>
        <v>0</v>
      </c>
      <c r="E54" s="534">
        <f>'YR2018'!E54+'YR2019'!E54+'YR2020'!E54</f>
        <v>0</v>
      </c>
      <c r="F54" s="515">
        <f t="shared" si="0"/>
        <v>778500</v>
      </c>
      <c r="G54" s="516"/>
    </row>
    <row r="55" spans="1:7">
      <c r="A55" s="506" t="s">
        <v>119</v>
      </c>
      <c r="B55" s="534">
        <f>'YR2018'!B55+'YR2019'!B55+'YR2020'!B55</f>
        <v>33742500</v>
      </c>
      <c r="C55" s="534">
        <f>'YR2018'!C55+'YR2019'!C55+'YR2020'!C55</f>
        <v>33742500</v>
      </c>
      <c r="D55" s="534">
        <f>'YR2018'!D55+'YR2019'!D55+'YR2020'!D55</f>
        <v>0</v>
      </c>
      <c r="E55" s="534">
        <f>'YR2018'!E55+'YR2019'!E55+'YR2020'!E55</f>
        <v>0</v>
      </c>
      <c r="F55" s="515">
        <f t="shared" si="0"/>
        <v>0</v>
      </c>
      <c r="G55" s="516"/>
    </row>
    <row r="56" spans="1:7">
      <c r="A56" s="506" t="s">
        <v>120</v>
      </c>
      <c r="B56" s="534">
        <f>'YR2018'!B56+'YR2019'!B56+'YR2020'!B56</f>
        <v>107570053</v>
      </c>
      <c r="C56" s="534">
        <f>'YR2018'!C56+'YR2019'!C56+'YR2020'!C56</f>
        <v>107570053</v>
      </c>
      <c r="D56" s="534">
        <f>'YR2018'!D56+'YR2019'!D56+'YR2020'!D56</f>
        <v>0</v>
      </c>
      <c r="E56" s="534">
        <f>'YR2018'!E56+'YR2019'!E56+'YR2020'!E56</f>
        <v>0</v>
      </c>
      <c r="F56" s="515">
        <f t="shared" si="0"/>
        <v>0</v>
      </c>
      <c r="G56" s="516"/>
    </row>
    <row r="57" spans="1:7" ht="15" thickBot="1">
      <c r="A57" s="520" t="s">
        <v>121</v>
      </c>
      <c r="B57" s="617">
        <f>'YR2018'!B57+'YR2019'!B57+'YR2020'!B57</f>
        <v>174000</v>
      </c>
      <c r="C57" s="617">
        <f>'YR2018'!C57+'YR2019'!C57+'YR2020'!C57</f>
        <v>116000</v>
      </c>
      <c r="D57" s="617">
        <f>'YR2018'!D57+'YR2019'!D57+'YR2020'!D57</f>
        <v>0</v>
      </c>
      <c r="E57" s="617">
        <f>'YR2018'!E57+'YR2019'!E57+'YR2020'!E57</f>
        <v>0</v>
      </c>
      <c r="F57" s="618">
        <f t="shared" si="0"/>
        <v>58000</v>
      </c>
      <c r="G57" s="516"/>
    </row>
    <row r="58" spans="1:7" ht="15" thickBot="1">
      <c r="A58" s="514" t="s">
        <v>124</v>
      </c>
      <c r="B58" s="82">
        <f>SUM(B9:B57)</f>
        <v>496274667</v>
      </c>
      <c r="C58" s="82">
        <f>SUM(C9:C57)</f>
        <v>478141866.64000005</v>
      </c>
      <c r="D58" s="82">
        <f>SUM(D9:D57)</f>
        <v>13681572</v>
      </c>
      <c r="E58" s="82">
        <f>SUM(E9:E57)</f>
        <v>0</v>
      </c>
      <c r="F58" s="145">
        <f>SUM(F9:F57)</f>
        <v>4451228.3600000003</v>
      </c>
      <c r="G58" s="516"/>
    </row>
    <row r="59" spans="1:7" ht="15" thickBot="1">
      <c r="A59" s="521" t="s">
        <v>137</v>
      </c>
      <c r="B59" s="169">
        <f>'YR2018'!B59+'YR2019'!B59+'YR2020'!B59</f>
        <v>3725331</v>
      </c>
      <c r="C59" s="522">
        <v>0</v>
      </c>
      <c r="D59" s="522">
        <v>0</v>
      </c>
      <c r="E59" s="522">
        <v>0</v>
      </c>
      <c r="F59" s="170">
        <f>B59-C59-D59-E59</f>
        <v>3725331</v>
      </c>
      <c r="G59" s="516"/>
    </row>
    <row r="60" spans="1:7" ht="15" thickBot="1">
      <c r="A60" s="523" t="s">
        <v>138</v>
      </c>
      <c r="B60" s="83">
        <f>B58+B59</f>
        <v>499999998</v>
      </c>
      <c r="C60" s="83">
        <f>C58+C59</f>
        <v>478141866.64000005</v>
      </c>
      <c r="D60" s="83">
        <f>D58+D59</f>
        <v>13681572</v>
      </c>
      <c r="E60" s="83">
        <f>E58+E59</f>
        <v>0</v>
      </c>
      <c r="F60" s="171">
        <f>F58+F59</f>
        <v>8176559.3600000003</v>
      </c>
      <c r="G60" s="516"/>
    </row>
    <row r="61" spans="1:7" ht="15" hidden="1" thickBot="1">
      <c r="A61" s="516"/>
      <c r="B61" s="169">
        <v>1631906</v>
      </c>
      <c r="C61" s="516"/>
      <c r="D61" s="516"/>
      <c r="E61" s="516"/>
      <c r="F61" s="516"/>
      <c r="G61" s="516"/>
    </row>
    <row r="62" spans="1:7">
      <c r="A62" s="546" t="s">
        <v>263</v>
      </c>
      <c r="B62" s="621"/>
      <c r="C62" s="621"/>
      <c r="D62" s="621"/>
      <c r="E62" s="621"/>
      <c r="F62" s="621"/>
      <c r="G62" s="516"/>
    </row>
    <row r="63" spans="1:7" ht="15" thickBot="1">
      <c r="A63" s="516"/>
      <c r="B63" s="516"/>
      <c r="C63" s="516"/>
      <c r="D63" s="516"/>
      <c r="E63" s="516"/>
      <c r="F63" s="516"/>
      <c r="G63" s="516"/>
    </row>
    <row r="64" spans="1:7" ht="15" thickBot="1">
      <c r="A64" s="526" t="s">
        <v>139</v>
      </c>
      <c r="B64" s="527">
        <f>B12+B13+B15+B19+B21+B27+B33+B34+B36+B43+B46+B48+B49+B53+B54+B57</f>
        <v>40221501</v>
      </c>
      <c r="C64" s="527">
        <f>C12+C13+C15+C19+C21+C26+C34+C36+C43+C46+C48+C49+C53+C54+C57</f>
        <v>36183832.649999999</v>
      </c>
      <c r="D64" s="527">
        <f>D12+D13+D15+D19+D21+D26+D34+D36+D43+D46+D48+D49+D53+D54+D57</f>
        <v>0</v>
      </c>
      <c r="E64" s="527">
        <f>E12+E13+E15+E19+E21+E26+E34+E36+E43+E46+E48+E49+E53+E54+E57</f>
        <v>0</v>
      </c>
      <c r="F64" s="528">
        <f>B64-C64-D64-E64</f>
        <v>4037668.3500000015</v>
      </c>
      <c r="G64" s="516"/>
    </row>
    <row r="65" spans="1:7">
      <c r="A65" s="516"/>
      <c r="B65" s="516"/>
      <c r="C65" s="516"/>
      <c r="D65" s="516"/>
      <c r="E65" s="516"/>
      <c r="F65" s="516"/>
      <c r="G65" s="516"/>
    </row>
    <row r="66" spans="1:7">
      <c r="A66" s="516"/>
      <c r="B66" s="516"/>
      <c r="C66" s="516"/>
      <c r="D66" s="516"/>
      <c r="E66" s="516"/>
      <c r="F66" s="516"/>
      <c r="G66" s="516"/>
    </row>
  </sheetData>
  <mergeCells count="4">
    <mergeCell ref="A5:F5"/>
    <mergeCell ref="A6:F6"/>
    <mergeCell ref="A7:F7"/>
    <mergeCell ref="E1:F1"/>
  </mergeCells>
  <printOptions horizontalCentered="1"/>
  <pageMargins left="0.11811023622047245" right="0.11811023622047245" top="0.27559055118110237" bottom="0.19685039370078741" header="0.27559055118110237" footer="0.11811023622047245"/>
  <pageSetup scale="77"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8A1B6-919E-4DAD-8F7F-E9066F0F3CF0}">
  <sheetPr>
    <pageSetUpPr fitToPage="1"/>
  </sheetPr>
  <dimension ref="A1:G66"/>
  <sheetViews>
    <sheetView workbookViewId="0">
      <selection activeCell="F3" sqref="F3"/>
    </sheetView>
  </sheetViews>
  <sheetFormatPr defaultRowHeight="14.5"/>
  <cols>
    <col min="1" max="1" width="30.7265625" customWidth="1"/>
    <col min="2" max="6" width="20.7265625" customWidth="1"/>
  </cols>
  <sheetData>
    <row r="1" spans="1:7" ht="18">
      <c r="B1" s="491"/>
      <c r="C1" s="62"/>
      <c r="D1" s="62"/>
      <c r="E1" s="741" t="str">
        <f>Status!C1</f>
        <v>UNEP/OzL.Pro/ExCom/94/3</v>
      </c>
      <c r="F1" s="741"/>
    </row>
    <row r="2" spans="1:7" ht="18">
      <c r="B2" s="62"/>
      <c r="C2" s="62"/>
      <c r="D2" s="62"/>
      <c r="E2" s="64"/>
      <c r="F2" s="64" t="s">
        <v>0</v>
      </c>
    </row>
    <row r="3" spans="1:7" ht="18">
      <c r="B3" s="62"/>
      <c r="C3" s="62"/>
      <c r="D3" s="62"/>
      <c r="E3" s="64"/>
      <c r="F3" s="64" t="s">
        <v>146</v>
      </c>
    </row>
    <row r="4" spans="1:7" ht="15.5">
      <c r="A4" s="1"/>
      <c r="B4" s="62"/>
      <c r="C4" s="62"/>
      <c r="D4" s="62"/>
      <c r="E4" s="66"/>
      <c r="F4" s="66"/>
    </row>
    <row r="5" spans="1:7" ht="16">
      <c r="A5" s="735" t="s">
        <v>2</v>
      </c>
      <c r="B5" s="735"/>
      <c r="C5" s="735"/>
      <c r="D5" s="735"/>
      <c r="E5" s="735"/>
      <c r="F5" s="735"/>
    </row>
    <row r="6" spans="1:7" ht="15.5">
      <c r="A6" s="729" t="s">
        <v>279</v>
      </c>
      <c r="B6" s="729"/>
      <c r="C6" s="729"/>
      <c r="D6" s="729"/>
      <c r="E6" s="729"/>
      <c r="F6" s="729"/>
    </row>
    <row r="7" spans="1:7" ht="16.5" thickBot="1">
      <c r="A7" s="728" t="str">
        <f>Status!A6</f>
        <v>As at 24/05/2024</v>
      </c>
      <c r="B7" s="728"/>
      <c r="C7" s="728"/>
      <c r="D7" s="728"/>
      <c r="E7" s="728"/>
      <c r="F7" s="728"/>
    </row>
    <row r="8" spans="1:7" ht="31.25" customHeight="1" thickBot="1">
      <c r="A8" s="68" t="s">
        <v>60</v>
      </c>
      <c r="B8" s="69" t="s">
        <v>61</v>
      </c>
      <c r="C8" s="69" t="s">
        <v>62</v>
      </c>
      <c r="D8" s="629" t="s">
        <v>63</v>
      </c>
      <c r="E8" s="69" t="s">
        <v>64</v>
      </c>
      <c r="F8" s="70" t="s">
        <v>65</v>
      </c>
    </row>
    <row r="9" spans="1:7">
      <c r="A9" s="622" t="s">
        <v>67</v>
      </c>
      <c r="B9" s="623">
        <v>15167</v>
      </c>
      <c r="C9" s="623">
        <v>15167</v>
      </c>
      <c r="D9" s="620"/>
      <c r="E9" s="620"/>
      <c r="F9" s="618">
        <f t="shared" ref="F9:F59" si="0">B9-C9-D9-E9</f>
        <v>0</v>
      </c>
      <c r="G9" s="516"/>
    </row>
    <row r="10" spans="1:7">
      <c r="A10" s="502" t="s">
        <v>130</v>
      </c>
      <c r="B10" s="534">
        <v>5889667</v>
      </c>
      <c r="C10" s="534">
        <f>5889667-423603+2339</f>
        <v>5468403</v>
      </c>
      <c r="D10" s="503">
        <f>423603-2339</f>
        <v>421264</v>
      </c>
      <c r="E10" s="503"/>
      <c r="F10" s="515">
        <f t="shared" si="0"/>
        <v>0</v>
      </c>
      <c r="G10" s="516"/>
    </row>
    <row r="11" spans="1:7">
      <c r="A11" s="502" t="s">
        <v>69</v>
      </c>
      <c r="B11" s="534">
        <v>1814500</v>
      </c>
      <c r="C11" s="534">
        <v>1814500</v>
      </c>
      <c r="D11" s="503"/>
      <c r="E11" s="503"/>
      <c r="F11" s="515">
        <f t="shared" si="0"/>
        <v>0</v>
      </c>
      <c r="G11" s="516"/>
    </row>
    <row r="12" spans="1:7">
      <c r="A12" s="505" t="s">
        <v>70</v>
      </c>
      <c r="B12" s="534">
        <v>151167</v>
      </c>
      <c r="C12" s="534"/>
      <c r="D12" s="503"/>
      <c r="E12" s="503"/>
      <c r="F12" s="515">
        <f t="shared" si="0"/>
        <v>151167</v>
      </c>
      <c r="G12" s="516"/>
    </row>
    <row r="13" spans="1:7">
      <c r="A13" s="502" t="s">
        <v>71</v>
      </c>
      <c r="B13" s="534">
        <v>141167</v>
      </c>
      <c r="C13" s="534">
        <v>141167</v>
      </c>
      <c r="D13" s="503"/>
      <c r="E13" s="503"/>
      <c r="F13" s="515">
        <f t="shared" si="0"/>
        <v>0</v>
      </c>
      <c r="G13" s="516"/>
    </row>
    <row r="14" spans="1:7">
      <c r="A14" s="502" t="s">
        <v>72</v>
      </c>
      <c r="B14" s="534">
        <v>2230333</v>
      </c>
      <c r="C14" s="534">
        <v>2230333</v>
      </c>
      <c r="D14" s="503"/>
      <c r="E14" s="503"/>
      <c r="F14" s="515">
        <f t="shared" si="0"/>
        <v>0</v>
      </c>
      <c r="G14" s="516"/>
    </row>
    <row r="15" spans="1:7">
      <c r="A15" s="502" t="s">
        <v>73</v>
      </c>
      <c r="B15" s="534">
        <v>113333</v>
      </c>
      <c r="C15" s="534">
        <v>113333</v>
      </c>
      <c r="D15" s="503"/>
      <c r="E15" s="503"/>
      <c r="F15" s="515">
        <f t="shared" si="0"/>
        <v>0</v>
      </c>
      <c r="G15" s="516"/>
    </row>
    <row r="16" spans="1:7">
      <c r="A16" s="502" t="s">
        <v>131</v>
      </c>
      <c r="B16" s="534">
        <v>7361333</v>
      </c>
      <c r="C16" s="534">
        <f>5889066+1047504.6</f>
        <v>6936570.5999999996</v>
      </c>
      <c r="D16" s="503">
        <f>411962-30000+42800</f>
        <v>424762</v>
      </c>
      <c r="E16" s="503"/>
      <c r="F16" s="515">
        <f t="shared" si="0"/>
        <v>0.40000000037252903</v>
      </c>
      <c r="G16" s="516"/>
    </row>
    <row r="17" spans="1:7">
      <c r="A17" s="502" t="s">
        <v>75</v>
      </c>
      <c r="B17" s="534">
        <v>249500</v>
      </c>
      <c r="C17" s="534">
        <v>249500</v>
      </c>
      <c r="D17" s="503"/>
      <c r="E17" s="503"/>
      <c r="F17" s="515">
        <f t="shared" si="0"/>
        <v>0</v>
      </c>
      <c r="G17" s="516"/>
    </row>
    <row r="18" spans="1:7">
      <c r="A18" s="502" t="s">
        <v>76</v>
      </c>
      <c r="B18" s="534">
        <v>108333</v>
      </c>
      <c r="C18" s="534">
        <v>108333</v>
      </c>
      <c r="D18" s="503"/>
      <c r="E18" s="503"/>
      <c r="F18" s="515">
        <f t="shared" si="0"/>
        <v>0</v>
      </c>
      <c r="G18" s="516"/>
    </row>
    <row r="19" spans="1:7">
      <c r="A19" s="502" t="s">
        <v>77</v>
      </c>
      <c r="B19" s="534">
        <v>867000</v>
      </c>
      <c r="C19" s="534">
        <v>867000</v>
      </c>
      <c r="D19" s="503"/>
      <c r="E19" s="503"/>
      <c r="F19" s="515">
        <f t="shared" si="0"/>
        <v>0</v>
      </c>
      <c r="G19" s="516"/>
    </row>
    <row r="20" spans="1:7">
      <c r="A20" s="502" t="s">
        <v>78</v>
      </c>
      <c r="B20" s="534">
        <v>1471833</v>
      </c>
      <c r="C20" s="534">
        <v>1471833</v>
      </c>
      <c r="D20" s="503"/>
      <c r="E20" s="503"/>
      <c r="F20" s="515">
        <f t="shared" si="0"/>
        <v>0</v>
      </c>
      <c r="G20" s="516"/>
    </row>
    <row r="21" spans="1:7">
      <c r="A21" s="502" t="s">
        <v>79</v>
      </c>
      <c r="B21" s="534">
        <v>95833</v>
      </c>
      <c r="C21" s="534">
        <v>95833</v>
      </c>
      <c r="D21" s="503"/>
      <c r="E21" s="503"/>
      <c r="F21" s="515">
        <f t="shared" si="0"/>
        <v>0</v>
      </c>
      <c r="G21" s="516"/>
    </row>
    <row r="22" spans="1:7">
      <c r="A22" s="502" t="s">
        <v>80</v>
      </c>
      <c r="B22" s="534">
        <v>1149167</v>
      </c>
      <c r="C22" s="534">
        <v>1149167</v>
      </c>
      <c r="D22" s="503"/>
      <c r="E22" s="503"/>
      <c r="F22" s="515">
        <f t="shared" si="0"/>
        <v>0</v>
      </c>
      <c r="G22" s="516"/>
    </row>
    <row r="23" spans="1:7">
      <c r="A23" s="502" t="s">
        <v>132</v>
      </c>
      <c r="B23" s="534">
        <v>12245500</v>
      </c>
      <c r="C23" s="534">
        <f>12224030-5085</f>
        <v>12218945</v>
      </c>
      <c r="D23" s="503">
        <f>21470+5085</f>
        <v>26555</v>
      </c>
      <c r="E23" s="503"/>
      <c r="F23" s="515">
        <f t="shared" si="0"/>
        <v>0</v>
      </c>
      <c r="G23" s="516"/>
    </row>
    <row r="24" spans="1:7">
      <c r="A24" s="502" t="s">
        <v>133</v>
      </c>
      <c r="B24" s="534">
        <v>16101333</v>
      </c>
      <c r="C24" s="534">
        <f>12881066.4+32642</f>
        <v>12913708.4</v>
      </c>
      <c r="D24" s="503">
        <f>101135+3227427-140937</f>
        <v>3187625</v>
      </c>
      <c r="E24" s="534"/>
      <c r="F24" s="515">
        <f>B24-C24-D24-E24</f>
        <v>-0.40000000037252903</v>
      </c>
      <c r="G24" s="516"/>
    </row>
    <row r="25" spans="1:7">
      <c r="A25" s="502" t="s">
        <v>83</v>
      </c>
      <c r="B25" s="534">
        <v>1187000</v>
      </c>
      <c r="C25" s="534">
        <v>1187000</v>
      </c>
      <c r="D25" s="503"/>
      <c r="E25" s="503"/>
      <c r="F25" s="515">
        <f t="shared" si="0"/>
        <v>0</v>
      </c>
      <c r="G25" s="516"/>
    </row>
    <row r="26" spans="1:7">
      <c r="A26" s="502" t="s">
        <v>84</v>
      </c>
      <c r="B26" s="534">
        <v>2500</v>
      </c>
      <c r="C26" s="534">
        <v>2500</v>
      </c>
      <c r="D26" s="503"/>
      <c r="E26" s="503"/>
      <c r="F26" s="515">
        <f t="shared" si="0"/>
        <v>0</v>
      </c>
      <c r="G26" s="516"/>
    </row>
    <row r="27" spans="1:7">
      <c r="A27" s="502" t="s">
        <v>85</v>
      </c>
      <c r="B27" s="534">
        <v>405667</v>
      </c>
      <c r="C27" s="534">
        <v>405667</v>
      </c>
      <c r="D27" s="503"/>
      <c r="E27" s="503"/>
      <c r="F27" s="515">
        <f t="shared" si="0"/>
        <v>0</v>
      </c>
      <c r="G27" s="516"/>
    </row>
    <row r="28" spans="1:7">
      <c r="A28" s="502" t="s">
        <v>86</v>
      </c>
      <c r="B28" s="534">
        <v>58000</v>
      </c>
      <c r="C28" s="534">
        <v>58000</v>
      </c>
      <c r="D28" s="503"/>
      <c r="E28" s="503"/>
      <c r="F28" s="515">
        <f t="shared" si="0"/>
        <v>0</v>
      </c>
      <c r="G28" s="516"/>
    </row>
    <row r="29" spans="1:7">
      <c r="A29" s="502" t="s">
        <v>134</v>
      </c>
      <c r="B29" s="534">
        <v>844333</v>
      </c>
      <c r="C29" s="534">
        <v>844333</v>
      </c>
      <c r="D29" s="503"/>
      <c r="E29" s="503"/>
      <c r="F29" s="515">
        <f t="shared" si="0"/>
        <v>0</v>
      </c>
      <c r="G29" s="516"/>
    </row>
    <row r="30" spans="1:7">
      <c r="A30" s="502" t="s">
        <v>88</v>
      </c>
      <c r="B30" s="534">
        <v>1083667</v>
      </c>
      <c r="C30" s="534"/>
      <c r="D30" s="503"/>
      <c r="E30" s="503"/>
      <c r="F30" s="515">
        <f t="shared" si="0"/>
        <v>1083667</v>
      </c>
      <c r="G30" s="516"/>
    </row>
    <row r="31" spans="1:7">
      <c r="A31" s="502" t="s">
        <v>89</v>
      </c>
      <c r="B31" s="534">
        <v>9445500</v>
      </c>
      <c r="C31" s="534">
        <f>9445500</f>
        <v>9445500</v>
      </c>
      <c r="D31" s="503"/>
      <c r="E31" s="503"/>
      <c r="F31" s="515">
        <f t="shared" si="0"/>
        <v>0</v>
      </c>
      <c r="G31" s="516"/>
    </row>
    <row r="32" spans="1:7">
      <c r="A32" s="502" t="s">
        <v>135</v>
      </c>
      <c r="B32" s="534">
        <f>24395167</f>
        <v>24395167</v>
      </c>
      <c r="C32" s="534">
        <f>7541533+16201620+431798+220216</f>
        <v>24395167</v>
      </c>
      <c r="D32" s="503"/>
      <c r="E32" s="503"/>
      <c r="F32" s="515">
        <f t="shared" si="0"/>
        <v>0</v>
      </c>
      <c r="G32" s="516"/>
    </row>
    <row r="33" spans="1:7">
      <c r="A33" s="502" t="s">
        <v>91</v>
      </c>
      <c r="B33" s="534">
        <v>481333</v>
      </c>
      <c r="C33" s="534">
        <v>481333</v>
      </c>
      <c r="D33" s="503"/>
      <c r="E33" s="503"/>
      <c r="F33" s="515">
        <f t="shared" si="0"/>
        <v>0</v>
      </c>
      <c r="G33" s="516"/>
    </row>
    <row r="34" spans="1:7">
      <c r="A34" s="502" t="s">
        <v>93</v>
      </c>
      <c r="B34" s="534">
        <v>126000</v>
      </c>
      <c r="C34" s="534">
        <v>126000</v>
      </c>
      <c r="D34" s="503"/>
      <c r="E34" s="503"/>
      <c r="F34" s="515">
        <f t="shared" si="0"/>
        <v>0</v>
      </c>
      <c r="G34" s="516"/>
    </row>
    <row r="35" spans="1:7">
      <c r="A35" s="502" t="s">
        <v>94</v>
      </c>
      <c r="B35" s="534">
        <v>17667</v>
      </c>
      <c r="C35" s="534">
        <v>17667</v>
      </c>
      <c r="D35" s="503"/>
      <c r="E35" s="503"/>
      <c r="F35" s="515">
        <f t="shared" si="0"/>
        <v>0</v>
      </c>
      <c r="G35" s="516"/>
    </row>
    <row r="36" spans="1:7">
      <c r="A36" s="502" t="s">
        <v>95</v>
      </c>
      <c r="B36" s="534">
        <v>181500</v>
      </c>
      <c r="C36" s="534">
        <f>133448+48051.68</f>
        <v>181499.68</v>
      </c>
      <c r="D36" s="503"/>
      <c r="E36" s="503"/>
      <c r="F36" s="515">
        <f t="shared" si="0"/>
        <v>0.32000000000698492</v>
      </c>
      <c r="G36" s="516"/>
    </row>
    <row r="37" spans="1:7">
      <c r="A37" s="502" t="s">
        <v>96</v>
      </c>
      <c r="B37" s="534">
        <v>161333</v>
      </c>
      <c r="C37" s="534">
        <v>161333</v>
      </c>
      <c r="D37" s="503"/>
      <c r="E37" s="503"/>
      <c r="F37" s="515">
        <f t="shared" si="0"/>
        <v>0</v>
      </c>
      <c r="G37" s="516"/>
    </row>
    <row r="38" spans="1:7">
      <c r="A38" s="502" t="s">
        <v>97</v>
      </c>
      <c r="B38" s="534">
        <v>40333</v>
      </c>
      <c r="C38" s="534"/>
      <c r="D38" s="503"/>
      <c r="E38" s="503"/>
      <c r="F38" s="515">
        <f t="shared" si="0"/>
        <v>40333</v>
      </c>
      <c r="G38" s="516"/>
    </row>
    <row r="39" spans="1:7">
      <c r="A39" s="502" t="s">
        <v>98</v>
      </c>
      <c r="B39" s="534">
        <v>25167</v>
      </c>
      <c r="C39" s="534">
        <v>25167</v>
      </c>
      <c r="D39" s="503"/>
      <c r="E39" s="503"/>
      <c r="F39" s="515">
        <f t="shared" si="0"/>
        <v>0</v>
      </c>
      <c r="G39" s="516"/>
    </row>
    <row r="40" spans="1:7">
      <c r="A40" s="502" t="s">
        <v>99</v>
      </c>
      <c r="B40" s="534">
        <v>3734833</v>
      </c>
      <c r="C40" s="534">
        <v>3734833</v>
      </c>
      <c r="D40" s="503"/>
      <c r="E40" s="503"/>
      <c r="F40" s="515">
        <f t="shared" si="0"/>
        <v>0</v>
      </c>
      <c r="G40" s="516"/>
    </row>
    <row r="41" spans="1:7">
      <c r="A41" s="502" t="s">
        <v>100</v>
      </c>
      <c r="B41" s="534">
        <v>675333</v>
      </c>
      <c r="C41" s="534">
        <v>675333</v>
      </c>
      <c r="D41" s="503"/>
      <c r="E41" s="503"/>
      <c r="F41" s="515">
        <f t="shared" si="0"/>
        <v>0</v>
      </c>
      <c r="G41" s="516"/>
    </row>
    <row r="42" spans="1:7">
      <c r="A42" s="502" t="s">
        <v>101</v>
      </c>
      <c r="B42" s="534">
        <v>2139667</v>
      </c>
      <c r="C42" s="534">
        <v>2139667</v>
      </c>
      <c r="D42" s="503"/>
      <c r="E42" s="503"/>
      <c r="F42" s="515">
        <f t="shared" si="0"/>
        <v>0</v>
      </c>
      <c r="G42" s="516"/>
    </row>
    <row r="43" spans="1:7">
      <c r="A43" s="502" t="s">
        <v>103</v>
      </c>
      <c r="B43" s="534">
        <v>2119500</v>
      </c>
      <c r="C43" s="534">
        <v>2119500</v>
      </c>
      <c r="D43" s="503"/>
      <c r="E43" s="503"/>
      <c r="F43" s="515">
        <f t="shared" si="0"/>
        <v>0</v>
      </c>
      <c r="G43" s="516"/>
    </row>
    <row r="44" spans="1:7">
      <c r="A44" s="502" t="s">
        <v>104</v>
      </c>
      <c r="B44" s="534">
        <v>987833</v>
      </c>
      <c r="C44" s="534">
        <v>987833</v>
      </c>
      <c r="D44" s="503"/>
      <c r="E44" s="503"/>
      <c r="F44" s="515">
        <f t="shared" si="0"/>
        <v>0</v>
      </c>
      <c r="G44" s="516"/>
    </row>
    <row r="45" spans="1:7">
      <c r="A45" s="502" t="s">
        <v>105</v>
      </c>
      <c r="B45" s="534">
        <v>463667</v>
      </c>
      <c r="C45" s="534">
        <v>463667</v>
      </c>
      <c r="D45" s="503"/>
      <c r="E45" s="503"/>
      <c r="F45" s="515">
        <f t="shared" si="0"/>
        <v>0</v>
      </c>
      <c r="G45" s="516"/>
    </row>
    <row r="46" spans="1:7">
      <c r="A46" s="502" t="s">
        <v>106</v>
      </c>
      <c r="B46" s="534">
        <v>7782333</v>
      </c>
      <c r="C46" s="534">
        <v>7782333</v>
      </c>
      <c r="D46" s="503"/>
      <c r="E46" s="503"/>
      <c r="F46" s="515">
        <f t="shared" si="0"/>
        <v>0</v>
      </c>
      <c r="G46" s="516"/>
    </row>
    <row r="47" spans="1:7">
      <c r="A47" s="502" t="s">
        <v>107</v>
      </c>
      <c r="B47" s="534">
        <v>7500</v>
      </c>
      <c r="C47" s="534">
        <v>7500</v>
      </c>
      <c r="D47" s="503"/>
      <c r="E47" s="503"/>
      <c r="F47" s="515">
        <f t="shared" si="0"/>
        <v>0</v>
      </c>
      <c r="G47" s="516"/>
    </row>
    <row r="48" spans="1:7">
      <c r="A48" s="502" t="s">
        <v>109</v>
      </c>
      <c r="B48" s="534">
        <v>403167</v>
      </c>
      <c r="C48" s="534">
        <v>403167</v>
      </c>
      <c r="D48" s="503"/>
      <c r="E48" s="503"/>
      <c r="F48" s="515">
        <f t="shared" si="0"/>
        <v>0</v>
      </c>
      <c r="G48" s="516"/>
    </row>
    <row r="49" spans="1:7">
      <c r="A49" s="502" t="s">
        <v>110</v>
      </c>
      <c r="B49" s="534">
        <v>211667</v>
      </c>
      <c r="C49" s="534">
        <v>211667</v>
      </c>
      <c r="D49" s="503"/>
      <c r="E49" s="503"/>
      <c r="F49" s="515">
        <f t="shared" si="0"/>
        <v>0</v>
      </c>
      <c r="G49" s="516"/>
    </row>
    <row r="50" spans="1:7">
      <c r="A50" s="502" t="s">
        <v>112</v>
      </c>
      <c r="B50" s="534">
        <v>6156833</v>
      </c>
      <c r="C50" s="534">
        <v>6156833</v>
      </c>
      <c r="D50" s="503"/>
      <c r="E50" s="503"/>
      <c r="F50" s="515">
        <f t="shared" si="0"/>
        <v>0</v>
      </c>
      <c r="G50" s="516"/>
    </row>
    <row r="51" spans="1:7">
      <c r="A51" s="502" t="s">
        <v>136</v>
      </c>
      <c r="B51" s="534">
        <v>2409333</v>
      </c>
      <c r="C51" s="534">
        <v>2409333</v>
      </c>
      <c r="D51" s="503"/>
      <c r="E51" s="503"/>
      <c r="F51" s="515">
        <f t="shared" si="0"/>
        <v>0</v>
      </c>
      <c r="G51" s="516"/>
    </row>
    <row r="52" spans="1:7">
      <c r="A52" s="502" t="s">
        <v>114</v>
      </c>
      <c r="B52" s="503">
        <v>2873000</v>
      </c>
      <c r="C52" s="534">
        <v>2873000</v>
      </c>
      <c r="D52" s="503"/>
      <c r="E52" s="503"/>
      <c r="F52" s="515">
        <f t="shared" si="0"/>
        <v>0</v>
      </c>
      <c r="G52" s="516"/>
    </row>
    <row r="53" spans="1:7" ht="18" customHeight="1">
      <c r="A53" s="502" t="s">
        <v>115</v>
      </c>
      <c r="B53" s="503">
        <v>10000</v>
      </c>
      <c r="C53" s="534"/>
      <c r="D53" s="503"/>
      <c r="E53" s="503"/>
      <c r="F53" s="515">
        <f t="shared" si="0"/>
        <v>10000</v>
      </c>
      <c r="G53" s="516"/>
    </row>
    <row r="54" spans="1:7">
      <c r="A54" s="502" t="s">
        <v>117</v>
      </c>
      <c r="B54" s="503">
        <v>259500</v>
      </c>
      <c r="C54" s="534"/>
      <c r="D54" s="503"/>
      <c r="E54" s="503"/>
      <c r="F54" s="515">
        <f t="shared" si="0"/>
        <v>259500</v>
      </c>
      <c r="G54" s="516"/>
    </row>
    <row r="55" spans="1:7">
      <c r="A55" s="502" t="s">
        <v>119</v>
      </c>
      <c r="B55" s="534">
        <v>11247500</v>
      </c>
      <c r="C55" s="534">
        <v>11247500</v>
      </c>
      <c r="D55" s="503"/>
      <c r="E55" s="534"/>
      <c r="F55" s="515">
        <f t="shared" si="0"/>
        <v>0</v>
      </c>
      <c r="G55" s="516"/>
    </row>
    <row r="56" spans="1:7">
      <c r="A56" s="502" t="s">
        <v>120</v>
      </c>
      <c r="B56" s="534">
        <f>36666667-13244-798042-375490</f>
        <v>35479891</v>
      </c>
      <c r="C56" s="534">
        <f>608076+156099+24950000+728743+8326000+4650000+26000000+488779+4800000-34054274-798042-375490</f>
        <v>35479891</v>
      </c>
      <c r="D56" s="503"/>
      <c r="E56" s="503"/>
      <c r="F56" s="515">
        <f t="shared" si="0"/>
        <v>0</v>
      </c>
      <c r="G56" s="516"/>
    </row>
    <row r="57" spans="1:7">
      <c r="A57" s="502" t="s">
        <v>121</v>
      </c>
      <c r="B57" s="534">
        <v>58000</v>
      </c>
      <c r="C57" s="534">
        <v>58000</v>
      </c>
      <c r="D57" s="503"/>
      <c r="E57" s="503"/>
      <c r="F57" s="515">
        <f t="shared" si="0"/>
        <v>0</v>
      </c>
      <c r="G57" s="516"/>
    </row>
    <row r="58" spans="1:7" ht="15" thickBot="1">
      <c r="A58" s="536" t="s">
        <v>124</v>
      </c>
      <c r="B58" s="537">
        <f>SUM(B9:B57)</f>
        <v>165479890</v>
      </c>
      <c r="C58" s="537">
        <f>SUM(C9:C57)</f>
        <v>159875016.68000001</v>
      </c>
      <c r="D58" s="537">
        <f>SUM(D9:D57)</f>
        <v>4060206</v>
      </c>
      <c r="E58" s="537">
        <f>SUM(E9:E57)</f>
        <v>0</v>
      </c>
      <c r="F58" s="538">
        <f>SUM(F9:F57)</f>
        <v>1544667.32</v>
      </c>
      <c r="G58" s="516"/>
    </row>
    <row r="59" spans="1:7" ht="15" thickBot="1">
      <c r="A59" s="539" t="s">
        <v>137</v>
      </c>
      <c r="B59" s="525">
        <f>811286+375490</f>
        <v>1186776</v>
      </c>
      <c r="C59" s="525"/>
      <c r="D59" s="525"/>
      <c r="E59" s="525"/>
      <c r="F59" s="515">
        <f t="shared" si="0"/>
        <v>1186776</v>
      </c>
      <c r="G59" s="516"/>
    </row>
    <row r="60" spans="1:7" ht="15" thickBot="1">
      <c r="A60" s="523" t="s">
        <v>138</v>
      </c>
      <c r="B60" s="541">
        <f>B58+B59</f>
        <v>166666666</v>
      </c>
      <c r="C60" s="541">
        <f t="shared" ref="C60:F60" si="1">C58+C59</f>
        <v>159875016.68000001</v>
      </c>
      <c r="D60" s="541">
        <f t="shared" si="1"/>
        <v>4060206</v>
      </c>
      <c r="E60" s="541">
        <f t="shared" si="1"/>
        <v>0</v>
      </c>
      <c r="F60" s="542">
        <f t="shared" si="1"/>
        <v>2731443.3200000003</v>
      </c>
      <c r="G60" s="516"/>
    </row>
    <row r="61" spans="1:7">
      <c r="A61" s="546" t="s">
        <v>255</v>
      </c>
      <c r="B61" s="525"/>
      <c r="C61" s="525"/>
      <c r="D61" s="525"/>
      <c r="E61" s="525"/>
      <c r="F61" s="525"/>
      <c r="G61" s="516"/>
    </row>
    <row r="62" spans="1:7" ht="15" thickBot="1">
      <c r="A62" s="546"/>
      <c r="B62" s="525"/>
      <c r="C62" s="525"/>
      <c r="D62" s="525"/>
      <c r="E62" s="525"/>
      <c r="F62" s="525"/>
      <c r="G62" s="516"/>
    </row>
    <row r="63" spans="1:7" ht="15" thickBot="1">
      <c r="A63" s="526" t="s">
        <v>139</v>
      </c>
      <c r="B63" s="527">
        <f>B12+B13+B15+B19+B21+B27+B33+B36+B43+B46+B48+B49+B53+B54+B57</f>
        <v>13281167</v>
      </c>
      <c r="C63" s="527">
        <f>C12+C13+C15+C19+C21+C26+C34+C36+C43+C46+C48+C49+C53+C54+C57</f>
        <v>12101999.68</v>
      </c>
      <c r="D63" s="527">
        <f>D12+D13+D15+D19+D21+D26+D34+D36+D43+D46+D48+D49+D53+D54+D57</f>
        <v>0</v>
      </c>
      <c r="E63" s="527">
        <f>E12+E13+E15+E19+E21+E26+E34+E36+E43+E46+E48+E49+E53+E54+E57</f>
        <v>0</v>
      </c>
      <c r="F63" s="528">
        <f>B63-C63-D63-E63</f>
        <v>1179167.3200000003</v>
      </c>
      <c r="G63" s="516"/>
    </row>
    <row r="64" spans="1:7">
      <c r="A64" s="516"/>
      <c r="B64" s="516"/>
      <c r="C64" s="516"/>
      <c r="D64" s="516"/>
      <c r="E64" s="516"/>
      <c r="F64" s="516"/>
      <c r="G64" s="516"/>
    </row>
    <row r="65" spans="1:7">
      <c r="A65" s="516"/>
      <c r="B65" s="516"/>
      <c r="C65" s="516"/>
      <c r="D65" s="516"/>
      <c r="E65" s="516"/>
      <c r="F65" s="516"/>
      <c r="G65" s="516"/>
    </row>
    <row r="66" spans="1:7">
      <c r="A66" s="516"/>
      <c r="B66" s="516"/>
      <c r="C66" s="516"/>
      <c r="D66" s="516"/>
      <c r="E66" s="516"/>
      <c r="F66" s="516"/>
      <c r="G66" s="516"/>
    </row>
  </sheetData>
  <mergeCells count="4">
    <mergeCell ref="A5:F5"/>
    <mergeCell ref="A6:F6"/>
    <mergeCell ref="A7:F7"/>
    <mergeCell ref="E1:F1"/>
  </mergeCells>
  <printOptions horizontalCentered="1"/>
  <pageMargins left="0.11811023622047245" right="0.11811023622047245" top="0.27559055118110237" bottom="0.19685039370078741" header="0.27559055118110237" footer="0.11811023622047245"/>
  <pageSetup scale="77"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C0A94-5DB0-4049-8DDD-FB25DD77636F}">
  <sheetPr>
    <pageSetUpPr fitToPage="1"/>
  </sheetPr>
  <dimension ref="A1:G66"/>
  <sheetViews>
    <sheetView workbookViewId="0">
      <selection activeCell="H20" sqref="H20"/>
    </sheetView>
  </sheetViews>
  <sheetFormatPr defaultRowHeight="14.5"/>
  <cols>
    <col min="1" max="1" width="30.7265625" customWidth="1"/>
    <col min="2" max="6" width="20.7265625" customWidth="1"/>
  </cols>
  <sheetData>
    <row r="1" spans="1:7" ht="18">
      <c r="A1" s="63" t="str">
        <f>Status!C1</f>
        <v>UNEP/OzL.Pro/ExCom/94/3</v>
      </c>
      <c r="B1" s="64"/>
      <c r="C1" s="62"/>
      <c r="D1" s="62"/>
      <c r="E1" s="63"/>
      <c r="F1" s="64"/>
    </row>
    <row r="2" spans="1:7" ht="18">
      <c r="A2" s="492" t="s">
        <v>0</v>
      </c>
      <c r="C2" s="62"/>
      <c r="D2" s="62"/>
      <c r="E2" s="63"/>
      <c r="F2" s="64"/>
    </row>
    <row r="3" spans="1:7" ht="18">
      <c r="A3" s="492" t="s">
        <v>147</v>
      </c>
      <c r="C3" s="62"/>
      <c r="D3" s="62"/>
      <c r="E3" s="64"/>
      <c r="F3" s="64"/>
    </row>
    <row r="4" spans="1:7" ht="15.5">
      <c r="A4" s="1"/>
      <c r="B4" s="62"/>
      <c r="C4" s="62"/>
      <c r="D4" s="62"/>
      <c r="E4" s="62"/>
      <c r="F4" s="62"/>
    </row>
    <row r="5" spans="1:7" ht="16">
      <c r="A5" s="735" t="s">
        <v>2</v>
      </c>
      <c r="B5" s="735"/>
      <c r="C5" s="735"/>
      <c r="D5" s="735"/>
      <c r="E5" s="735"/>
      <c r="F5" s="735"/>
    </row>
    <row r="6" spans="1:7" ht="15.5">
      <c r="A6" s="729" t="s">
        <v>280</v>
      </c>
      <c r="B6" s="729"/>
      <c r="C6" s="729"/>
      <c r="D6" s="729"/>
      <c r="E6" s="729"/>
      <c r="F6" s="729"/>
    </row>
    <row r="7" spans="1:7" ht="16.5" thickBot="1">
      <c r="A7" s="740" t="str">
        <f>Status!A6</f>
        <v>As at 24/05/2024</v>
      </c>
      <c r="B7" s="740"/>
      <c r="C7" s="740"/>
      <c r="D7" s="740"/>
      <c r="E7" s="740"/>
      <c r="F7" s="740"/>
    </row>
    <row r="8" spans="1:7" ht="30.75" customHeight="1" thickBot="1">
      <c r="A8" s="68" t="s">
        <v>60</v>
      </c>
      <c r="B8" s="69" t="s">
        <v>61</v>
      </c>
      <c r="C8" s="69" t="s">
        <v>62</v>
      </c>
      <c r="D8" s="629" t="s">
        <v>63</v>
      </c>
      <c r="E8" s="69" t="s">
        <v>64</v>
      </c>
      <c r="F8" s="70" t="s">
        <v>65</v>
      </c>
    </row>
    <row r="9" spans="1:7">
      <c r="A9" s="501" t="s">
        <v>67</v>
      </c>
      <c r="B9" s="623">
        <v>15167</v>
      </c>
      <c r="C9" s="623">
        <v>15167</v>
      </c>
      <c r="D9" s="620"/>
      <c r="E9" s="620"/>
      <c r="F9" s="618">
        <f t="shared" ref="F9:F59" si="0">B9-C9-D9-E9</f>
        <v>0</v>
      </c>
      <c r="G9" s="516"/>
    </row>
    <row r="10" spans="1:7">
      <c r="A10" s="506" t="s">
        <v>130</v>
      </c>
      <c r="B10" s="534">
        <v>5889667</v>
      </c>
      <c r="C10" s="534">
        <v>5889667</v>
      </c>
      <c r="D10" s="503"/>
      <c r="E10" s="503"/>
      <c r="F10" s="515">
        <f t="shared" si="0"/>
        <v>0</v>
      </c>
      <c r="G10" s="516"/>
    </row>
    <row r="11" spans="1:7">
      <c r="A11" s="506" t="s">
        <v>69</v>
      </c>
      <c r="B11" s="534">
        <v>1814500</v>
      </c>
      <c r="C11" s="534">
        <v>1814500</v>
      </c>
      <c r="D11" s="503"/>
      <c r="E11" s="503"/>
      <c r="F11" s="515">
        <f t="shared" si="0"/>
        <v>0</v>
      </c>
      <c r="G11" s="516"/>
    </row>
    <row r="12" spans="1:7">
      <c r="A12" s="517" t="s">
        <v>70</v>
      </c>
      <c r="B12" s="534">
        <v>151167</v>
      </c>
      <c r="C12" s="534"/>
      <c r="D12" s="503"/>
      <c r="E12" s="503"/>
      <c r="F12" s="515">
        <f t="shared" si="0"/>
        <v>151167</v>
      </c>
      <c r="G12" s="516"/>
    </row>
    <row r="13" spans="1:7">
      <c r="A13" s="506" t="s">
        <v>71</v>
      </c>
      <c r="B13" s="534">
        <v>141167</v>
      </c>
      <c r="C13" s="534">
        <v>141167</v>
      </c>
      <c r="D13" s="503"/>
      <c r="E13" s="503"/>
      <c r="F13" s="515">
        <f t="shared" si="0"/>
        <v>0</v>
      </c>
      <c r="G13" s="516"/>
    </row>
    <row r="14" spans="1:7">
      <c r="A14" s="506" t="s">
        <v>72</v>
      </c>
      <c r="B14" s="534">
        <v>2230333</v>
      </c>
      <c r="C14" s="534">
        <v>2230333</v>
      </c>
      <c r="D14" s="503"/>
      <c r="E14" s="503"/>
      <c r="F14" s="515">
        <f t="shared" si="0"/>
        <v>0</v>
      </c>
      <c r="G14" s="516"/>
    </row>
    <row r="15" spans="1:7">
      <c r="A15" s="506" t="s">
        <v>73</v>
      </c>
      <c r="B15" s="534">
        <v>113333</v>
      </c>
      <c r="C15" s="534">
        <v>113333</v>
      </c>
      <c r="D15" s="503"/>
      <c r="E15" s="503"/>
      <c r="F15" s="515">
        <f t="shared" si="0"/>
        <v>0</v>
      </c>
      <c r="G15" s="516"/>
    </row>
    <row r="16" spans="1:7">
      <c r="A16" s="506" t="s">
        <v>131</v>
      </c>
      <c r="B16" s="534">
        <v>7361333</v>
      </c>
      <c r="C16" s="534">
        <f>5889066+1142267</f>
        <v>7031333</v>
      </c>
      <c r="D16" s="503">
        <f>300000+30000</f>
        <v>330000</v>
      </c>
      <c r="E16" s="503"/>
      <c r="F16" s="515">
        <f t="shared" si="0"/>
        <v>0</v>
      </c>
      <c r="G16" s="516"/>
    </row>
    <row r="17" spans="1:7">
      <c r="A17" s="506" t="s">
        <v>75</v>
      </c>
      <c r="B17" s="534">
        <v>249500</v>
      </c>
      <c r="C17" s="534">
        <v>249500</v>
      </c>
      <c r="D17" s="503"/>
      <c r="E17" s="503"/>
      <c r="F17" s="515">
        <f t="shared" si="0"/>
        <v>0</v>
      </c>
      <c r="G17" s="516"/>
    </row>
    <row r="18" spans="1:7">
      <c r="A18" s="506" t="s">
        <v>76</v>
      </c>
      <c r="B18" s="534">
        <v>108333</v>
      </c>
      <c r="C18" s="534">
        <v>108333</v>
      </c>
      <c r="D18" s="503"/>
      <c r="E18" s="503"/>
      <c r="F18" s="515">
        <f t="shared" si="0"/>
        <v>0</v>
      </c>
      <c r="G18" s="516"/>
    </row>
    <row r="19" spans="1:7">
      <c r="A19" s="506" t="s">
        <v>77</v>
      </c>
      <c r="B19" s="534">
        <v>867000</v>
      </c>
      <c r="C19" s="534">
        <v>867000</v>
      </c>
      <c r="D19" s="503"/>
      <c r="E19" s="503"/>
      <c r="F19" s="515">
        <f t="shared" si="0"/>
        <v>0</v>
      </c>
      <c r="G19" s="516"/>
    </row>
    <row r="20" spans="1:7">
      <c r="A20" s="506" t="s">
        <v>78</v>
      </c>
      <c r="B20" s="534">
        <v>1471833</v>
      </c>
      <c r="C20" s="534">
        <v>1471833</v>
      </c>
      <c r="D20" s="503"/>
      <c r="E20" s="503"/>
      <c r="F20" s="515">
        <f t="shared" si="0"/>
        <v>0</v>
      </c>
      <c r="G20" s="516"/>
    </row>
    <row r="21" spans="1:7">
      <c r="A21" s="506" t="s">
        <v>79</v>
      </c>
      <c r="B21" s="534">
        <v>95833</v>
      </c>
      <c r="C21" s="534">
        <v>95833</v>
      </c>
      <c r="D21" s="503"/>
      <c r="E21" s="503"/>
      <c r="F21" s="515">
        <f t="shared" si="0"/>
        <v>0</v>
      </c>
      <c r="G21" s="516"/>
    </row>
    <row r="22" spans="1:7">
      <c r="A22" s="506" t="s">
        <v>80</v>
      </c>
      <c r="B22" s="534">
        <v>1149167</v>
      </c>
      <c r="C22" s="534">
        <v>1149167</v>
      </c>
      <c r="D22" s="503"/>
      <c r="E22" s="503"/>
      <c r="F22" s="515">
        <f t="shared" si="0"/>
        <v>0</v>
      </c>
      <c r="G22" s="516"/>
    </row>
    <row r="23" spans="1:7">
      <c r="A23" s="506" t="s">
        <v>132</v>
      </c>
      <c r="B23" s="534">
        <v>12245500</v>
      </c>
      <c r="C23" s="534">
        <f>113000+12132500</f>
        <v>12245500</v>
      </c>
      <c r="D23" s="503"/>
      <c r="E23" s="503"/>
      <c r="F23" s="515">
        <f t="shared" si="0"/>
        <v>0</v>
      </c>
      <c r="G23" s="516"/>
    </row>
    <row r="24" spans="1:7">
      <c r="A24" s="506" t="s">
        <v>133</v>
      </c>
      <c r="B24" s="534">
        <v>16101333</v>
      </c>
      <c r="C24" s="534">
        <f>304950+6440533+6440533+1819891</f>
        <v>15005907</v>
      </c>
      <c r="D24" s="503">
        <f>1852533.4+1367733.6-1819891</f>
        <v>1400376</v>
      </c>
      <c r="E24" s="534"/>
      <c r="F24" s="515">
        <f>B24-C24-D24-E24</f>
        <v>-304950</v>
      </c>
      <c r="G24" s="516"/>
    </row>
    <row r="25" spans="1:7">
      <c r="A25" s="506" t="s">
        <v>83</v>
      </c>
      <c r="B25" s="534">
        <v>1187000</v>
      </c>
      <c r="C25" s="534">
        <v>1187000</v>
      </c>
      <c r="D25" s="503"/>
      <c r="E25" s="503"/>
      <c r="F25" s="515">
        <f t="shared" si="0"/>
        <v>0</v>
      </c>
      <c r="G25" s="516"/>
    </row>
    <row r="26" spans="1:7">
      <c r="A26" s="506" t="s">
        <v>84</v>
      </c>
      <c r="B26" s="534">
        <v>2500</v>
      </c>
      <c r="C26" s="534">
        <v>2500</v>
      </c>
      <c r="D26" s="503"/>
      <c r="E26" s="503"/>
      <c r="F26" s="515">
        <f t="shared" si="0"/>
        <v>0</v>
      </c>
      <c r="G26" s="516"/>
    </row>
    <row r="27" spans="1:7">
      <c r="A27" s="506" t="s">
        <v>85</v>
      </c>
      <c r="B27" s="534">
        <v>405667</v>
      </c>
      <c r="C27" s="534">
        <v>405667</v>
      </c>
      <c r="D27" s="503"/>
      <c r="E27" s="503"/>
      <c r="F27" s="515">
        <f t="shared" si="0"/>
        <v>0</v>
      </c>
      <c r="G27" s="516"/>
    </row>
    <row r="28" spans="1:7">
      <c r="A28" s="506" t="s">
        <v>86</v>
      </c>
      <c r="B28" s="534">
        <v>58000</v>
      </c>
      <c r="C28" s="534">
        <v>58000</v>
      </c>
      <c r="D28" s="503"/>
      <c r="E28" s="503"/>
      <c r="F28" s="515">
        <f t="shared" si="0"/>
        <v>0</v>
      </c>
      <c r="G28" s="516"/>
    </row>
    <row r="29" spans="1:7">
      <c r="A29" s="506" t="s">
        <v>134</v>
      </c>
      <c r="B29" s="534">
        <v>844333</v>
      </c>
      <c r="C29" s="534">
        <v>844333</v>
      </c>
      <c r="D29" s="503"/>
      <c r="E29" s="503"/>
      <c r="F29" s="515">
        <f t="shared" si="0"/>
        <v>0</v>
      </c>
      <c r="G29" s="516"/>
    </row>
    <row r="30" spans="1:7">
      <c r="A30" s="506" t="s">
        <v>88</v>
      </c>
      <c r="B30" s="534">
        <v>1083667</v>
      </c>
      <c r="C30" s="534"/>
      <c r="D30" s="503"/>
      <c r="E30" s="503"/>
      <c r="F30" s="515">
        <f t="shared" si="0"/>
        <v>1083667</v>
      </c>
      <c r="G30" s="516"/>
    </row>
    <row r="31" spans="1:7">
      <c r="A31" s="506" t="s">
        <v>89</v>
      </c>
      <c r="B31" s="534">
        <v>9445500</v>
      </c>
      <c r="C31" s="534">
        <f>2982199.75+6463300.25-565000</f>
        <v>8880500</v>
      </c>
      <c r="D31" s="503">
        <v>565000</v>
      </c>
      <c r="E31" s="503"/>
      <c r="F31" s="515">
        <f t="shared" si="0"/>
        <v>0</v>
      </c>
      <c r="G31" s="516"/>
    </row>
    <row r="32" spans="1:7">
      <c r="A32" s="506" t="s">
        <v>135</v>
      </c>
      <c r="B32" s="534">
        <f>24395167</f>
        <v>24395167</v>
      </c>
      <c r="C32" s="534">
        <f>7450853+220216+16292300+431798-185297</f>
        <v>24209870</v>
      </c>
      <c r="D32" s="503">
        <v>185297</v>
      </c>
      <c r="E32" s="503"/>
      <c r="F32" s="515">
        <f>B32-C32-D32-E32</f>
        <v>0</v>
      </c>
      <c r="G32" s="516"/>
    </row>
    <row r="33" spans="1:7">
      <c r="A33" s="506" t="s">
        <v>91</v>
      </c>
      <c r="B33" s="534">
        <v>481333</v>
      </c>
      <c r="C33" s="534">
        <v>481333</v>
      </c>
      <c r="D33" s="503"/>
      <c r="E33" s="503"/>
      <c r="F33" s="515">
        <f t="shared" si="0"/>
        <v>0</v>
      </c>
      <c r="G33" s="516"/>
    </row>
    <row r="34" spans="1:7">
      <c r="A34" s="506" t="s">
        <v>93</v>
      </c>
      <c r="B34" s="534">
        <v>126000</v>
      </c>
      <c r="C34" s="534">
        <v>126000</v>
      </c>
      <c r="D34" s="503"/>
      <c r="E34" s="503"/>
      <c r="F34" s="515">
        <f t="shared" si="0"/>
        <v>0</v>
      </c>
      <c r="G34" s="516"/>
    </row>
    <row r="35" spans="1:7">
      <c r="A35" s="506" t="s">
        <v>94</v>
      </c>
      <c r="B35" s="534">
        <v>17667</v>
      </c>
      <c r="C35" s="534">
        <v>17667</v>
      </c>
      <c r="D35" s="503"/>
      <c r="E35" s="503"/>
      <c r="F35" s="515">
        <f t="shared" si="0"/>
        <v>0</v>
      </c>
      <c r="G35" s="516"/>
    </row>
    <row r="36" spans="1:7">
      <c r="A36" s="506" t="s">
        <v>95</v>
      </c>
      <c r="B36" s="534">
        <v>181500</v>
      </c>
      <c r="C36" s="534">
        <f>64855.24+116644.76</f>
        <v>181500</v>
      </c>
      <c r="D36" s="503"/>
      <c r="E36" s="503"/>
      <c r="F36" s="515">
        <f t="shared" si="0"/>
        <v>0</v>
      </c>
      <c r="G36" s="516"/>
    </row>
    <row r="37" spans="1:7">
      <c r="A37" s="506" t="s">
        <v>96</v>
      </c>
      <c r="B37" s="534">
        <v>161333</v>
      </c>
      <c r="C37" s="534">
        <v>161333</v>
      </c>
      <c r="D37" s="503"/>
      <c r="E37" s="503"/>
      <c r="F37" s="515">
        <f t="shared" si="0"/>
        <v>0</v>
      </c>
      <c r="G37" s="516"/>
    </row>
    <row r="38" spans="1:7">
      <c r="A38" s="506" t="s">
        <v>97</v>
      </c>
      <c r="B38" s="534">
        <v>40333</v>
      </c>
      <c r="C38" s="534"/>
      <c r="D38" s="503"/>
      <c r="E38" s="503"/>
      <c r="F38" s="515">
        <f t="shared" si="0"/>
        <v>40333</v>
      </c>
      <c r="G38" s="516"/>
    </row>
    <row r="39" spans="1:7">
      <c r="A39" s="506" t="s">
        <v>98</v>
      </c>
      <c r="B39" s="534">
        <v>25167</v>
      </c>
      <c r="C39" s="534">
        <v>25167</v>
      </c>
      <c r="D39" s="503"/>
      <c r="E39" s="503"/>
      <c r="F39" s="515">
        <f t="shared" si="0"/>
        <v>0</v>
      </c>
      <c r="G39" s="516"/>
    </row>
    <row r="40" spans="1:7">
      <c r="A40" s="506" t="s">
        <v>99</v>
      </c>
      <c r="B40" s="534">
        <v>3734833</v>
      </c>
      <c r="C40" s="534">
        <v>3734833</v>
      </c>
      <c r="D40" s="503"/>
      <c r="E40" s="503"/>
      <c r="F40" s="515">
        <f t="shared" si="0"/>
        <v>0</v>
      </c>
      <c r="G40" s="516"/>
    </row>
    <row r="41" spans="1:7">
      <c r="A41" s="506" t="s">
        <v>100</v>
      </c>
      <c r="B41" s="534">
        <v>675333</v>
      </c>
      <c r="C41" s="534">
        <v>675333</v>
      </c>
      <c r="D41" s="503"/>
      <c r="E41" s="503"/>
      <c r="F41" s="515">
        <f t="shared" si="0"/>
        <v>0</v>
      </c>
      <c r="G41" s="516"/>
    </row>
    <row r="42" spans="1:7">
      <c r="A42" s="506" t="s">
        <v>101</v>
      </c>
      <c r="B42" s="534">
        <v>2139667</v>
      </c>
      <c r="C42" s="534">
        <v>2139667</v>
      </c>
      <c r="D42" s="503"/>
      <c r="E42" s="503"/>
      <c r="F42" s="515">
        <f t="shared" si="0"/>
        <v>0</v>
      </c>
      <c r="G42" s="516"/>
    </row>
    <row r="43" spans="1:7">
      <c r="A43" s="506" t="s">
        <v>103</v>
      </c>
      <c r="B43" s="534">
        <v>2119500</v>
      </c>
      <c r="C43" s="534">
        <v>2119500</v>
      </c>
      <c r="D43" s="503"/>
      <c r="E43" s="503"/>
      <c r="F43" s="515">
        <f t="shared" si="0"/>
        <v>0</v>
      </c>
      <c r="G43" s="516"/>
    </row>
    <row r="44" spans="1:7">
      <c r="A44" s="506" t="s">
        <v>104</v>
      </c>
      <c r="B44" s="534">
        <v>987833</v>
      </c>
      <c r="C44" s="534">
        <v>987833</v>
      </c>
      <c r="D44" s="503"/>
      <c r="E44" s="503"/>
      <c r="F44" s="515">
        <f t="shared" si="0"/>
        <v>0</v>
      </c>
      <c r="G44" s="516"/>
    </row>
    <row r="45" spans="1:7">
      <c r="A45" s="506" t="s">
        <v>105</v>
      </c>
      <c r="B45" s="534">
        <v>463667</v>
      </c>
      <c r="C45" s="534">
        <f>20767.64+442889.36</f>
        <v>463657</v>
      </c>
      <c r="D45" s="503"/>
      <c r="E45" s="503"/>
      <c r="F45" s="515">
        <f t="shared" si="0"/>
        <v>10</v>
      </c>
      <c r="G45" s="516"/>
    </row>
    <row r="46" spans="1:7">
      <c r="A46" s="506" t="s">
        <v>106</v>
      </c>
      <c r="B46" s="534">
        <v>7782333</v>
      </c>
      <c r="C46" s="534">
        <f>7682960+99373</f>
        <v>7782333</v>
      </c>
      <c r="D46" s="503"/>
      <c r="E46" s="503"/>
      <c r="F46" s="515">
        <f t="shared" si="0"/>
        <v>0</v>
      </c>
      <c r="G46" s="516"/>
    </row>
    <row r="47" spans="1:7">
      <c r="A47" s="506" t="s">
        <v>107</v>
      </c>
      <c r="B47" s="534">
        <v>7500</v>
      </c>
      <c r="C47" s="534">
        <v>7500</v>
      </c>
      <c r="D47" s="503"/>
      <c r="E47" s="503"/>
      <c r="F47" s="515">
        <f t="shared" si="0"/>
        <v>0</v>
      </c>
      <c r="G47" s="516"/>
    </row>
    <row r="48" spans="1:7">
      <c r="A48" s="506" t="s">
        <v>109</v>
      </c>
      <c r="B48" s="534">
        <v>403167</v>
      </c>
      <c r="C48" s="534">
        <v>403167</v>
      </c>
      <c r="D48" s="503"/>
      <c r="E48" s="503"/>
      <c r="F48" s="515">
        <f t="shared" si="0"/>
        <v>0</v>
      </c>
      <c r="G48" s="516"/>
    </row>
    <row r="49" spans="1:7">
      <c r="A49" s="506" t="s">
        <v>110</v>
      </c>
      <c r="B49" s="534">
        <v>211667</v>
      </c>
      <c r="C49" s="534">
        <v>211667</v>
      </c>
      <c r="D49" s="503"/>
      <c r="E49" s="503"/>
      <c r="F49" s="515">
        <f t="shared" si="0"/>
        <v>0</v>
      </c>
      <c r="G49" s="516"/>
    </row>
    <row r="50" spans="1:7">
      <c r="A50" s="506" t="s">
        <v>112</v>
      </c>
      <c r="B50" s="534">
        <v>6156833</v>
      </c>
      <c r="C50" s="534">
        <v>6156833</v>
      </c>
      <c r="D50" s="503"/>
      <c r="E50" s="503"/>
      <c r="F50" s="515">
        <f t="shared" si="0"/>
        <v>0</v>
      </c>
      <c r="G50" s="516"/>
    </row>
    <row r="51" spans="1:7">
      <c r="A51" s="506" t="s">
        <v>136</v>
      </c>
      <c r="B51" s="534">
        <v>2409333</v>
      </c>
      <c r="C51" s="534">
        <v>2409333</v>
      </c>
      <c r="D51" s="503"/>
      <c r="E51" s="503"/>
      <c r="F51" s="515">
        <f t="shared" si="0"/>
        <v>0</v>
      </c>
      <c r="G51" s="516"/>
    </row>
    <row r="52" spans="1:7">
      <c r="A52" s="506" t="s">
        <v>114</v>
      </c>
      <c r="B52" s="503">
        <v>2873000</v>
      </c>
      <c r="C52" s="534">
        <v>2873000</v>
      </c>
      <c r="D52" s="503"/>
      <c r="E52" s="503"/>
      <c r="F52" s="515">
        <f t="shared" si="0"/>
        <v>0</v>
      </c>
      <c r="G52" s="516"/>
    </row>
    <row r="53" spans="1:7" ht="18" customHeight="1">
      <c r="A53" s="506" t="s">
        <v>115</v>
      </c>
      <c r="B53" s="503">
        <v>10000</v>
      </c>
      <c r="C53" s="534"/>
      <c r="D53" s="503"/>
      <c r="E53" s="503"/>
      <c r="F53" s="515">
        <f t="shared" si="0"/>
        <v>10000</v>
      </c>
      <c r="G53" s="516"/>
    </row>
    <row r="54" spans="1:7">
      <c r="A54" s="506" t="s">
        <v>117</v>
      </c>
      <c r="B54" s="503">
        <v>259500</v>
      </c>
      <c r="C54" s="534"/>
      <c r="D54" s="503"/>
      <c r="E54" s="503"/>
      <c r="F54" s="515">
        <f t="shared" si="0"/>
        <v>259500</v>
      </c>
      <c r="G54" s="516"/>
    </row>
    <row r="55" spans="1:7">
      <c r="A55" s="506" t="s">
        <v>119</v>
      </c>
      <c r="B55" s="534">
        <v>11247500</v>
      </c>
      <c r="C55" s="534">
        <f>2200000+9047500</f>
        <v>11247500</v>
      </c>
      <c r="D55" s="503"/>
      <c r="E55" s="534"/>
      <c r="F55" s="515">
        <f t="shared" si="0"/>
        <v>0</v>
      </c>
      <c r="G55" s="516"/>
    </row>
    <row r="56" spans="1:7">
      <c r="A56" s="506" t="s">
        <v>120</v>
      </c>
      <c r="B56" s="534">
        <f>36666667-1051763</f>
        <v>35614904</v>
      </c>
      <c r="C56" s="534">
        <f>27710571+1238172+8326000-608076-1051763</f>
        <v>35614904</v>
      </c>
      <c r="D56" s="503"/>
      <c r="E56" s="503"/>
      <c r="F56" s="515">
        <f t="shared" si="0"/>
        <v>0</v>
      </c>
      <c r="G56" s="516"/>
    </row>
    <row r="57" spans="1:7">
      <c r="A57" s="506" t="s">
        <v>121</v>
      </c>
      <c r="B57" s="534">
        <v>58000</v>
      </c>
      <c r="C57" s="534">
        <v>58000</v>
      </c>
      <c r="D57" s="503"/>
      <c r="E57" s="503"/>
      <c r="F57" s="515">
        <f t="shared" si="0"/>
        <v>0</v>
      </c>
      <c r="G57" s="516"/>
    </row>
    <row r="58" spans="1:7" ht="15" thickBot="1">
      <c r="A58" s="536" t="s">
        <v>124</v>
      </c>
      <c r="B58" s="537">
        <f>SUM(B9:B57)</f>
        <v>165614903</v>
      </c>
      <c r="C58" s="537">
        <f>SUM(C9:C57)</f>
        <v>161894503</v>
      </c>
      <c r="D58" s="537">
        <f>SUM(D9:D57)</f>
        <v>2480673</v>
      </c>
      <c r="E58" s="537">
        <f>SUM(E9:E57)</f>
        <v>0</v>
      </c>
      <c r="F58" s="538">
        <f>SUM(F9:F57)</f>
        <v>1239727</v>
      </c>
      <c r="G58" s="516"/>
    </row>
    <row r="59" spans="1:7" ht="15" thickBot="1">
      <c r="A59" s="539" t="s">
        <v>137</v>
      </c>
      <c r="B59" s="525">
        <f>1051763</f>
        <v>1051763</v>
      </c>
      <c r="C59" s="525"/>
      <c r="D59" s="525"/>
      <c r="E59" s="525"/>
      <c r="F59" s="515">
        <f t="shared" si="0"/>
        <v>1051763</v>
      </c>
      <c r="G59" s="516"/>
    </row>
    <row r="60" spans="1:7" ht="15" thickBot="1">
      <c r="A60" s="523" t="s">
        <v>138</v>
      </c>
      <c r="B60" s="541">
        <f>B58+B59</f>
        <v>166666666</v>
      </c>
      <c r="C60" s="541">
        <f t="shared" ref="C60:F60" si="1">C58+C59</f>
        <v>161894503</v>
      </c>
      <c r="D60" s="541">
        <f t="shared" si="1"/>
        <v>2480673</v>
      </c>
      <c r="E60" s="541">
        <f t="shared" si="1"/>
        <v>0</v>
      </c>
      <c r="F60" s="542">
        <f t="shared" si="1"/>
        <v>2291490</v>
      </c>
      <c r="G60" s="516"/>
    </row>
    <row r="61" spans="1:7">
      <c r="A61" s="524" t="s">
        <v>255</v>
      </c>
      <c r="B61" s="543"/>
      <c r="C61" s="543"/>
      <c r="D61" s="543"/>
      <c r="E61" s="543"/>
      <c r="F61" s="543"/>
      <c r="G61" s="516"/>
    </row>
    <row r="62" spans="1:7" ht="15" thickBot="1">
      <c r="A62" s="525"/>
      <c r="B62" s="525"/>
      <c r="C62" s="525"/>
      <c r="D62" s="525"/>
      <c r="E62" s="525"/>
      <c r="F62" s="525"/>
      <c r="G62" s="516"/>
    </row>
    <row r="63" spans="1:7" ht="15" thickBot="1">
      <c r="A63" s="526" t="s">
        <v>139</v>
      </c>
      <c r="B63" s="527">
        <f>B12+B13+B15+B19+B21+B27+B33+B36+B43+B46+B48+B49+B53+B54+B57</f>
        <v>13281167</v>
      </c>
      <c r="C63" s="527">
        <f>C12+C13+C15+C19+C21+C26+C34+C36+C43+C46+C48+C49+C53+C54+C57</f>
        <v>12102000</v>
      </c>
      <c r="D63" s="527">
        <f>D12+D13+D15+D19+D21+D26+D34+D36+D43+D46+D48+D49+D53+D54+D57</f>
        <v>0</v>
      </c>
      <c r="E63" s="527">
        <f>E12+E13+E15+E19+E21+E26+E34+E36+E43+E46+E48+E49+E53+E54+E57</f>
        <v>0</v>
      </c>
      <c r="F63" s="528">
        <f>B63-C63-D63-E63</f>
        <v>1179167</v>
      </c>
      <c r="G63" s="516"/>
    </row>
    <row r="64" spans="1:7">
      <c r="A64" s="516"/>
      <c r="B64" s="516"/>
      <c r="C64" s="516"/>
      <c r="D64" s="516"/>
      <c r="E64" s="516"/>
      <c r="F64" s="516"/>
      <c r="G64" s="516"/>
    </row>
    <row r="65" spans="1:7" s="489" customFormat="1" ht="13">
      <c r="A65" s="545"/>
      <c r="B65" s="545"/>
      <c r="C65" s="545"/>
      <c r="D65" s="545"/>
      <c r="E65" s="545"/>
      <c r="F65" s="545"/>
      <c r="G65" s="545"/>
    </row>
    <row r="66" spans="1:7">
      <c r="A66" s="516"/>
      <c r="B66" s="516"/>
      <c r="C66" s="516"/>
      <c r="D66" s="516"/>
      <c r="E66" s="516"/>
      <c r="F66" s="516"/>
      <c r="G66" s="516"/>
    </row>
  </sheetData>
  <mergeCells count="3">
    <mergeCell ref="A5:F5"/>
    <mergeCell ref="A6:F6"/>
    <mergeCell ref="A7:F7"/>
  </mergeCells>
  <printOptions horizontalCentered="1"/>
  <pageMargins left="0.11811023622047245" right="0.11811023622047245" top="0.27559055118110237" bottom="0.19685039370078741" header="0.27559055118110237" footer="0.11811023622047245"/>
  <pageSetup scale="77"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59BA9-B8F3-4639-82D2-2407C5E5783A}">
  <sheetPr>
    <pageSetUpPr fitToPage="1"/>
  </sheetPr>
  <dimension ref="A1:G66"/>
  <sheetViews>
    <sheetView workbookViewId="0">
      <selection activeCell="H33" sqref="H33"/>
    </sheetView>
  </sheetViews>
  <sheetFormatPr defaultRowHeight="14.5"/>
  <cols>
    <col min="1" max="1" width="30.7265625" customWidth="1"/>
    <col min="2" max="6" width="20.7265625" customWidth="1"/>
  </cols>
  <sheetData>
    <row r="1" spans="1:7" ht="18">
      <c r="C1" s="62"/>
      <c r="D1" s="62"/>
      <c r="E1" s="741" t="str">
        <f>Status!C1</f>
        <v>UNEP/OzL.Pro/ExCom/94/3</v>
      </c>
      <c r="F1" s="741"/>
    </row>
    <row r="2" spans="1:7" ht="18">
      <c r="C2" s="62"/>
      <c r="D2" s="62"/>
      <c r="E2" s="742" t="s">
        <v>0</v>
      </c>
      <c r="F2" s="742"/>
    </row>
    <row r="3" spans="1:7" ht="18">
      <c r="C3" s="62"/>
      <c r="D3" s="62"/>
      <c r="E3" s="742" t="s">
        <v>148</v>
      </c>
      <c r="F3" s="742"/>
    </row>
    <row r="4" spans="1:7" ht="15.5">
      <c r="A4" s="1"/>
      <c r="B4" s="62"/>
      <c r="C4" s="62"/>
      <c r="D4" s="62"/>
      <c r="E4" s="62"/>
      <c r="F4" s="62"/>
    </row>
    <row r="5" spans="1:7" ht="16">
      <c r="A5" s="735" t="s">
        <v>2</v>
      </c>
      <c r="B5" s="735"/>
      <c r="C5" s="735"/>
      <c r="D5" s="735"/>
      <c r="E5" s="735"/>
      <c r="F5" s="735"/>
    </row>
    <row r="6" spans="1:7" ht="15.5">
      <c r="A6" s="729" t="s">
        <v>281</v>
      </c>
      <c r="B6" s="729"/>
      <c r="C6" s="729"/>
      <c r="D6" s="729"/>
      <c r="E6" s="729"/>
      <c r="F6" s="729"/>
    </row>
    <row r="7" spans="1:7" ht="16.5" thickBot="1">
      <c r="A7" s="728" t="str">
        <f>Status!A6</f>
        <v>As at 24/05/2024</v>
      </c>
      <c r="B7" s="728"/>
      <c r="C7" s="728"/>
      <c r="D7" s="728"/>
      <c r="E7" s="728"/>
      <c r="F7" s="728"/>
    </row>
    <row r="8" spans="1:7" ht="27" thickBot="1">
      <c r="A8" s="68" t="s">
        <v>60</v>
      </c>
      <c r="B8" s="69" t="s">
        <v>61</v>
      </c>
      <c r="C8" s="69" t="s">
        <v>62</v>
      </c>
      <c r="D8" s="629" t="s">
        <v>63</v>
      </c>
      <c r="E8" s="69" t="s">
        <v>64</v>
      </c>
      <c r="F8" s="70" t="s">
        <v>65</v>
      </c>
    </row>
    <row r="9" spans="1:7">
      <c r="A9" s="501" t="s">
        <v>67</v>
      </c>
      <c r="B9" s="623">
        <v>15167</v>
      </c>
      <c r="C9" s="623">
        <v>15167</v>
      </c>
      <c r="D9" s="620"/>
      <c r="E9" s="620"/>
      <c r="F9" s="618">
        <f t="shared" ref="F9:F59" si="0">B9-C9-D9-E9</f>
        <v>0</v>
      </c>
      <c r="G9" s="516"/>
    </row>
    <row r="10" spans="1:7">
      <c r="A10" s="506" t="s">
        <v>130</v>
      </c>
      <c r="B10" s="534">
        <v>5889667</v>
      </c>
      <c r="C10" s="534">
        <v>5889667</v>
      </c>
      <c r="D10" s="503"/>
      <c r="E10" s="503"/>
      <c r="F10" s="515">
        <f t="shared" si="0"/>
        <v>0</v>
      </c>
      <c r="G10" s="516"/>
    </row>
    <row r="11" spans="1:7">
      <c r="A11" s="506" t="s">
        <v>69</v>
      </c>
      <c r="B11" s="534">
        <v>1814500</v>
      </c>
      <c r="C11" s="534">
        <f>1250000+564500</f>
        <v>1814500</v>
      </c>
      <c r="D11" s="503"/>
      <c r="E11" s="503"/>
      <c r="F11" s="515">
        <f t="shared" si="0"/>
        <v>0</v>
      </c>
      <c r="G11" s="516"/>
    </row>
    <row r="12" spans="1:7">
      <c r="A12" s="517" t="s">
        <v>70</v>
      </c>
      <c r="B12" s="534">
        <v>151167</v>
      </c>
      <c r="C12" s="534"/>
      <c r="D12" s="503"/>
      <c r="E12" s="503"/>
      <c r="F12" s="515">
        <f t="shared" si="0"/>
        <v>151167</v>
      </c>
      <c r="G12" s="516"/>
    </row>
    <row r="13" spans="1:7">
      <c r="A13" s="506" t="s">
        <v>71</v>
      </c>
      <c r="B13" s="534">
        <v>141167</v>
      </c>
      <c r="C13" s="534">
        <v>77000</v>
      </c>
      <c r="D13" s="503"/>
      <c r="E13" s="503"/>
      <c r="F13" s="515">
        <f t="shared" si="0"/>
        <v>64167</v>
      </c>
      <c r="G13" s="516"/>
    </row>
    <row r="14" spans="1:7">
      <c r="A14" s="506" t="s">
        <v>72</v>
      </c>
      <c r="B14" s="534">
        <v>2230333</v>
      </c>
      <c r="C14" s="534">
        <v>2230333</v>
      </c>
      <c r="D14" s="503"/>
      <c r="E14" s="503"/>
      <c r="F14" s="515">
        <f t="shared" si="0"/>
        <v>0</v>
      </c>
      <c r="G14" s="516"/>
    </row>
    <row r="15" spans="1:7">
      <c r="A15" s="506" t="s">
        <v>73</v>
      </c>
      <c r="B15" s="534">
        <v>113333</v>
      </c>
      <c r="C15" s="534">
        <v>113333</v>
      </c>
      <c r="D15" s="503"/>
      <c r="E15" s="503"/>
      <c r="F15" s="515">
        <f>B15-C15-D15-E15</f>
        <v>0</v>
      </c>
      <c r="G15" s="516"/>
    </row>
    <row r="16" spans="1:7">
      <c r="A16" s="506" t="s">
        <v>131</v>
      </c>
      <c r="B16" s="534">
        <v>7361333</v>
      </c>
      <c r="C16" s="534">
        <f>5889066.41+1172267</f>
        <v>7061333.4100000001</v>
      </c>
      <c r="D16" s="503">
        <v>300000</v>
      </c>
      <c r="E16" s="503"/>
      <c r="F16" s="515">
        <f t="shared" si="0"/>
        <v>-0.41000000014901161</v>
      </c>
      <c r="G16" s="516"/>
    </row>
    <row r="17" spans="1:7">
      <c r="A17" s="506" t="s">
        <v>75</v>
      </c>
      <c r="B17" s="534">
        <v>249500</v>
      </c>
      <c r="C17" s="534">
        <v>249500</v>
      </c>
      <c r="D17" s="503"/>
      <c r="E17" s="503"/>
      <c r="F17" s="515">
        <f t="shared" si="0"/>
        <v>0</v>
      </c>
      <c r="G17" s="516"/>
    </row>
    <row r="18" spans="1:7">
      <c r="A18" s="506" t="s">
        <v>76</v>
      </c>
      <c r="B18" s="534">
        <v>108333</v>
      </c>
      <c r="C18" s="534">
        <v>108333</v>
      </c>
      <c r="D18" s="503"/>
      <c r="E18" s="503"/>
      <c r="F18" s="515">
        <f t="shared" si="0"/>
        <v>0</v>
      </c>
      <c r="G18" s="516"/>
    </row>
    <row r="19" spans="1:7">
      <c r="A19" s="506" t="s">
        <v>77</v>
      </c>
      <c r="B19" s="534">
        <v>867000</v>
      </c>
      <c r="C19" s="534">
        <v>867000</v>
      </c>
      <c r="D19" s="503"/>
      <c r="E19" s="503"/>
      <c r="F19" s="515">
        <f t="shared" si="0"/>
        <v>0</v>
      </c>
      <c r="G19" s="516"/>
    </row>
    <row r="20" spans="1:7">
      <c r="A20" s="506" t="s">
        <v>78</v>
      </c>
      <c r="B20" s="534">
        <v>1471833</v>
      </c>
      <c r="C20" s="534">
        <v>1471833</v>
      </c>
      <c r="D20" s="503"/>
      <c r="E20" s="503"/>
      <c r="F20" s="515">
        <f t="shared" si="0"/>
        <v>0</v>
      </c>
      <c r="G20" s="516"/>
    </row>
    <row r="21" spans="1:7">
      <c r="A21" s="506" t="s">
        <v>79</v>
      </c>
      <c r="B21" s="534">
        <v>95833</v>
      </c>
      <c r="C21" s="534">
        <v>95832.97</v>
      </c>
      <c r="D21" s="503"/>
      <c r="E21" s="503"/>
      <c r="F21" s="515">
        <f t="shared" si="0"/>
        <v>2.9999999998835847E-2</v>
      </c>
      <c r="G21" s="516"/>
    </row>
    <row r="22" spans="1:7">
      <c r="A22" s="506" t="s">
        <v>80</v>
      </c>
      <c r="B22" s="534">
        <v>1149167</v>
      </c>
      <c r="C22" s="534">
        <v>1149167</v>
      </c>
      <c r="D22" s="503"/>
      <c r="E22" s="503"/>
      <c r="F22" s="515">
        <f t="shared" si="0"/>
        <v>0</v>
      </c>
      <c r="G22" s="516"/>
    </row>
    <row r="23" spans="1:7">
      <c r="A23" s="506" t="s">
        <v>132</v>
      </c>
      <c r="B23" s="534">
        <v>12245500</v>
      </c>
      <c r="C23" s="534">
        <f>12245500-113000</f>
        <v>12132500</v>
      </c>
      <c r="D23" s="503">
        <f>113000</f>
        <v>113000</v>
      </c>
      <c r="E23" s="503"/>
      <c r="F23" s="515">
        <f>B23-C23-D23-E23</f>
        <v>0</v>
      </c>
      <c r="G23" s="516"/>
    </row>
    <row r="24" spans="1:7">
      <c r="A24" s="506" t="s">
        <v>133</v>
      </c>
      <c r="B24" s="534">
        <v>16101333</v>
      </c>
      <c r="C24" s="534">
        <f>6440533.15+6440533.15-1852533</f>
        <v>11028533.300000001</v>
      </c>
      <c r="D24" s="503">
        <f>222182+4850618</f>
        <v>5072800</v>
      </c>
      <c r="E24" s="534"/>
      <c r="F24" s="515">
        <f>B24-C24-D24-E24</f>
        <v>-0.30000000074505806</v>
      </c>
      <c r="G24" s="516"/>
    </row>
    <row r="25" spans="1:7">
      <c r="A25" s="506" t="s">
        <v>83</v>
      </c>
      <c r="B25" s="534">
        <v>1187000</v>
      </c>
      <c r="C25" s="534">
        <v>1187000</v>
      </c>
      <c r="D25" s="503"/>
      <c r="E25" s="503"/>
      <c r="F25" s="515">
        <f t="shared" si="0"/>
        <v>0</v>
      </c>
      <c r="G25" s="516"/>
    </row>
    <row r="26" spans="1:7">
      <c r="A26" s="506" t="s">
        <v>84</v>
      </c>
      <c r="B26" s="534">
        <v>2500</v>
      </c>
      <c r="C26" s="534">
        <v>2500</v>
      </c>
      <c r="D26" s="503"/>
      <c r="E26" s="503"/>
      <c r="F26" s="515">
        <f t="shared" si="0"/>
        <v>0</v>
      </c>
      <c r="G26" s="516"/>
    </row>
    <row r="27" spans="1:7">
      <c r="A27" s="506" t="s">
        <v>85</v>
      </c>
      <c r="B27" s="534">
        <v>405667</v>
      </c>
      <c r="C27" s="534">
        <v>405667</v>
      </c>
      <c r="D27" s="503"/>
      <c r="E27" s="503"/>
      <c r="F27" s="515">
        <f t="shared" si="0"/>
        <v>0</v>
      </c>
      <c r="G27" s="516"/>
    </row>
    <row r="28" spans="1:7">
      <c r="A28" s="506" t="s">
        <v>86</v>
      </c>
      <c r="B28" s="534">
        <v>58000</v>
      </c>
      <c r="C28" s="534">
        <v>58000</v>
      </c>
      <c r="D28" s="503"/>
      <c r="E28" s="503"/>
      <c r="F28" s="515">
        <f t="shared" si="0"/>
        <v>0</v>
      </c>
      <c r="G28" s="516"/>
    </row>
    <row r="29" spans="1:7">
      <c r="A29" s="506" t="s">
        <v>134</v>
      </c>
      <c r="B29" s="534">
        <v>844333</v>
      </c>
      <c r="C29" s="534">
        <v>844333</v>
      </c>
      <c r="D29" s="503"/>
      <c r="E29" s="503"/>
      <c r="F29" s="515">
        <f t="shared" si="0"/>
        <v>0</v>
      </c>
      <c r="G29" s="516"/>
    </row>
    <row r="30" spans="1:7">
      <c r="A30" s="506" t="s">
        <v>88</v>
      </c>
      <c r="B30" s="534">
        <v>1083667</v>
      </c>
      <c r="C30" s="534"/>
      <c r="D30" s="503"/>
      <c r="E30" s="503"/>
      <c r="F30" s="515">
        <f t="shared" si="0"/>
        <v>1083667</v>
      </c>
      <c r="G30" s="516"/>
    </row>
    <row r="31" spans="1:7">
      <c r="A31" s="506" t="s">
        <v>89</v>
      </c>
      <c r="B31" s="534">
        <v>9445500</v>
      </c>
      <c r="C31" s="534">
        <f>7159158.61+2286341-371762</f>
        <v>9073737.6099999994</v>
      </c>
      <c r="D31" s="503">
        <v>371762</v>
      </c>
      <c r="E31" s="503"/>
      <c r="F31" s="515">
        <f t="shared" si="0"/>
        <v>0.39000000059604645</v>
      </c>
      <c r="G31" s="516"/>
    </row>
    <row r="32" spans="1:7">
      <c r="A32" s="506" t="s">
        <v>135</v>
      </c>
      <c r="B32" s="534">
        <f>24395167-1295383</f>
        <v>23099784</v>
      </c>
      <c r="C32" s="534">
        <f>7375228+15724556-90400</f>
        <v>23009384</v>
      </c>
      <c r="D32" s="503">
        <v>90400</v>
      </c>
      <c r="E32" s="503"/>
      <c r="F32" s="515">
        <f t="shared" si="0"/>
        <v>0</v>
      </c>
      <c r="G32" s="516"/>
    </row>
    <row r="33" spans="1:7">
      <c r="A33" s="506" t="s">
        <v>91</v>
      </c>
      <c r="B33" s="534">
        <v>481333</v>
      </c>
      <c r="C33" s="534">
        <v>481333</v>
      </c>
      <c r="D33" s="503"/>
      <c r="E33" s="503"/>
      <c r="F33" s="515">
        <f t="shared" si="0"/>
        <v>0</v>
      </c>
      <c r="G33" s="516"/>
    </row>
    <row r="34" spans="1:7">
      <c r="A34" s="506" t="s">
        <v>93</v>
      </c>
      <c r="B34" s="534">
        <v>126000</v>
      </c>
      <c r="C34" s="534">
        <v>126000</v>
      </c>
      <c r="D34" s="503"/>
      <c r="E34" s="503"/>
      <c r="F34" s="515">
        <f t="shared" si="0"/>
        <v>0</v>
      </c>
      <c r="G34" s="516"/>
    </row>
    <row r="35" spans="1:7">
      <c r="A35" s="506" t="s">
        <v>94</v>
      </c>
      <c r="B35" s="534">
        <v>17667</v>
      </c>
      <c r="C35" s="534">
        <v>17667</v>
      </c>
      <c r="D35" s="503"/>
      <c r="E35" s="503"/>
      <c r="F35" s="515">
        <f t="shared" si="0"/>
        <v>0</v>
      </c>
      <c r="G35" s="516"/>
    </row>
    <row r="36" spans="1:7">
      <c r="A36" s="506" t="s">
        <v>95</v>
      </c>
      <c r="B36" s="534">
        <v>181500</v>
      </c>
      <c r="C36" s="534">
        <v>181500</v>
      </c>
      <c r="D36" s="503"/>
      <c r="E36" s="503"/>
      <c r="F36" s="515">
        <f t="shared" si="0"/>
        <v>0</v>
      </c>
      <c r="G36" s="516"/>
    </row>
    <row r="37" spans="1:7">
      <c r="A37" s="506" t="s">
        <v>96</v>
      </c>
      <c r="B37" s="534">
        <v>161333</v>
      </c>
      <c r="C37" s="534">
        <v>161333</v>
      </c>
      <c r="D37" s="503"/>
      <c r="E37" s="503"/>
      <c r="F37" s="515">
        <f t="shared" si="0"/>
        <v>0</v>
      </c>
      <c r="G37" s="516"/>
    </row>
    <row r="38" spans="1:7">
      <c r="A38" s="506" t="s">
        <v>97</v>
      </c>
      <c r="B38" s="534">
        <v>40333</v>
      </c>
      <c r="C38" s="534"/>
      <c r="D38" s="503"/>
      <c r="E38" s="503"/>
      <c r="F38" s="515">
        <f t="shared" si="0"/>
        <v>40333</v>
      </c>
      <c r="G38" s="516"/>
    </row>
    <row r="39" spans="1:7">
      <c r="A39" s="506" t="s">
        <v>98</v>
      </c>
      <c r="B39" s="534">
        <v>25167</v>
      </c>
      <c r="C39" s="534">
        <v>25167</v>
      </c>
      <c r="D39" s="503"/>
      <c r="E39" s="503"/>
      <c r="F39" s="515">
        <f t="shared" si="0"/>
        <v>0</v>
      </c>
      <c r="G39" s="516"/>
    </row>
    <row r="40" spans="1:7">
      <c r="A40" s="506" t="s">
        <v>99</v>
      </c>
      <c r="B40" s="534">
        <v>3734833</v>
      </c>
      <c r="C40" s="534">
        <v>3734833</v>
      </c>
      <c r="D40" s="503"/>
      <c r="E40" s="503"/>
      <c r="F40" s="515">
        <f t="shared" si="0"/>
        <v>0</v>
      </c>
      <c r="G40" s="516"/>
    </row>
    <row r="41" spans="1:7">
      <c r="A41" s="506" t="s">
        <v>100</v>
      </c>
      <c r="B41" s="534">
        <v>675333</v>
      </c>
      <c r="C41" s="534">
        <f>46996+628337</f>
        <v>675333</v>
      </c>
      <c r="D41" s="503"/>
      <c r="E41" s="503"/>
      <c r="F41" s="515">
        <f t="shared" si="0"/>
        <v>0</v>
      </c>
      <c r="G41" s="516"/>
    </row>
    <row r="42" spans="1:7">
      <c r="A42" s="506" t="s">
        <v>101</v>
      </c>
      <c r="B42" s="534">
        <v>2139667</v>
      </c>
      <c r="C42" s="534">
        <v>2139667</v>
      </c>
      <c r="D42" s="503"/>
      <c r="E42" s="503"/>
      <c r="F42" s="515">
        <f t="shared" si="0"/>
        <v>0</v>
      </c>
      <c r="G42" s="516"/>
    </row>
    <row r="43" spans="1:7">
      <c r="A43" s="506" t="s">
        <v>103</v>
      </c>
      <c r="B43" s="534">
        <v>2119500</v>
      </c>
      <c r="C43" s="534">
        <v>2119500</v>
      </c>
      <c r="D43" s="503"/>
      <c r="E43" s="503"/>
      <c r="F43" s="515">
        <f t="shared" si="0"/>
        <v>0</v>
      </c>
      <c r="G43" s="516"/>
    </row>
    <row r="44" spans="1:7">
      <c r="A44" s="506" t="s">
        <v>104</v>
      </c>
      <c r="B44" s="534">
        <v>987833</v>
      </c>
      <c r="C44" s="534">
        <v>987833</v>
      </c>
      <c r="D44" s="503"/>
      <c r="E44" s="503"/>
      <c r="F44" s="515">
        <f t="shared" si="0"/>
        <v>0</v>
      </c>
      <c r="G44" s="516"/>
    </row>
    <row r="45" spans="1:7">
      <c r="A45" s="506" t="s">
        <v>105</v>
      </c>
      <c r="B45" s="534">
        <v>463667</v>
      </c>
      <c r="C45" s="534">
        <v>463667</v>
      </c>
      <c r="D45" s="503"/>
      <c r="E45" s="503"/>
      <c r="F45" s="515">
        <f t="shared" si="0"/>
        <v>0</v>
      </c>
      <c r="G45" s="516"/>
    </row>
    <row r="46" spans="1:7">
      <c r="A46" s="506" t="s">
        <v>106</v>
      </c>
      <c r="B46" s="534">
        <v>7782333</v>
      </c>
      <c r="C46" s="534">
        <f>1606800+3051654+3123879</f>
        <v>7782333</v>
      </c>
      <c r="D46" s="503"/>
      <c r="E46" s="503"/>
      <c r="F46" s="515">
        <f t="shared" si="0"/>
        <v>0</v>
      </c>
      <c r="G46" s="516"/>
    </row>
    <row r="47" spans="1:7">
      <c r="A47" s="506" t="s">
        <v>107</v>
      </c>
      <c r="B47" s="534">
        <v>7500</v>
      </c>
      <c r="C47" s="534">
        <v>7500</v>
      </c>
      <c r="D47" s="503"/>
      <c r="E47" s="503"/>
      <c r="F47" s="515">
        <f t="shared" si="0"/>
        <v>0</v>
      </c>
      <c r="G47" s="516"/>
    </row>
    <row r="48" spans="1:7">
      <c r="A48" s="506" t="s">
        <v>109</v>
      </c>
      <c r="B48" s="534">
        <v>403167</v>
      </c>
      <c r="C48" s="534">
        <v>403167</v>
      </c>
      <c r="D48" s="503"/>
      <c r="E48" s="503"/>
      <c r="F48" s="515">
        <f t="shared" si="0"/>
        <v>0</v>
      </c>
      <c r="G48" s="516"/>
    </row>
    <row r="49" spans="1:7">
      <c r="A49" s="506" t="s">
        <v>110</v>
      </c>
      <c r="B49" s="534">
        <v>211667</v>
      </c>
      <c r="C49" s="534">
        <v>211667</v>
      </c>
      <c r="D49" s="503"/>
      <c r="E49" s="503"/>
      <c r="F49" s="515">
        <f t="shared" si="0"/>
        <v>0</v>
      </c>
      <c r="G49" s="516"/>
    </row>
    <row r="50" spans="1:7">
      <c r="A50" s="506" t="s">
        <v>112</v>
      </c>
      <c r="B50" s="534">
        <v>6156833</v>
      </c>
      <c r="C50" s="534">
        <f>6156833-1192731</f>
        <v>4964102</v>
      </c>
      <c r="D50" s="503">
        <v>1192731</v>
      </c>
      <c r="E50" s="503"/>
      <c r="F50" s="515">
        <f t="shared" si="0"/>
        <v>0</v>
      </c>
      <c r="G50" s="516"/>
    </row>
    <row r="51" spans="1:7">
      <c r="A51" s="506" t="s">
        <v>136</v>
      </c>
      <c r="B51" s="534">
        <v>2409333</v>
      </c>
      <c r="C51" s="534">
        <v>2409333</v>
      </c>
      <c r="D51" s="503"/>
      <c r="E51" s="503"/>
      <c r="F51" s="515">
        <f t="shared" si="0"/>
        <v>0</v>
      </c>
      <c r="G51" s="516"/>
    </row>
    <row r="52" spans="1:7">
      <c r="A52" s="506" t="s">
        <v>114</v>
      </c>
      <c r="B52" s="503">
        <v>2873000</v>
      </c>
      <c r="C52" s="534">
        <v>2872999.67</v>
      </c>
      <c r="D52" s="503"/>
      <c r="E52" s="503"/>
      <c r="F52" s="515">
        <f t="shared" si="0"/>
        <v>0.33000000007450581</v>
      </c>
      <c r="G52" s="516"/>
    </row>
    <row r="53" spans="1:7" ht="18" customHeight="1">
      <c r="A53" s="506" t="s">
        <v>115</v>
      </c>
      <c r="B53" s="503">
        <v>10000</v>
      </c>
      <c r="C53" s="534"/>
      <c r="D53" s="503"/>
      <c r="E53" s="503"/>
      <c r="F53" s="515">
        <f t="shared" si="0"/>
        <v>10000</v>
      </c>
      <c r="G53" s="516"/>
    </row>
    <row r="54" spans="1:7">
      <c r="A54" s="506" t="s">
        <v>117</v>
      </c>
      <c r="B54" s="503">
        <v>259500</v>
      </c>
      <c r="C54" s="534"/>
      <c r="D54" s="503"/>
      <c r="E54" s="503"/>
      <c r="F54" s="515">
        <f t="shared" si="0"/>
        <v>259500</v>
      </c>
      <c r="G54" s="516"/>
    </row>
    <row r="55" spans="1:7">
      <c r="A55" s="506" t="s">
        <v>119</v>
      </c>
      <c r="B55" s="534">
        <v>11247500</v>
      </c>
      <c r="C55" s="534">
        <v>11247500</v>
      </c>
      <c r="D55" s="503"/>
      <c r="E55" s="534"/>
      <c r="F55" s="515">
        <f t="shared" si="0"/>
        <v>0</v>
      </c>
      <c r="G55" s="516"/>
    </row>
    <row r="56" spans="1:7">
      <c r="A56" s="506" t="s">
        <v>120</v>
      </c>
      <c r="B56" s="534">
        <f>36666667-191409</f>
        <v>36475258</v>
      </c>
      <c r="C56" s="534">
        <f>1415928+24700000+300000+8326000+1889429-156099</f>
        <v>36475258</v>
      </c>
      <c r="D56" s="503"/>
      <c r="E56" s="503"/>
      <c r="F56" s="515">
        <f t="shared" si="0"/>
        <v>0</v>
      </c>
      <c r="G56" s="516"/>
    </row>
    <row r="57" spans="1:7">
      <c r="A57" s="506" t="s">
        <v>121</v>
      </c>
      <c r="B57" s="534">
        <v>58000</v>
      </c>
      <c r="C57" s="503"/>
      <c r="D57" s="503"/>
      <c r="E57" s="503"/>
      <c r="F57" s="515">
        <f t="shared" si="0"/>
        <v>58000</v>
      </c>
      <c r="G57" s="516"/>
    </row>
    <row r="58" spans="1:7" ht="15" thickBot="1">
      <c r="A58" s="536" t="s">
        <v>124</v>
      </c>
      <c r="B58" s="537">
        <f>SUM(B9:B57)</f>
        <v>165179874</v>
      </c>
      <c r="C58" s="537">
        <f>SUM(C9:C57)</f>
        <v>156372346.95999998</v>
      </c>
      <c r="D58" s="537">
        <f>SUM(D9:D57)</f>
        <v>7140693</v>
      </c>
      <c r="E58" s="537">
        <f>SUM(E9:E57)</f>
        <v>0</v>
      </c>
      <c r="F58" s="538">
        <f>SUM(F9:F57)</f>
        <v>1666834.0399999998</v>
      </c>
      <c r="G58" s="516"/>
    </row>
    <row r="59" spans="1:7" ht="15" thickBot="1">
      <c r="A59" s="539" t="s">
        <v>137</v>
      </c>
      <c r="B59" s="525">
        <f>1295383+191409</f>
        <v>1486792</v>
      </c>
      <c r="C59" s="525"/>
      <c r="D59" s="525"/>
      <c r="E59" s="525"/>
      <c r="F59" s="540">
        <f t="shared" si="0"/>
        <v>1486792</v>
      </c>
      <c r="G59" s="516"/>
    </row>
    <row r="60" spans="1:7" ht="15" thickBot="1">
      <c r="A60" s="523" t="s">
        <v>138</v>
      </c>
      <c r="B60" s="541">
        <f>B58+B59</f>
        <v>166666666</v>
      </c>
      <c r="C60" s="541">
        <f t="shared" ref="C60:F60" si="1">C58+C59</f>
        <v>156372346.95999998</v>
      </c>
      <c r="D60" s="541">
        <f t="shared" si="1"/>
        <v>7140693</v>
      </c>
      <c r="E60" s="541">
        <f t="shared" si="1"/>
        <v>0</v>
      </c>
      <c r="F60" s="542">
        <f t="shared" si="1"/>
        <v>3153626.04</v>
      </c>
      <c r="G60" s="516"/>
    </row>
    <row r="61" spans="1:7">
      <c r="A61" s="524" t="s">
        <v>256</v>
      </c>
      <c r="B61" s="543"/>
      <c r="C61" s="543"/>
      <c r="D61" s="543"/>
      <c r="E61" s="543"/>
      <c r="F61" s="543"/>
      <c r="G61" s="516"/>
    </row>
    <row r="62" spans="1:7" ht="15" thickBot="1">
      <c r="A62" s="525"/>
      <c r="B62" s="525"/>
      <c r="C62" s="525"/>
      <c r="D62" s="525"/>
      <c r="E62" s="525"/>
      <c r="F62" s="525"/>
      <c r="G62" s="516"/>
    </row>
    <row r="63" spans="1:7" ht="15" thickBot="1">
      <c r="A63" s="526" t="s">
        <v>139</v>
      </c>
      <c r="B63" s="527">
        <f>B12+B13+B15+B19+B21+B27+B33+B36+B43+B46+B48+B49+B53+B54+B57</f>
        <v>13281167</v>
      </c>
      <c r="C63" s="527">
        <f>C12+C13+C15+C19+C21+C26+C34+C36+C43+C46+C48+C49+C53+C54+C57</f>
        <v>11979832.969999999</v>
      </c>
      <c r="D63" s="527">
        <f>D12+D13+D15+D19+D21+D26+D34+D36+D43+D46+D48+D49+D53+D54+D57</f>
        <v>0</v>
      </c>
      <c r="E63" s="527">
        <f>E12+E13+E15+E19+E21+E26+E34+E36+E43+E46+E48+E49+E53+E54+E57</f>
        <v>0</v>
      </c>
      <c r="F63" s="528">
        <f>B63-C63-D63-E63</f>
        <v>1301334.0300000012</v>
      </c>
      <c r="G63" s="516"/>
    </row>
    <row r="64" spans="1:7">
      <c r="A64" s="544"/>
      <c r="B64" s="516"/>
      <c r="C64" s="516"/>
      <c r="D64" s="516"/>
      <c r="E64" s="516"/>
      <c r="F64" s="516"/>
      <c r="G64" s="516"/>
    </row>
    <row r="65" spans="1:7" s="489" customFormat="1" ht="13">
      <c r="A65" s="545"/>
      <c r="B65" s="545"/>
      <c r="C65" s="545"/>
      <c r="D65" s="545"/>
      <c r="E65" s="545"/>
      <c r="F65" s="545"/>
      <c r="G65" s="545"/>
    </row>
    <row r="66" spans="1:7">
      <c r="A66" s="516"/>
      <c r="B66" s="516"/>
      <c r="C66" s="516"/>
      <c r="D66" s="516"/>
      <c r="E66" s="516"/>
      <c r="F66" s="516"/>
      <c r="G66" s="516"/>
    </row>
  </sheetData>
  <mergeCells count="6">
    <mergeCell ref="E1:F1"/>
    <mergeCell ref="A5:F5"/>
    <mergeCell ref="A6:F6"/>
    <mergeCell ref="A7:F7"/>
    <mergeCell ref="E2:F2"/>
    <mergeCell ref="E3:F3"/>
  </mergeCells>
  <printOptions horizontalCentered="1"/>
  <pageMargins left="0.11811023622047245" right="0.11811023622047245" top="0.27559055118110237" bottom="0.19685039370078741" header="0.27559055118110237" footer="0.11811023622047245"/>
  <pageSetup scale="77"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911C7-A747-4E64-B943-34BAF3056EF5}">
  <sheetPr>
    <pageSetUpPr fitToPage="1"/>
  </sheetPr>
  <dimension ref="A1:H69"/>
  <sheetViews>
    <sheetView topLeftCell="A20" workbookViewId="0">
      <selection activeCell="A7" sqref="A7:F7"/>
    </sheetView>
  </sheetViews>
  <sheetFormatPr defaultRowHeight="14.5"/>
  <cols>
    <col min="1" max="1" width="30.7265625" customWidth="1"/>
    <col min="2" max="6" width="20.7265625" style="118" customWidth="1"/>
    <col min="7" max="7" width="16.453125" customWidth="1"/>
    <col min="8" max="8" width="17.54296875" bestFit="1" customWidth="1"/>
  </cols>
  <sheetData>
    <row r="1" spans="1:7" ht="18">
      <c r="A1" s="743" t="str">
        <f>Status!C1</f>
        <v>UNEP/OzL.Pro/ExCom/94/3</v>
      </c>
      <c r="B1" s="743"/>
      <c r="C1" s="62"/>
      <c r="D1" s="62"/>
    </row>
    <row r="2" spans="1:7" ht="18">
      <c r="A2" s="95" t="s">
        <v>0</v>
      </c>
      <c r="C2" s="62"/>
      <c r="D2" s="62"/>
    </row>
    <row r="3" spans="1:7" ht="18">
      <c r="A3" s="23" t="s">
        <v>147</v>
      </c>
      <c r="C3" s="62"/>
      <c r="D3" s="62"/>
    </row>
    <row r="4" spans="1:7" ht="15.5">
      <c r="A4" s="1"/>
      <c r="B4" s="62"/>
      <c r="C4" s="62"/>
      <c r="D4" s="62"/>
      <c r="E4" s="62"/>
      <c r="F4" s="62"/>
    </row>
    <row r="5" spans="1:7" ht="16">
      <c r="A5" s="735" t="s">
        <v>2</v>
      </c>
      <c r="B5" s="735"/>
      <c r="C5" s="735"/>
      <c r="D5" s="735"/>
      <c r="E5" s="735"/>
      <c r="F5" s="735"/>
    </row>
    <row r="6" spans="1:7" ht="15.5">
      <c r="A6" s="729" t="s">
        <v>283</v>
      </c>
      <c r="B6" s="729"/>
      <c r="C6" s="729"/>
      <c r="D6" s="729"/>
      <c r="E6" s="729"/>
      <c r="F6" s="729"/>
    </row>
    <row r="7" spans="1:7" ht="16.5" thickBot="1">
      <c r="A7" s="728" t="str">
        <f>Status!A6</f>
        <v>As at 24/05/2024</v>
      </c>
      <c r="B7" s="728"/>
      <c r="C7" s="728"/>
      <c r="D7" s="728"/>
      <c r="E7" s="728"/>
      <c r="F7" s="728"/>
    </row>
    <row r="8" spans="1:7" ht="33" customHeight="1" thickBot="1">
      <c r="A8" s="68" t="s">
        <v>60</v>
      </c>
      <c r="B8" s="69" t="s">
        <v>61</v>
      </c>
      <c r="C8" s="69" t="s">
        <v>62</v>
      </c>
      <c r="D8" s="629" t="s">
        <v>63</v>
      </c>
      <c r="E8" s="69" t="s">
        <v>64</v>
      </c>
      <c r="F8" s="70" t="s">
        <v>65</v>
      </c>
    </row>
    <row r="9" spans="1:7">
      <c r="A9" s="501" t="s">
        <v>67</v>
      </c>
      <c r="B9" s="623">
        <f>'YR2015'!B9+'YR2016'!B9+'YR2017'!B9</f>
        <v>48504</v>
      </c>
      <c r="C9" s="623">
        <f>'YR2015'!C9+'YR2016'!C9+'YR2017'!C9</f>
        <v>48504</v>
      </c>
      <c r="D9" s="623">
        <f>'YR2015'!D9+'YR2016'!D9+'YR2017'!D9</f>
        <v>0</v>
      </c>
      <c r="E9" s="623">
        <f>'YR2015'!E9+'YR2016'!E9+'YR2017'!E9</f>
        <v>0</v>
      </c>
      <c r="F9" s="665">
        <f t="shared" ref="F9:F57" si="0">B9-C9-D9-E9</f>
        <v>0</v>
      </c>
      <c r="G9" s="516"/>
    </row>
    <row r="10" spans="1:7">
      <c r="A10" s="506" t="s">
        <v>130</v>
      </c>
      <c r="B10" s="534">
        <f>'YR2015'!B10+'YR2016'!B10+'YR2017'!B10</f>
        <v>12574443</v>
      </c>
      <c r="C10" s="534">
        <f>'YR2015'!C10+'YR2016'!C10+'YR2017'!C10</f>
        <v>12574443</v>
      </c>
      <c r="D10" s="534">
        <f>'YR2015'!D10+'YR2016'!D10+'YR2017'!D10</f>
        <v>0</v>
      </c>
      <c r="E10" s="534">
        <f>'YR2015'!E10+'YR2016'!E10+'YR2017'!E10</f>
        <v>0</v>
      </c>
      <c r="F10" s="515">
        <f t="shared" si="0"/>
        <v>0</v>
      </c>
      <c r="G10" s="516"/>
    </row>
    <row r="11" spans="1:7">
      <c r="A11" s="506" t="s">
        <v>69</v>
      </c>
      <c r="B11" s="534">
        <f>'YR2015'!B11+'YR2016'!B11+'YR2017'!B11</f>
        <v>4838190</v>
      </c>
      <c r="C11" s="534">
        <f>'YR2015'!C11+'YR2016'!C11+'YR2017'!C11</f>
        <v>4838190</v>
      </c>
      <c r="D11" s="534">
        <f>'YR2015'!D11+'YR2016'!D11+'YR2017'!D11</f>
        <v>0</v>
      </c>
      <c r="E11" s="534">
        <f>'YR2015'!E11+'YR2016'!E11+'YR2017'!E11</f>
        <v>0</v>
      </c>
      <c r="F11" s="515">
        <f t="shared" si="0"/>
        <v>0</v>
      </c>
      <c r="G11" s="516"/>
    </row>
    <row r="12" spans="1:7">
      <c r="A12" s="517" t="s">
        <v>70</v>
      </c>
      <c r="B12" s="534">
        <f>'YR2015'!B12+'YR2016'!B12+'YR2017'!B12</f>
        <v>242517</v>
      </c>
      <c r="C12" s="534">
        <f>'YR2015'!C12+'YR2016'!C12+'YR2017'!C12</f>
        <v>0</v>
      </c>
      <c r="D12" s="534">
        <f>'YR2015'!D12+'YR2016'!D12+'YR2017'!D12</f>
        <v>0</v>
      </c>
      <c r="E12" s="534">
        <f>'YR2015'!E12+'YR2016'!E12+'YR2017'!E12</f>
        <v>0</v>
      </c>
      <c r="F12" s="515">
        <f t="shared" si="0"/>
        <v>242517</v>
      </c>
      <c r="G12" s="516"/>
    </row>
    <row r="13" spans="1:7">
      <c r="A13" s="506" t="s">
        <v>71</v>
      </c>
      <c r="B13" s="534">
        <f>'YR2015'!B13+'YR2016'!B13+'YR2017'!B13</f>
        <v>339522</v>
      </c>
      <c r="C13" s="534">
        <f>'YR2015'!C13+'YR2016'!C13+'YR2017'!C13</f>
        <v>226348</v>
      </c>
      <c r="D13" s="534">
        <f>'YR2015'!D13+'YR2016'!D13+'YR2017'!D13</f>
        <v>0</v>
      </c>
      <c r="E13" s="534">
        <f>'YR2015'!E13+'YR2016'!E13+'YR2017'!E13</f>
        <v>0</v>
      </c>
      <c r="F13" s="515">
        <f t="shared" si="0"/>
        <v>113174</v>
      </c>
      <c r="G13" s="516"/>
    </row>
    <row r="14" spans="1:7">
      <c r="A14" s="506" t="s">
        <v>72</v>
      </c>
      <c r="B14" s="534">
        <f>'YR2015'!B14+'YR2016'!B14+'YR2017'!B14</f>
        <v>6050769</v>
      </c>
      <c r="C14" s="534">
        <f>'YR2015'!C14+'YR2016'!C14+'YR2017'!C14</f>
        <v>6050769</v>
      </c>
      <c r="D14" s="534">
        <f>'YR2015'!D14+'YR2016'!D14+'YR2017'!D14</f>
        <v>0</v>
      </c>
      <c r="E14" s="534">
        <f>'YR2015'!E14+'YR2016'!E14+'YR2017'!E14</f>
        <v>0</v>
      </c>
      <c r="F14" s="515">
        <f t="shared" si="0"/>
        <v>0</v>
      </c>
      <c r="G14" s="516"/>
    </row>
    <row r="15" spans="1:7">
      <c r="A15" s="506" t="s">
        <v>73</v>
      </c>
      <c r="B15" s="534">
        <f>'YR2015'!B15+'YR2016'!B15+'YR2017'!B15</f>
        <v>284955</v>
      </c>
      <c r="C15" s="534">
        <f>'YR2015'!C15+'YR2016'!C15+'YR2017'!C15</f>
        <v>284955</v>
      </c>
      <c r="D15" s="534">
        <f>'YR2015'!D15+'YR2016'!D15+'YR2017'!D15</f>
        <v>0</v>
      </c>
      <c r="E15" s="534">
        <f>'YR2015'!E15+'YR2016'!E15+'YR2017'!E15</f>
        <v>0</v>
      </c>
      <c r="F15" s="515">
        <f t="shared" si="0"/>
        <v>0</v>
      </c>
      <c r="G15" s="516"/>
    </row>
    <row r="16" spans="1:7">
      <c r="A16" s="506" t="s">
        <v>131</v>
      </c>
      <c r="B16" s="534">
        <f>'YR2015'!B16+'YR2016'!B16+'YR2017'!B16</f>
        <v>18091677</v>
      </c>
      <c r="C16" s="534">
        <f>'YR2015'!C16+'YR2016'!C16+'YR2017'!C16</f>
        <v>18091676.630000003</v>
      </c>
      <c r="D16" s="534">
        <f>'YR2015'!D16+'YR2016'!D16+'YR2017'!D16</f>
        <v>0</v>
      </c>
      <c r="E16" s="534">
        <f>'YR2015'!E16+'YR2016'!E16+'YR2017'!E16</f>
        <v>0</v>
      </c>
      <c r="F16" s="515">
        <f t="shared" si="0"/>
        <v>0.36999999731779099</v>
      </c>
      <c r="G16" s="516"/>
    </row>
    <row r="17" spans="1:8">
      <c r="A17" s="506" t="s">
        <v>75</v>
      </c>
      <c r="B17" s="534">
        <f>'YR2015'!B17+'YR2016'!B17+'YR2017'!B17</f>
        <v>763926</v>
      </c>
      <c r="C17" s="534">
        <f>'YR2015'!C17+'YR2016'!C17+'YR2017'!C17</f>
        <v>763926.44</v>
      </c>
      <c r="D17" s="534">
        <f>'YR2015'!D17+'YR2016'!D17+'YR2017'!D17</f>
        <v>0</v>
      </c>
      <c r="E17" s="534">
        <f>'YR2015'!E17+'YR2016'!E17+'YR2017'!E17</f>
        <v>0</v>
      </c>
      <c r="F17" s="515">
        <f t="shared" si="0"/>
        <v>-0.43999999994412065</v>
      </c>
      <c r="G17" s="516"/>
    </row>
    <row r="18" spans="1:8">
      <c r="A18" s="506" t="s">
        <v>76</v>
      </c>
      <c r="B18" s="534">
        <f>'YR2015'!B18+'YR2016'!B18+'YR2017'!B18</f>
        <v>284955</v>
      </c>
      <c r="C18" s="534">
        <f>'YR2015'!C18+'YR2016'!C18+'YR2017'!C18</f>
        <v>284955</v>
      </c>
      <c r="D18" s="534">
        <f>'YR2015'!D18+'YR2016'!D18+'YR2017'!D18</f>
        <v>0</v>
      </c>
      <c r="E18" s="534">
        <f>'YR2015'!E18+'YR2016'!E18+'YR2017'!E18</f>
        <v>0</v>
      </c>
      <c r="F18" s="515">
        <f t="shared" si="0"/>
        <v>0</v>
      </c>
      <c r="G18" s="516"/>
    </row>
    <row r="19" spans="1:8">
      <c r="A19" s="506" t="s">
        <v>77</v>
      </c>
      <c r="B19" s="534">
        <f>'YR2015'!B19+'YR2016'!B19+'YR2017'!B19</f>
        <v>2340276</v>
      </c>
      <c r="C19" s="534">
        <f>'YR2015'!C19+'YR2016'!C19+'YR2017'!C19</f>
        <v>2340276</v>
      </c>
      <c r="D19" s="534">
        <f>'YR2015'!D19+'YR2016'!D19+'YR2017'!D19</f>
        <v>0</v>
      </c>
      <c r="E19" s="534">
        <f>'YR2015'!E19+'YR2016'!E19+'YR2017'!E19</f>
        <v>0</v>
      </c>
      <c r="F19" s="515">
        <f t="shared" si="0"/>
        <v>0</v>
      </c>
      <c r="G19" s="516"/>
    </row>
    <row r="20" spans="1:8">
      <c r="A20" s="506" t="s">
        <v>78</v>
      </c>
      <c r="B20" s="534">
        <f>'YR2015'!B20+'YR2016'!B20+'YR2017'!B20</f>
        <v>4092453</v>
      </c>
      <c r="C20" s="534">
        <f>'YR2015'!C20+'YR2016'!C20+'YR2017'!C20</f>
        <v>4092453</v>
      </c>
      <c r="D20" s="534">
        <f>'YR2015'!D20+'YR2016'!D20+'YR2017'!D20</f>
        <v>0</v>
      </c>
      <c r="E20" s="534">
        <f>'YR2015'!E20+'YR2016'!E20+'YR2017'!E20</f>
        <v>0</v>
      </c>
      <c r="F20" s="515">
        <f t="shared" si="0"/>
        <v>0</v>
      </c>
      <c r="G20" s="516"/>
    </row>
    <row r="21" spans="1:8">
      <c r="A21" s="506" t="s">
        <v>79</v>
      </c>
      <c r="B21" s="534">
        <f>'YR2015'!B21+'YR2016'!B21+'YR2017'!B21</f>
        <v>242517</v>
      </c>
      <c r="C21" s="534">
        <f>'YR2015'!C21+'YR2016'!C21+'YR2017'!C21</f>
        <v>242517</v>
      </c>
      <c r="D21" s="534">
        <f>'YR2015'!D21+'YR2016'!D21+'YR2017'!D21</f>
        <v>0</v>
      </c>
      <c r="E21" s="534">
        <f>'YR2015'!E21+'YR2016'!E21+'YR2017'!E21</f>
        <v>0</v>
      </c>
      <c r="F21" s="515">
        <f t="shared" si="0"/>
        <v>0</v>
      </c>
      <c r="G21" s="516"/>
    </row>
    <row r="22" spans="1:8">
      <c r="A22" s="506" t="s">
        <v>80</v>
      </c>
      <c r="B22" s="534">
        <f>'YR2015'!B22+'YR2016'!B22+'YR2017'!B22</f>
        <v>3146643</v>
      </c>
      <c r="C22" s="534">
        <f>'YR2015'!C22+'YR2016'!C22+'YR2017'!C22</f>
        <v>3146643</v>
      </c>
      <c r="D22" s="534">
        <f>'YR2015'!D22+'YR2016'!D22+'YR2017'!D22</f>
        <v>0</v>
      </c>
      <c r="E22" s="534">
        <f>'YR2015'!E22+'YR2016'!E22+'YR2017'!E22</f>
        <v>0</v>
      </c>
      <c r="F22" s="515">
        <f t="shared" si="0"/>
        <v>0</v>
      </c>
      <c r="G22" s="516"/>
    </row>
    <row r="23" spans="1:8">
      <c r="A23" s="506" t="s">
        <v>132</v>
      </c>
      <c r="B23" s="534">
        <f>'YR2015'!B23+'YR2016'!B23+'YR2017'!B23</f>
        <v>33909768</v>
      </c>
      <c r="C23" s="534">
        <f>'YR2015'!C23+'YR2016'!C23+'YR2017'!C23</f>
        <v>32754742.009999998</v>
      </c>
      <c r="D23" s="534">
        <f>'YR2015'!D23+'YR2016'!D23+'YR2017'!D23</f>
        <v>1155026</v>
      </c>
      <c r="E23" s="534">
        <f>'YR2015'!E23+'YR2016'!E23+'YR2017'!E23</f>
        <v>0</v>
      </c>
      <c r="F23" s="515">
        <f t="shared" si="0"/>
        <v>-9.9999979138374329E-3</v>
      </c>
      <c r="G23" s="516"/>
    </row>
    <row r="24" spans="1:8">
      <c r="A24" s="506" t="s">
        <v>133</v>
      </c>
      <c r="B24" s="534">
        <f>'YR2015'!B24+'YR2016'!B24+'YR2017'!B24</f>
        <v>43295127</v>
      </c>
      <c r="C24" s="534">
        <f>'YR2015'!C24+'YR2016'!C24+'YR2017'!C24</f>
        <v>34537016.280000001</v>
      </c>
      <c r="D24" s="534">
        <f>'YR2015'!D24+'YR2016'!D24+'YR2017'!D24</f>
        <v>8758111</v>
      </c>
      <c r="E24" s="534">
        <f>'YR2015'!E24+'YR2016'!E24+'YR2017'!E24</f>
        <v>-0.10624981066212058</v>
      </c>
      <c r="F24" s="515">
        <f t="shared" si="0"/>
        <v>-0.17375019052997231</v>
      </c>
      <c r="G24" s="518"/>
      <c r="H24" s="112"/>
    </row>
    <row r="25" spans="1:8">
      <c r="A25" s="506" t="s">
        <v>83</v>
      </c>
      <c r="B25" s="534">
        <f>'YR2015'!B25+'YR2016'!B25+'YR2017'!B25</f>
        <v>3868128</v>
      </c>
      <c r="C25" s="534">
        <f>'YR2015'!C25+'YR2016'!C25+'YR2017'!C25</f>
        <v>3868128</v>
      </c>
      <c r="D25" s="534">
        <f>'YR2015'!D25+'YR2016'!D25+'YR2017'!D25</f>
        <v>0</v>
      </c>
      <c r="E25" s="534">
        <f>'YR2015'!E25+'YR2016'!E25+'YR2017'!E25</f>
        <v>0</v>
      </c>
      <c r="F25" s="515">
        <f t="shared" si="0"/>
        <v>0</v>
      </c>
      <c r="G25" s="519"/>
    </row>
    <row r="26" spans="1:8">
      <c r="A26" s="506" t="s">
        <v>84</v>
      </c>
      <c r="B26" s="534">
        <f>'YR2015'!B26+'YR2016'!B26+'YR2017'!B26</f>
        <v>6063</v>
      </c>
      <c r="C26" s="534">
        <f>'YR2015'!C26+'YR2016'!C26+'YR2017'!C26</f>
        <v>6063</v>
      </c>
      <c r="D26" s="534">
        <f>'YR2015'!D26+'YR2016'!D26+'YR2017'!D26</f>
        <v>0</v>
      </c>
      <c r="E26" s="534">
        <f>'YR2015'!E26+'YR2016'!E26+'YR2017'!E26</f>
        <v>0</v>
      </c>
      <c r="F26" s="515">
        <f t="shared" si="0"/>
        <v>0</v>
      </c>
      <c r="G26" s="519"/>
    </row>
    <row r="27" spans="1:8">
      <c r="A27" s="506" t="s">
        <v>85</v>
      </c>
      <c r="B27" s="534">
        <f>'YR2015'!B27+'YR2016'!B27+'YR2017'!B27</f>
        <v>1612731</v>
      </c>
      <c r="C27" s="534">
        <f>'YR2015'!C27+'YR2016'!C27+'YR2017'!C27</f>
        <v>1612731</v>
      </c>
      <c r="D27" s="534">
        <f>'YR2015'!D27+'YR2016'!D27+'YR2017'!D27</f>
        <v>0</v>
      </c>
      <c r="E27" s="534">
        <f>'YR2015'!E27+'YR2016'!E27+'YR2017'!E27</f>
        <v>0</v>
      </c>
      <c r="F27" s="515">
        <f t="shared" si="0"/>
        <v>0</v>
      </c>
      <c r="G27" s="516"/>
    </row>
    <row r="28" spans="1:8">
      <c r="A28" s="506" t="s">
        <v>86</v>
      </c>
      <c r="B28" s="534">
        <f>'YR2015'!B28+'YR2016'!B28+'YR2017'!B28</f>
        <v>163698</v>
      </c>
      <c r="C28" s="534">
        <f>'YR2015'!C28+'YR2016'!C28+'YR2017'!C28</f>
        <v>163697.74</v>
      </c>
      <c r="D28" s="534">
        <f>'YR2015'!D28+'YR2016'!D28+'YR2017'!D28</f>
        <v>0</v>
      </c>
      <c r="E28" s="534">
        <f>'YR2015'!E28+'YR2016'!E28+'YR2017'!E28</f>
        <v>0</v>
      </c>
      <c r="F28" s="515">
        <f t="shared" si="0"/>
        <v>0.26000000000931323</v>
      </c>
      <c r="G28" s="516"/>
    </row>
    <row r="29" spans="1:8">
      <c r="A29" s="506" t="s">
        <v>134</v>
      </c>
      <c r="B29" s="534">
        <f>'YR2015'!B29+'YR2016'!B29+'YR2017'!B29</f>
        <v>2534289</v>
      </c>
      <c r="C29" s="534">
        <f>'YR2015'!C29+'YR2016'!C29+'YR2017'!C29</f>
        <v>2534289</v>
      </c>
      <c r="D29" s="534">
        <f>'YR2015'!D29+'YR2016'!D29+'YR2017'!D29</f>
        <v>0</v>
      </c>
      <c r="E29" s="534">
        <f>'YR2015'!E29+'YR2016'!E29+'YR2017'!E29</f>
        <v>0</v>
      </c>
      <c r="F29" s="515">
        <f t="shared" si="0"/>
        <v>0</v>
      </c>
      <c r="G29" s="516"/>
    </row>
    <row r="30" spans="1:8">
      <c r="A30" s="506" t="s">
        <v>88</v>
      </c>
      <c r="B30" s="534">
        <f>'YR2015'!B30+'YR2016'!B30+'YR2017'!B30</f>
        <v>2400906</v>
      </c>
      <c r="C30" s="534">
        <f>'YR2015'!C30+'YR2016'!C30+'YR2017'!C30</f>
        <v>0</v>
      </c>
      <c r="D30" s="534">
        <f>'YR2015'!D30+'YR2016'!D30+'YR2017'!D30</f>
        <v>0</v>
      </c>
      <c r="E30" s="534">
        <f>'YR2015'!E30+'YR2016'!E30+'YR2017'!E30</f>
        <v>0</v>
      </c>
      <c r="F30" s="515">
        <f t="shared" si="0"/>
        <v>2400906</v>
      </c>
      <c r="G30" s="516"/>
    </row>
    <row r="31" spans="1:8">
      <c r="A31" s="506" t="s">
        <v>89</v>
      </c>
      <c r="B31" s="534">
        <f>'YR2015'!B31+'YR2016'!B31+'YR2017'!B31</f>
        <v>26967753</v>
      </c>
      <c r="C31" s="534">
        <f>'YR2015'!C31+'YR2016'!C31+'YR2017'!C31</f>
        <v>24877302.990000002</v>
      </c>
      <c r="D31" s="534">
        <f>'YR2015'!D31+'YR2016'!D31+'YR2017'!D31</f>
        <v>2090450</v>
      </c>
      <c r="E31" s="534">
        <f>'YR2015'!E31+'YR2016'!E31+'YR2017'!E31</f>
        <v>0</v>
      </c>
      <c r="F31" s="515">
        <f t="shared" si="0"/>
        <v>9.9999979138374329E-3</v>
      </c>
      <c r="G31" s="516"/>
    </row>
    <row r="32" spans="1:8">
      <c r="A32" s="506" t="s">
        <v>135</v>
      </c>
      <c r="B32" s="534">
        <f>'YR2015'!B32+'YR2016'!B32+'YR2017'!B32</f>
        <v>65679333</v>
      </c>
      <c r="C32" s="534">
        <f>'YR2015'!C32+'YR2016'!C32+'YR2017'!C32</f>
        <v>65359259.850000001</v>
      </c>
      <c r="D32" s="534">
        <f>'YR2015'!D32+'YR2016'!D32+'YR2017'!D32</f>
        <v>320073</v>
      </c>
      <c r="E32" s="534">
        <f>'YR2015'!E32+'YR2016'!E32+'YR2017'!E32</f>
        <v>0</v>
      </c>
      <c r="F32" s="515">
        <f t="shared" si="0"/>
        <v>0.14999999850988388</v>
      </c>
      <c r="G32" s="516"/>
      <c r="H32" s="114"/>
    </row>
    <row r="33" spans="1:8">
      <c r="A33" s="506" t="s">
        <v>91</v>
      </c>
      <c r="B33" s="534">
        <f>'YR2015'!B33+'YR2016'!B33+'YR2017'!B33</f>
        <v>733611</v>
      </c>
      <c r="C33" s="534">
        <f>'YR2015'!C33+'YR2016'!C33+'YR2017'!C33</f>
        <v>733611</v>
      </c>
      <c r="D33" s="534">
        <f>'YR2015'!D33+'YR2016'!D33+'YR2017'!D33</f>
        <v>0</v>
      </c>
      <c r="E33" s="534">
        <f>'YR2015'!E33+'YR2016'!E33+'YR2017'!E33</f>
        <v>0</v>
      </c>
      <c r="F33" s="515">
        <f t="shared" si="0"/>
        <v>0</v>
      </c>
      <c r="G33" s="516"/>
      <c r="H33" s="114"/>
    </row>
    <row r="34" spans="1:8">
      <c r="A34" s="506" t="s">
        <v>93</v>
      </c>
      <c r="B34" s="534">
        <f>'YR2015'!B34+'YR2016'!B34+'YR2017'!B34</f>
        <v>284955</v>
      </c>
      <c r="C34" s="534">
        <f>'YR2015'!C34+'YR2016'!C34+'YR2017'!C34</f>
        <v>284955</v>
      </c>
      <c r="D34" s="534">
        <f>'YR2015'!D34+'YR2016'!D34+'YR2017'!D34</f>
        <v>0</v>
      </c>
      <c r="E34" s="534">
        <f>'YR2015'!E34+'YR2016'!E34+'YR2017'!E34</f>
        <v>0</v>
      </c>
      <c r="F34" s="515">
        <f t="shared" si="0"/>
        <v>0</v>
      </c>
      <c r="G34" s="516"/>
    </row>
    <row r="35" spans="1:8">
      <c r="A35" s="506" t="s">
        <v>94</v>
      </c>
      <c r="B35" s="534">
        <f>'YR2015'!B35+'YR2016'!B35+'YR2017'!B35</f>
        <v>54567</v>
      </c>
      <c r="C35" s="534">
        <f>'YR2015'!C35+'YR2016'!C35+'YR2017'!C35</f>
        <v>54567</v>
      </c>
      <c r="D35" s="534">
        <f>'YR2015'!D35+'YR2016'!D35+'YR2017'!D35</f>
        <v>0</v>
      </c>
      <c r="E35" s="534">
        <f>'YR2015'!E35+'YR2016'!E35+'YR2017'!E35</f>
        <v>0</v>
      </c>
      <c r="F35" s="515">
        <f t="shared" si="0"/>
        <v>0</v>
      </c>
      <c r="G35" s="516"/>
    </row>
    <row r="36" spans="1:8">
      <c r="A36" s="506" t="s">
        <v>95</v>
      </c>
      <c r="B36" s="534">
        <f>'YR2015'!B36+'YR2016'!B36+'YR2017'!B36</f>
        <v>442590</v>
      </c>
      <c r="C36" s="534">
        <f>'YR2015'!C36+'YR2016'!C36+'YR2017'!C36</f>
        <v>442590</v>
      </c>
      <c r="D36" s="534">
        <f>'YR2015'!D36+'YR2016'!D36+'YR2017'!D36</f>
        <v>0</v>
      </c>
      <c r="E36" s="534">
        <f>'YR2015'!E36+'YR2016'!E36+'YR2017'!E36</f>
        <v>0</v>
      </c>
      <c r="F36" s="515">
        <f t="shared" si="0"/>
        <v>0</v>
      </c>
      <c r="G36" s="516"/>
    </row>
    <row r="37" spans="1:8">
      <c r="A37" s="506" t="s">
        <v>96</v>
      </c>
      <c r="B37" s="534">
        <f>'YR2015'!B37+'YR2016'!B37+'YR2017'!B37</f>
        <v>491094</v>
      </c>
      <c r="C37" s="534">
        <f>'YR2015'!C37+'YR2016'!C37+'YR2017'!C37</f>
        <v>491094</v>
      </c>
      <c r="D37" s="534">
        <f>'YR2015'!D37+'YR2016'!D37+'YR2017'!D37</f>
        <v>0</v>
      </c>
      <c r="E37" s="534">
        <f>'YR2015'!E37+'YR2016'!E37+'YR2017'!E37</f>
        <v>0</v>
      </c>
      <c r="F37" s="515">
        <f t="shared" si="0"/>
        <v>0</v>
      </c>
      <c r="G37" s="516"/>
    </row>
    <row r="38" spans="1:8">
      <c r="A38" s="506" t="s">
        <v>97</v>
      </c>
      <c r="B38" s="534">
        <f>'YR2015'!B38+'YR2016'!B38+'YR2017'!B38</f>
        <v>97005</v>
      </c>
      <c r="C38" s="534">
        <f>'YR2015'!C38+'YR2016'!C38+'YR2017'!C38</f>
        <v>64670</v>
      </c>
      <c r="D38" s="534">
        <f>'YR2015'!D38+'YR2016'!D38+'YR2017'!D38</f>
        <v>0</v>
      </c>
      <c r="E38" s="534">
        <f>'YR2015'!E38+'YR2016'!E38+'YR2017'!E38</f>
        <v>0</v>
      </c>
      <c r="F38" s="515">
        <f t="shared" si="0"/>
        <v>32335</v>
      </c>
      <c r="G38" s="516"/>
    </row>
    <row r="39" spans="1:8">
      <c r="A39" s="506" t="s">
        <v>98</v>
      </c>
      <c r="B39" s="534">
        <f>'YR2015'!B39+'YR2016'!B39+'YR2017'!B39</f>
        <v>72756</v>
      </c>
      <c r="C39" s="534">
        <f>'YR2015'!C39+'YR2016'!C39+'YR2017'!C39</f>
        <v>72756</v>
      </c>
      <c r="D39" s="534">
        <f>'YR2015'!D39+'YR2016'!D39+'YR2017'!D39</f>
        <v>0</v>
      </c>
      <c r="E39" s="534">
        <f>'YR2015'!E39+'YR2016'!E39+'YR2017'!E39</f>
        <v>0</v>
      </c>
      <c r="F39" s="515">
        <f t="shared" si="0"/>
        <v>0</v>
      </c>
      <c r="G39" s="516"/>
    </row>
    <row r="40" spans="1:8">
      <c r="A40" s="506" t="s">
        <v>99</v>
      </c>
      <c r="B40" s="534">
        <f>'YR2015'!B40+'YR2016'!B40+'YR2017'!B40</f>
        <v>10028028</v>
      </c>
      <c r="C40" s="534">
        <f>'YR2015'!C40+'YR2016'!C40+'YR2017'!C40</f>
        <v>10028028</v>
      </c>
      <c r="D40" s="534">
        <f>'YR2015'!D40+'YR2016'!D40+'YR2017'!D40</f>
        <v>0</v>
      </c>
      <c r="E40" s="534">
        <f>'YR2015'!E40+'YR2016'!E40+'YR2017'!E40</f>
        <v>0</v>
      </c>
      <c r="F40" s="515">
        <f t="shared" si="0"/>
        <v>0</v>
      </c>
      <c r="G40" s="516"/>
    </row>
    <row r="41" spans="1:8">
      <c r="A41" s="506" t="s">
        <v>100</v>
      </c>
      <c r="B41" s="534">
        <f>'YR2015'!B41+'YR2016'!B41+'YR2017'!B41</f>
        <v>1533912</v>
      </c>
      <c r="C41" s="534">
        <f>'YR2015'!C41+'YR2016'!C41+'YR2017'!C41</f>
        <v>1533912</v>
      </c>
      <c r="D41" s="534">
        <f>'YR2015'!D41+'YR2016'!D41+'YR2017'!D41</f>
        <v>0</v>
      </c>
      <c r="E41" s="534">
        <f>'YR2015'!E41+'YR2016'!E41+'YR2017'!E41</f>
        <v>0</v>
      </c>
      <c r="F41" s="515">
        <f t="shared" si="0"/>
        <v>0</v>
      </c>
      <c r="G41" s="516"/>
    </row>
    <row r="42" spans="1:8">
      <c r="A42" s="506" t="s">
        <v>101</v>
      </c>
      <c r="B42" s="534">
        <f>'YR2015'!B42+'YR2016'!B42+'YR2017'!B42</f>
        <v>5159523</v>
      </c>
      <c r="C42" s="534">
        <f>'YR2015'!C42+'YR2016'!C42+'YR2017'!C42</f>
        <v>5159523</v>
      </c>
      <c r="D42" s="534">
        <f>'YR2015'!D42+'YR2016'!D42+'YR2017'!D42</f>
        <v>0</v>
      </c>
      <c r="E42" s="534">
        <f>'YR2015'!E42+'YR2016'!E42+'YR2017'!E42</f>
        <v>0</v>
      </c>
      <c r="F42" s="515">
        <f t="shared" si="0"/>
        <v>0</v>
      </c>
      <c r="G42" s="516"/>
    </row>
    <row r="43" spans="1:8">
      <c r="A43" s="506" t="s">
        <v>103</v>
      </c>
      <c r="B43" s="534">
        <f>'YR2015'!B43+'YR2016'!B43+'YR2017'!B43</f>
        <v>5583927</v>
      </c>
      <c r="C43" s="534">
        <f>'YR2015'!C43+'YR2016'!C43+'YR2017'!C43</f>
        <v>5583927.4000000004</v>
      </c>
      <c r="D43" s="534">
        <f>'YR2015'!D43+'YR2016'!D43+'YR2017'!D43</f>
        <v>0</v>
      </c>
      <c r="E43" s="534">
        <f>'YR2015'!E43+'YR2016'!E43+'YR2017'!E43</f>
        <v>0</v>
      </c>
      <c r="F43" s="515">
        <f t="shared" si="0"/>
        <v>-0.40000000037252903</v>
      </c>
      <c r="G43" s="516"/>
    </row>
    <row r="44" spans="1:8">
      <c r="A44" s="506" t="s">
        <v>104</v>
      </c>
      <c r="B44" s="534">
        <f>'YR2015'!B44+'YR2016'!B44+'YR2017'!B44</f>
        <v>2873811</v>
      </c>
      <c r="C44" s="534">
        <f>'YR2015'!C44+'YR2016'!C44+'YR2017'!C44</f>
        <v>2873811</v>
      </c>
      <c r="D44" s="534">
        <f>'YR2015'!D44+'YR2016'!D44+'YR2017'!D44</f>
        <v>0</v>
      </c>
      <c r="E44" s="534">
        <f>'YR2015'!E44+'YR2016'!E44+'YR2017'!E44</f>
        <v>0</v>
      </c>
      <c r="F44" s="515">
        <f t="shared" si="0"/>
        <v>0</v>
      </c>
      <c r="G44" s="516"/>
    </row>
    <row r="45" spans="1:8">
      <c r="A45" s="506" t="s">
        <v>105</v>
      </c>
      <c r="B45" s="534">
        <f>'YR2015'!B45+'YR2016'!B45+'YR2017'!B45</f>
        <v>1370214</v>
      </c>
      <c r="C45" s="534">
        <f>'YR2015'!C45+'YR2016'!C45+'YR2017'!C45</f>
        <v>1370214</v>
      </c>
      <c r="D45" s="534">
        <f>'YR2015'!D45+'YR2016'!D45+'YR2017'!D45</f>
        <v>0</v>
      </c>
      <c r="E45" s="534">
        <f>'YR2015'!E45+'YR2016'!E45+'YR2017'!E45</f>
        <v>0</v>
      </c>
      <c r="F45" s="515">
        <f t="shared" si="0"/>
        <v>0</v>
      </c>
      <c r="G45" s="516"/>
    </row>
    <row r="46" spans="1:8">
      <c r="A46" s="506" t="s">
        <v>106</v>
      </c>
      <c r="B46" s="534">
        <f>'YR2015'!B46+'YR2016'!B46+'YR2017'!B46</f>
        <v>14781336</v>
      </c>
      <c r="C46" s="534">
        <f>'YR2015'!C46+'YR2016'!C46+'YR2017'!C46</f>
        <v>14114660.41</v>
      </c>
      <c r="D46" s="534">
        <f>'YR2015'!D46+'YR2016'!D46+'YR2017'!D46</f>
        <v>666676</v>
      </c>
      <c r="E46" s="534">
        <f>'YR2015'!E46+'YR2016'!E46+'YR2017'!E46</f>
        <v>0</v>
      </c>
      <c r="F46" s="515">
        <f t="shared" si="0"/>
        <v>-0.41000000014901161</v>
      </c>
      <c r="G46" s="516"/>
    </row>
    <row r="47" spans="1:8">
      <c r="A47" s="506" t="s">
        <v>107</v>
      </c>
      <c r="B47" s="534">
        <f>'YR2015'!B47+'YR2016'!B47+'YR2017'!B47</f>
        <v>18189</v>
      </c>
      <c r="C47" s="534">
        <f>'YR2015'!C47+'YR2016'!C47+'YR2017'!C47</f>
        <v>18189</v>
      </c>
      <c r="D47" s="534">
        <f>'YR2015'!D47+'YR2016'!D47+'YR2017'!D47</f>
        <v>0</v>
      </c>
      <c r="E47" s="534">
        <f>'YR2015'!E47+'YR2016'!E47+'YR2017'!E47</f>
        <v>0</v>
      </c>
      <c r="F47" s="515">
        <f t="shared" si="0"/>
        <v>0</v>
      </c>
      <c r="G47" s="516"/>
    </row>
    <row r="48" spans="1:8">
      <c r="A48" s="506" t="s">
        <v>109</v>
      </c>
      <c r="B48" s="534">
        <f>'YR2015'!B48+'YR2016'!B48+'YR2017'!B48</f>
        <v>1036755</v>
      </c>
      <c r="C48" s="534">
        <f>'YR2015'!C48+'YR2016'!C48+'YR2017'!C48</f>
        <v>1036755.1799999999</v>
      </c>
      <c r="D48" s="534">
        <f>'YR2015'!D48+'YR2016'!D48+'YR2017'!D48</f>
        <v>0</v>
      </c>
      <c r="E48" s="534">
        <f>'YR2015'!E48+'YR2016'!E48+'YR2017'!E48</f>
        <v>0</v>
      </c>
      <c r="F48" s="515">
        <f t="shared" si="0"/>
        <v>-0.17999999993480742</v>
      </c>
      <c r="G48" s="516"/>
    </row>
    <row r="49" spans="1:7">
      <c r="A49" s="506" t="s">
        <v>110</v>
      </c>
      <c r="B49" s="534">
        <f>'YR2015'!B49+'YR2016'!B49+'YR2017'!B49</f>
        <v>606288</v>
      </c>
      <c r="C49" s="534">
        <f>'YR2015'!C49+'YR2016'!C49+'YR2017'!C49</f>
        <v>606288</v>
      </c>
      <c r="D49" s="534">
        <f>'YR2015'!D49+'YR2016'!D49+'YR2017'!D49</f>
        <v>0</v>
      </c>
      <c r="E49" s="534">
        <f>'YR2015'!E49+'YR2016'!E49+'YR2017'!E49</f>
        <v>0</v>
      </c>
      <c r="F49" s="515">
        <f t="shared" si="0"/>
        <v>0</v>
      </c>
      <c r="G49" s="516"/>
    </row>
    <row r="50" spans="1:7">
      <c r="A50" s="506" t="s">
        <v>112</v>
      </c>
      <c r="B50" s="534">
        <f>'YR2015'!B50+'YR2016'!B50+'YR2017'!B50</f>
        <v>18024984</v>
      </c>
      <c r="C50" s="534">
        <f>'YR2015'!C50+'YR2016'!C50+'YR2017'!C50</f>
        <v>16846755</v>
      </c>
      <c r="D50" s="534">
        <f>'YR2015'!D50+'YR2016'!D50+'YR2017'!D50</f>
        <v>1178229</v>
      </c>
      <c r="E50" s="534">
        <f>'YR2015'!E50+'YR2016'!E50+'YR2017'!E50</f>
        <v>0</v>
      </c>
      <c r="F50" s="515">
        <f t="shared" si="0"/>
        <v>0</v>
      </c>
      <c r="G50" s="516"/>
    </row>
    <row r="51" spans="1:7">
      <c r="A51" s="506" t="s">
        <v>136</v>
      </c>
      <c r="B51" s="534">
        <f>'YR2015'!B51+'YR2016'!B51+'YR2017'!B51</f>
        <v>5820378</v>
      </c>
      <c r="C51" s="534">
        <f>'YR2015'!C51+'YR2016'!C51+'YR2017'!C51</f>
        <v>5820378</v>
      </c>
      <c r="D51" s="534">
        <f>'YR2015'!D51+'YR2016'!D51+'YR2017'!D51</f>
        <v>0</v>
      </c>
      <c r="E51" s="534">
        <f>'YR2015'!E51+'YR2016'!E51+'YR2017'!E51</f>
        <v>0</v>
      </c>
      <c r="F51" s="515">
        <f t="shared" si="0"/>
        <v>0</v>
      </c>
      <c r="G51" s="516"/>
    </row>
    <row r="52" spans="1:7">
      <c r="A52" s="506" t="s">
        <v>114</v>
      </c>
      <c r="B52" s="534">
        <f>'YR2015'!B52+'YR2016'!B52+'YR2017'!B52</f>
        <v>6347850</v>
      </c>
      <c r="C52" s="534">
        <f>'YR2015'!C52+'YR2016'!C52+'YR2017'!C52</f>
        <v>6347850</v>
      </c>
      <c r="D52" s="534">
        <f>'YR2015'!D52+'YR2016'!D52+'YR2017'!D52</f>
        <v>0</v>
      </c>
      <c r="E52" s="534">
        <f>'YR2015'!E52+'YR2016'!E52+'YR2017'!E52</f>
        <v>0</v>
      </c>
      <c r="F52" s="515">
        <f t="shared" si="0"/>
        <v>0</v>
      </c>
      <c r="G52" s="516"/>
    </row>
    <row r="53" spans="1:7" ht="18" customHeight="1">
      <c r="A53" s="506" t="s">
        <v>115</v>
      </c>
      <c r="B53" s="534">
        <f>'YR2015'!B53+'YR2016'!B53+'YR2017'!B53</f>
        <v>18188.670000000002</v>
      </c>
      <c r="C53" s="534">
        <f>'YR2015'!C53+'YR2016'!C53+'YR2017'!C53</f>
        <v>0</v>
      </c>
      <c r="D53" s="534">
        <f>'YR2015'!D53+'YR2016'!D53+'YR2017'!D53</f>
        <v>0</v>
      </c>
      <c r="E53" s="534">
        <f>'YR2015'!E53+'YR2016'!E53+'YR2017'!E53</f>
        <v>0</v>
      </c>
      <c r="F53" s="515">
        <f t="shared" si="0"/>
        <v>18188.670000000002</v>
      </c>
      <c r="G53" s="516"/>
    </row>
    <row r="54" spans="1:7">
      <c r="A54" s="506" t="s">
        <v>117</v>
      </c>
      <c r="B54" s="534">
        <f>'YR2015'!B54+'YR2016'!B54+'YR2017'!B54</f>
        <v>600226.53</v>
      </c>
      <c r="C54" s="534">
        <f>'YR2015'!C54+'YR2016'!C54+'YR2017'!C54</f>
        <v>0</v>
      </c>
      <c r="D54" s="534">
        <f>'YR2015'!D54+'YR2016'!D54+'YR2017'!D54</f>
        <v>0</v>
      </c>
      <c r="E54" s="534">
        <f>'YR2015'!E54+'YR2016'!E54+'YR2017'!E54</f>
        <v>0</v>
      </c>
      <c r="F54" s="515">
        <f t="shared" si="0"/>
        <v>600226.53</v>
      </c>
      <c r="G54" s="516"/>
    </row>
    <row r="55" spans="1:7">
      <c r="A55" s="506" t="s">
        <v>119</v>
      </c>
      <c r="B55" s="534">
        <f>'YR2015'!B55+'YR2016'!B55+'YR2017'!B55</f>
        <v>31399728</v>
      </c>
      <c r="C55" s="534">
        <f>'YR2015'!C55+'YR2016'!C55+'YR2017'!C55</f>
        <v>31399728</v>
      </c>
      <c r="D55" s="534">
        <f>'YR2015'!D55+'YR2016'!D55+'YR2017'!D55</f>
        <v>0</v>
      </c>
      <c r="E55" s="534">
        <f>'YR2015'!E55+'YR2016'!E55+'YR2017'!E55</f>
        <v>0</v>
      </c>
      <c r="F55" s="515">
        <f t="shared" si="0"/>
        <v>0</v>
      </c>
      <c r="G55" s="516"/>
    </row>
    <row r="56" spans="1:7">
      <c r="A56" s="506" t="s">
        <v>120</v>
      </c>
      <c r="B56" s="534">
        <f>'YR2015'!B56+'YR2016'!B56+'YR2017'!B56</f>
        <v>94948529</v>
      </c>
      <c r="C56" s="534">
        <f>'YR2015'!C56+'YR2016'!C56+'YR2017'!C56</f>
        <v>94948529.400000006</v>
      </c>
      <c r="D56" s="534">
        <f>'YR2015'!D56+'YR2016'!D56+'YR2017'!D56</f>
        <v>0</v>
      </c>
      <c r="E56" s="534">
        <f>'YR2015'!E56+'YR2016'!E56+'YR2017'!E56</f>
        <v>0</v>
      </c>
      <c r="F56" s="515">
        <f t="shared" si="0"/>
        <v>-0.40000000596046448</v>
      </c>
      <c r="G56" s="516"/>
    </row>
    <row r="57" spans="1:7" ht="15" thickBot="1">
      <c r="A57" s="520" t="s">
        <v>121</v>
      </c>
      <c r="B57" s="617">
        <f>'YR2015'!B57+'YR2016'!B57+'YR2017'!B57</f>
        <v>90942</v>
      </c>
      <c r="C57" s="617">
        <f>'YR2015'!C57+'YR2016'!C57+'YR2017'!C57</f>
        <v>0</v>
      </c>
      <c r="D57" s="617">
        <f>'YR2015'!D57+'YR2016'!D57+'YR2017'!D57</f>
        <v>0</v>
      </c>
      <c r="E57" s="617">
        <f>'YR2015'!E57+'YR2016'!E57+'YR2017'!E57</f>
        <v>0</v>
      </c>
      <c r="F57" s="618">
        <f t="shared" si="0"/>
        <v>90942</v>
      </c>
      <c r="G57" s="516"/>
    </row>
    <row r="58" spans="1:7" ht="15" thickBot="1">
      <c r="A58" s="514" t="s">
        <v>124</v>
      </c>
      <c r="B58" s="82">
        <f>SUM(B9:B57)</f>
        <v>436198530.19999999</v>
      </c>
      <c r="C58" s="82">
        <f>SUM(C9:C57)</f>
        <v>418531677.33000004</v>
      </c>
      <c r="D58" s="82">
        <f>SUM(D9:D57)</f>
        <v>14168565</v>
      </c>
      <c r="E58" s="82">
        <f>SUM(E9:E57)</f>
        <v>-0.10624981066212058</v>
      </c>
      <c r="F58" s="145">
        <f>SUM(F9:F57)</f>
        <v>3498287.9762497991</v>
      </c>
      <c r="G58" s="516"/>
    </row>
    <row r="59" spans="1:7" ht="15" thickBot="1">
      <c r="A59" s="521" t="s">
        <v>137</v>
      </c>
      <c r="B59" s="169">
        <f>'YR2015'!B59+'YR2016'!B59+'YR2017'!B59</f>
        <v>1301470</v>
      </c>
      <c r="C59" s="522">
        <v>0</v>
      </c>
      <c r="D59" s="522">
        <v>0</v>
      </c>
      <c r="E59" s="522">
        <v>0</v>
      </c>
      <c r="F59" s="170">
        <f>B59-C59-D59-E59</f>
        <v>1301470</v>
      </c>
      <c r="G59" s="516"/>
    </row>
    <row r="60" spans="1:7" ht="15" thickBot="1">
      <c r="A60" s="523" t="s">
        <v>138</v>
      </c>
      <c r="B60" s="83">
        <f>B58+B59</f>
        <v>437500000.19999999</v>
      </c>
      <c r="C60" s="83">
        <f>C58+C59</f>
        <v>418531677.33000004</v>
      </c>
      <c r="D60" s="83">
        <f>D58+D59</f>
        <v>14168565</v>
      </c>
      <c r="E60" s="83">
        <f>E58+E59</f>
        <v>-0.10624981066212058</v>
      </c>
      <c r="F60" s="171">
        <f>F58+F59</f>
        <v>4799757.9762497991</v>
      </c>
      <c r="G60" s="516"/>
    </row>
    <row r="61" spans="1:7">
      <c r="A61" s="524" t="s">
        <v>141</v>
      </c>
      <c r="B61" s="525"/>
      <c r="C61" s="525"/>
      <c r="D61" s="525"/>
      <c r="E61" s="525"/>
      <c r="F61" s="525"/>
      <c r="G61" s="516"/>
    </row>
    <row r="62" spans="1:7" ht="15" thickBot="1">
      <c r="A62" s="525"/>
      <c r="B62" s="525"/>
      <c r="C62" s="525"/>
      <c r="D62" s="525"/>
      <c r="E62" s="525"/>
      <c r="F62" s="525"/>
      <c r="G62" s="516"/>
    </row>
    <row r="63" spans="1:7" ht="15" thickBot="1">
      <c r="A63" s="526" t="s">
        <v>139</v>
      </c>
      <c r="B63" s="527">
        <f>B12+B13+B15+B19+B21+B27+B33+B34+B36+B43+B46+B48+B49+B53+B54+B57</f>
        <v>29241337.200000003</v>
      </c>
      <c r="C63" s="527">
        <f>C12+C13+C15+C19+C21+C26+C34+C36+C43+C46+C48+C49+C53+C54+C57</f>
        <v>25169334.990000002</v>
      </c>
      <c r="D63" s="527">
        <f>D12+D13+D15+D19+D21+D26+D34+D36+D43+D46+D48+D49+D53+D54+D57</f>
        <v>666676</v>
      </c>
      <c r="E63" s="527">
        <f>E12+E13+E15+E19+E21+E26+E34+E36+E43+E46+E48+E49+E53+E54+E57</f>
        <v>0</v>
      </c>
      <c r="F63" s="528">
        <f>B63-C63-D63-E63</f>
        <v>3405326.2100000009</v>
      </c>
      <c r="G63" s="516"/>
    </row>
    <row r="64" spans="1:7">
      <c r="A64" s="516"/>
      <c r="B64" s="516"/>
      <c r="C64" s="529"/>
      <c r="D64" s="516"/>
      <c r="E64" s="516"/>
      <c r="F64" s="516"/>
      <c r="G64" s="516"/>
    </row>
    <row r="65" spans="1:7" s="114" customFormat="1" ht="12.5">
      <c r="A65" s="530"/>
      <c r="B65" s="529"/>
      <c r="C65" s="518"/>
      <c r="D65" s="530"/>
      <c r="E65" s="530"/>
      <c r="F65" s="531"/>
      <c r="G65" s="530"/>
    </row>
    <row r="66" spans="1:7">
      <c r="A66" s="516"/>
      <c r="B66" s="516"/>
      <c r="C66" s="532"/>
      <c r="D66" s="516"/>
      <c r="E66" s="516"/>
      <c r="F66" s="533"/>
      <c r="G66" s="516"/>
    </row>
    <row r="67" spans="1:7">
      <c r="C67" s="125"/>
    </row>
    <row r="68" spans="1:7">
      <c r="C68" s="119"/>
    </row>
    <row r="69" spans="1:7">
      <c r="C69" s="119"/>
    </row>
  </sheetData>
  <mergeCells count="4">
    <mergeCell ref="A5:F5"/>
    <mergeCell ref="A6:F6"/>
    <mergeCell ref="A7:F7"/>
    <mergeCell ref="A1:B1"/>
  </mergeCells>
  <printOptions horizontalCentered="1"/>
  <pageMargins left="0.11811023622047245" right="0.11811023622047245" top="0.27559055118110237" bottom="0.19685039370078741" header="0.27559055118110237" footer="0.11811023622047245"/>
  <pageSetup scale="77"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DD47C-DD65-4A3D-AE2C-3F5154516962}">
  <sheetPr>
    <pageSetUpPr fitToPage="1"/>
  </sheetPr>
  <dimension ref="A1:H68"/>
  <sheetViews>
    <sheetView topLeftCell="A10" zoomScaleNormal="100" workbookViewId="0">
      <selection activeCell="D31" sqref="D31"/>
    </sheetView>
  </sheetViews>
  <sheetFormatPr defaultRowHeight="14.5"/>
  <cols>
    <col min="1" max="1" width="30.7265625" customWidth="1"/>
    <col min="2" max="6" width="20.7265625" style="118" customWidth="1"/>
    <col min="7" max="7" width="16.453125" customWidth="1"/>
    <col min="8" max="8" width="17.54296875" bestFit="1" customWidth="1"/>
  </cols>
  <sheetData>
    <row r="1" spans="1:7" ht="18">
      <c r="C1" s="62"/>
      <c r="D1" s="62"/>
      <c r="E1" s="741" t="str">
        <f>Status!C1</f>
        <v>UNEP/OzL.Pro/ExCom/94/3</v>
      </c>
      <c r="F1" s="741"/>
      <c r="G1" s="491"/>
    </row>
    <row r="2" spans="1:7" ht="18">
      <c r="B2" s="65"/>
      <c r="C2" s="62"/>
      <c r="D2" s="62"/>
      <c r="E2" s="63"/>
      <c r="F2" s="64" t="s">
        <v>0</v>
      </c>
    </row>
    <row r="3" spans="1:7" ht="18">
      <c r="B3" s="65"/>
      <c r="C3" s="62"/>
      <c r="D3" s="62"/>
      <c r="E3" s="64"/>
      <c r="F3" s="64" t="s">
        <v>148</v>
      </c>
    </row>
    <row r="4" spans="1:7" ht="15.5">
      <c r="A4" s="1"/>
      <c r="B4" s="62"/>
      <c r="C4" s="62"/>
      <c r="D4" s="62"/>
      <c r="E4" s="62"/>
      <c r="F4" s="62"/>
    </row>
    <row r="5" spans="1:7" ht="16">
      <c r="A5" s="735" t="s">
        <v>2</v>
      </c>
      <c r="B5" s="735"/>
      <c r="C5" s="735"/>
      <c r="D5" s="735"/>
      <c r="E5" s="735"/>
      <c r="F5" s="735"/>
    </row>
    <row r="6" spans="1:7" ht="15.5">
      <c r="A6" s="729" t="s">
        <v>282</v>
      </c>
      <c r="B6" s="729"/>
      <c r="C6" s="729"/>
      <c r="D6" s="729"/>
      <c r="E6" s="729"/>
      <c r="F6" s="729"/>
    </row>
    <row r="7" spans="1:7" ht="16.5" thickBot="1">
      <c r="A7" s="728" t="str">
        <f>Status!A6</f>
        <v>As at 24/05/2024</v>
      </c>
      <c r="B7" s="728"/>
      <c r="C7" s="728"/>
      <c r="D7" s="728"/>
      <c r="E7" s="728"/>
      <c r="F7" s="728"/>
    </row>
    <row r="8" spans="1:7" ht="33" customHeight="1" thickBot="1">
      <c r="A8" s="68" t="s">
        <v>60</v>
      </c>
      <c r="B8" s="69" t="s">
        <v>61</v>
      </c>
      <c r="C8" s="69" t="s">
        <v>62</v>
      </c>
      <c r="D8" s="629" t="s">
        <v>63</v>
      </c>
      <c r="E8" s="69" t="s">
        <v>64</v>
      </c>
      <c r="F8" s="70" t="s">
        <v>65</v>
      </c>
    </row>
    <row r="9" spans="1:7">
      <c r="A9" s="72" t="s">
        <v>67</v>
      </c>
      <c r="B9" s="624">
        <v>16168</v>
      </c>
      <c r="C9" s="624">
        <v>16168</v>
      </c>
      <c r="D9" s="625"/>
      <c r="E9" s="625"/>
      <c r="F9" s="626">
        <f t="shared" ref="F9:F57" si="0">B9-C9-D9-E9</f>
        <v>0</v>
      </c>
    </row>
    <row r="10" spans="1:7">
      <c r="A10" s="74" t="s">
        <v>130</v>
      </c>
      <c r="B10" s="105">
        <v>4191481</v>
      </c>
      <c r="C10" s="105">
        <v>4191481</v>
      </c>
      <c r="D10" s="73"/>
      <c r="E10" s="73"/>
      <c r="F10" s="94">
        <f t="shared" si="0"/>
        <v>0</v>
      </c>
    </row>
    <row r="11" spans="1:7">
      <c r="A11" s="74" t="s">
        <v>69</v>
      </c>
      <c r="B11" s="105">
        <v>1612730</v>
      </c>
      <c r="C11" s="105">
        <v>1612730</v>
      </c>
      <c r="D11" s="73"/>
      <c r="E11" s="73"/>
      <c r="F11" s="94">
        <f t="shared" si="0"/>
        <v>0</v>
      </c>
    </row>
    <row r="12" spans="1:7">
      <c r="A12" s="96" t="s">
        <v>70</v>
      </c>
      <c r="B12" s="105">
        <v>80839</v>
      </c>
      <c r="C12" s="105"/>
      <c r="D12" s="73"/>
      <c r="E12" s="73"/>
      <c r="F12" s="94">
        <f t="shared" si="0"/>
        <v>80839</v>
      </c>
    </row>
    <row r="13" spans="1:7">
      <c r="A13" s="74" t="s">
        <v>71</v>
      </c>
      <c r="B13" s="105">
        <v>113174</v>
      </c>
      <c r="C13" s="105">
        <v>113174</v>
      </c>
      <c r="D13" s="73"/>
      <c r="E13" s="73"/>
      <c r="F13" s="94">
        <f t="shared" si="0"/>
        <v>0</v>
      </c>
    </row>
    <row r="14" spans="1:7">
      <c r="A14" s="74" t="s">
        <v>72</v>
      </c>
      <c r="B14" s="105">
        <v>2016923</v>
      </c>
      <c r="C14" s="105">
        <v>2016923</v>
      </c>
      <c r="D14" s="73"/>
      <c r="E14" s="73"/>
      <c r="F14" s="94">
        <f t="shared" si="0"/>
        <v>0</v>
      </c>
    </row>
    <row r="15" spans="1:7">
      <c r="A15" s="74" t="s">
        <v>73</v>
      </c>
      <c r="B15" s="105">
        <v>94985</v>
      </c>
      <c r="C15" s="105">
        <v>94985</v>
      </c>
      <c r="D15" s="73"/>
      <c r="E15" s="73"/>
      <c r="F15" s="94">
        <f t="shared" si="0"/>
        <v>0</v>
      </c>
    </row>
    <row r="16" spans="1:7">
      <c r="A16" s="74" t="s">
        <v>131</v>
      </c>
      <c r="B16" s="105">
        <v>6030559</v>
      </c>
      <c r="C16" s="105">
        <f>4824446.83+1206112</f>
        <v>6030558.8300000001</v>
      </c>
      <c r="D16" s="73"/>
      <c r="E16" s="73"/>
      <c r="F16" s="94">
        <f t="shared" si="0"/>
        <v>0.16999999992549419</v>
      </c>
    </row>
    <row r="17" spans="1:8">
      <c r="A17" s="74" t="s">
        <v>75</v>
      </c>
      <c r="B17" s="105">
        <v>254642</v>
      </c>
      <c r="C17" s="105">
        <v>254642</v>
      </c>
      <c r="D17" s="73"/>
      <c r="E17" s="73"/>
      <c r="F17" s="94">
        <f t="shared" si="0"/>
        <v>0</v>
      </c>
    </row>
    <row r="18" spans="1:8">
      <c r="A18" s="74" t="s">
        <v>76</v>
      </c>
      <c r="B18" s="105">
        <v>94985</v>
      </c>
      <c r="C18" s="105">
        <v>94985</v>
      </c>
      <c r="D18" s="73"/>
      <c r="E18" s="73"/>
      <c r="F18" s="94">
        <f t="shared" si="0"/>
        <v>0</v>
      </c>
    </row>
    <row r="19" spans="1:8">
      <c r="A19" s="74" t="s">
        <v>77</v>
      </c>
      <c r="B19" s="105">
        <v>780092</v>
      </c>
      <c r="C19" s="105">
        <v>780092</v>
      </c>
      <c r="D19" s="73"/>
      <c r="E19" s="73"/>
      <c r="F19" s="94">
        <f t="shared" si="0"/>
        <v>0</v>
      </c>
    </row>
    <row r="20" spans="1:8">
      <c r="A20" s="74" t="s">
        <v>78</v>
      </c>
      <c r="B20" s="105">
        <v>1364151</v>
      </c>
      <c r="C20" s="105">
        <v>1364151</v>
      </c>
      <c r="D20" s="73"/>
      <c r="E20" s="73"/>
      <c r="F20" s="94">
        <f t="shared" si="0"/>
        <v>0</v>
      </c>
    </row>
    <row r="21" spans="1:8">
      <c r="A21" s="74" t="s">
        <v>79</v>
      </c>
      <c r="B21" s="105">
        <v>80839</v>
      </c>
      <c r="C21" s="105">
        <v>80839</v>
      </c>
      <c r="D21" s="73"/>
      <c r="E21" s="503"/>
      <c r="F21" s="515">
        <f t="shared" si="0"/>
        <v>0</v>
      </c>
    </row>
    <row r="22" spans="1:8">
      <c r="A22" s="74" t="s">
        <v>80</v>
      </c>
      <c r="B22" s="105">
        <v>1048881</v>
      </c>
      <c r="C22" s="105">
        <v>1048881</v>
      </c>
      <c r="D22" s="73"/>
      <c r="E22" s="503"/>
      <c r="F22" s="515">
        <f t="shared" si="0"/>
        <v>0</v>
      </c>
    </row>
    <row r="23" spans="1:8">
      <c r="A23" s="74" t="s">
        <v>132</v>
      </c>
      <c r="B23" s="105">
        <v>11303256</v>
      </c>
      <c r="C23" s="105">
        <f>10472252-547</f>
        <v>10471705</v>
      </c>
      <c r="D23" s="73">
        <f>197596+633408+547</f>
        <v>831551</v>
      </c>
      <c r="E23" s="503"/>
      <c r="F23" s="515">
        <f t="shared" si="0"/>
        <v>0</v>
      </c>
    </row>
    <row r="24" spans="1:8">
      <c r="A24" s="74" t="s">
        <v>133</v>
      </c>
      <c r="B24" s="105">
        <v>14431709</v>
      </c>
      <c r="C24" s="105">
        <f>2886341.77+2886341.77+2886341.77+2886341.77+865036</f>
        <v>12410403.08</v>
      </c>
      <c r="D24" s="73">
        <f>875460+669629+1341253-865036</f>
        <v>2021306</v>
      </c>
      <c r="E24" s="534">
        <f>11545367-2886341.77-2886341.77-2886341.77-2886341.77</f>
        <v>-7.9999999143183231E-2</v>
      </c>
      <c r="F24" s="515">
        <f>B24-C24-D24-E24</f>
        <v>-9.3132257461547852E-10</v>
      </c>
      <c r="G24" s="111"/>
      <c r="H24" s="112"/>
    </row>
    <row r="25" spans="1:8">
      <c r="A25" s="74" t="s">
        <v>83</v>
      </c>
      <c r="B25" s="105">
        <v>1289376</v>
      </c>
      <c r="C25" s="105">
        <v>1289376</v>
      </c>
      <c r="D25" s="73"/>
      <c r="E25" s="503"/>
      <c r="F25" s="515">
        <f t="shared" si="0"/>
        <v>0</v>
      </c>
      <c r="G25" s="113"/>
    </row>
    <row r="26" spans="1:8">
      <c r="A26" s="74" t="s">
        <v>84</v>
      </c>
      <c r="B26" s="105">
        <v>2021</v>
      </c>
      <c r="C26" s="105">
        <v>2021</v>
      </c>
      <c r="D26" s="73"/>
      <c r="E26" s="73"/>
      <c r="F26" s="94">
        <f t="shared" si="0"/>
        <v>0</v>
      </c>
      <c r="G26" s="112"/>
    </row>
    <row r="27" spans="1:8">
      <c r="A27" s="74" t="s">
        <v>85</v>
      </c>
      <c r="B27" s="105">
        <v>537577</v>
      </c>
      <c r="C27" s="105">
        <v>537577</v>
      </c>
      <c r="D27" s="73"/>
      <c r="E27" s="73"/>
      <c r="F27" s="94">
        <f t="shared" si="0"/>
        <v>0</v>
      </c>
    </row>
    <row r="28" spans="1:8">
      <c r="A28" s="74" t="s">
        <v>86</v>
      </c>
      <c r="B28" s="105">
        <v>54566</v>
      </c>
      <c r="C28" s="105">
        <v>54566</v>
      </c>
      <c r="D28" s="73"/>
      <c r="E28" s="73"/>
      <c r="F28" s="94">
        <f t="shared" si="0"/>
        <v>0</v>
      </c>
    </row>
    <row r="29" spans="1:8">
      <c r="A29" s="74" t="s">
        <v>134</v>
      </c>
      <c r="B29" s="105">
        <v>844763</v>
      </c>
      <c r="C29" s="105">
        <v>844763</v>
      </c>
      <c r="D29" s="73"/>
      <c r="E29" s="73"/>
      <c r="F29" s="94">
        <f t="shared" si="0"/>
        <v>0</v>
      </c>
    </row>
    <row r="30" spans="1:8">
      <c r="A30" s="74" t="s">
        <v>88</v>
      </c>
      <c r="B30" s="105">
        <v>800302</v>
      </c>
      <c r="C30" s="105"/>
      <c r="D30" s="73"/>
      <c r="E30" s="73"/>
      <c r="F30" s="94">
        <f t="shared" si="0"/>
        <v>800302</v>
      </c>
    </row>
    <row r="31" spans="1:8">
      <c r="A31" s="74" t="s">
        <v>89</v>
      </c>
      <c r="B31" s="105">
        <v>8989251</v>
      </c>
      <c r="C31" s="105">
        <f>8989251-282500</f>
        <v>8706751</v>
      </c>
      <c r="D31" s="73">
        <f>282500</f>
        <v>282500</v>
      </c>
      <c r="E31" s="73"/>
      <c r="F31" s="94">
        <f t="shared" si="0"/>
        <v>0</v>
      </c>
    </row>
    <row r="32" spans="1:8">
      <c r="A32" s="74" t="s">
        <v>135</v>
      </c>
      <c r="B32" s="105">
        <v>21893111</v>
      </c>
      <c r="C32" s="105">
        <f>7372578+14521159.85-627</f>
        <v>21893110.850000001</v>
      </c>
      <c r="D32" s="73"/>
      <c r="E32" s="73"/>
      <c r="F32" s="94">
        <f t="shared" si="0"/>
        <v>0.14999999850988388</v>
      </c>
      <c r="H32" s="114"/>
    </row>
    <row r="33" spans="1:8">
      <c r="A33" s="74" t="s">
        <v>91</v>
      </c>
      <c r="B33" s="105">
        <v>244537</v>
      </c>
      <c r="C33" s="105">
        <v>244537</v>
      </c>
      <c r="D33" s="73"/>
      <c r="E33" s="73"/>
      <c r="F33" s="94">
        <f t="shared" si="0"/>
        <v>0</v>
      </c>
      <c r="H33" s="114"/>
    </row>
    <row r="34" spans="1:8">
      <c r="A34" s="74" t="s">
        <v>93</v>
      </c>
      <c r="B34" s="105">
        <v>94985</v>
      </c>
      <c r="C34" s="105">
        <v>94985</v>
      </c>
      <c r="D34" s="73"/>
      <c r="E34" s="73"/>
      <c r="F34" s="94">
        <f t="shared" si="0"/>
        <v>0</v>
      </c>
    </row>
    <row r="35" spans="1:8">
      <c r="A35" s="74" t="s">
        <v>94</v>
      </c>
      <c r="B35" s="105">
        <v>18189</v>
      </c>
      <c r="C35" s="105">
        <v>18189</v>
      </c>
      <c r="D35" s="73"/>
      <c r="E35" s="73"/>
      <c r="F35" s="94">
        <f t="shared" si="0"/>
        <v>0</v>
      </c>
    </row>
    <row r="36" spans="1:8">
      <c r="A36" s="74" t="s">
        <v>95</v>
      </c>
      <c r="B36" s="105">
        <v>147530</v>
      </c>
      <c r="C36" s="105">
        <v>147530</v>
      </c>
      <c r="D36" s="73"/>
      <c r="E36" s="73"/>
      <c r="F36" s="94">
        <f t="shared" si="0"/>
        <v>0</v>
      </c>
    </row>
    <row r="37" spans="1:8">
      <c r="A37" s="74" t="s">
        <v>96</v>
      </c>
      <c r="B37" s="105">
        <v>163698</v>
      </c>
      <c r="C37" s="105">
        <v>163698</v>
      </c>
      <c r="D37" s="73"/>
      <c r="E37" s="73"/>
      <c r="F37" s="94">
        <f t="shared" si="0"/>
        <v>0</v>
      </c>
    </row>
    <row r="38" spans="1:8">
      <c r="A38" s="74" t="s">
        <v>97</v>
      </c>
      <c r="B38" s="105">
        <v>32335</v>
      </c>
      <c r="C38" s="105"/>
      <c r="D38" s="73"/>
      <c r="E38" s="73"/>
      <c r="F38" s="94">
        <f t="shared" si="0"/>
        <v>32335</v>
      </c>
    </row>
    <row r="39" spans="1:8">
      <c r="A39" s="74" t="s">
        <v>98</v>
      </c>
      <c r="B39" s="105">
        <v>24252</v>
      </c>
      <c r="C39" s="105">
        <v>24252</v>
      </c>
      <c r="D39" s="73"/>
      <c r="E39" s="73"/>
      <c r="F39" s="94">
        <f t="shared" si="0"/>
        <v>0</v>
      </c>
    </row>
    <row r="40" spans="1:8">
      <c r="A40" s="74" t="s">
        <v>99</v>
      </c>
      <c r="B40" s="105">
        <v>3342676</v>
      </c>
      <c r="C40" s="105">
        <v>3342676</v>
      </c>
      <c r="D40" s="73"/>
      <c r="E40" s="73"/>
      <c r="F40" s="94">
        <f t="shared" si="0"/>
        <v>0</v>
      </c>
    </row>
    <row r="41" spans="1:8">
      <c r="A41" s="74" t="s">
        <v>100</v>
      </c>
      <c r="B41" s="105">
        <v>511304</v>
      </c>
      <c r="C41" s="105">
        <f>220490.54+290813.46</f>
        <v>511304</v>
      </c>
      <c r="D41" s="73"/>
      <c r="E41" s="73"/>
      <c r="F41" s="94">
        <f t="shared" si="0"/>
        <v>0</v>
      </c>
    </row>
    <row r="42" spans="1:8">
      <c r="A42" s="74" t="s">
        <v>101</v>
      </c>
      <c r="B42" s="105">
        <v>1719841</v>
      </c>
      <c r="C42" s="105">
        <v>1719841</v>
      </c>
      <c r="D42" s="73"/>
      <c r="E42" s="73"/>
      <c r="F42" s="94">
        <f t="shared" si="0"/>
        <v>0</v>
      </c>
    </row>
    <row r="43" spans="1:8">
      <c r="A43" s="74" t="s">
        <v>103</v>
      </c>
      <c r="B43" s="105">
        <v>1861309</v>
      </c>
      <c r="C43" s="105">
        <v>1861309</v>
      </c>
      <c r="D43" s="73"/>
      <c r="E43" s="73"/>
      <c r="F43" s="94">
        <f t="shared" si="0"/>
        <v>0</v>
      </c>
    </row>
    <row r="44" spans="1:8">
      <c r="A44" s="74" t="s">
        <v>104</v>
      </c>
      <c r="B44" s="105">
        <v>957937</v>
      </c>
      <c r="C44" s="105">
        <v>957937</v>
      </c>
      <c r="D44" s="73"/>
      <c r="E44" s="73"/>
      <c r="F44" s="94">
        <f t="shared" si="0"/>
        <v>0</v>
      </c>
    </row>
    <row r="45" spans="1:8">
      <c r="A45" s="74" t="s">
        <v>105</v>
      </c>
      <c r="B45" s="105">
        <v>456738</v>
      </c>
      <c r="C45" s="105">
        <v>456738</v>
      </c>
      <c r="D45" s="73"/>
      <c r="E45" s="73"/>
      <c r="F45" s="94">
        <f t="shared" si="0"/>
        <v>0</v>
      </c>
    </row>
    <row r="46" spans="1:8">
      <c r="A46" s="74" t="s">
        <v>106</v>
      </c>
      <c r="B46" s="105">
        <v>4927112</v>
      </c>
      <c r="C46" s="105">
        <v>4927112</v>
      </c>
      <c r="D46" s="73"/>
      <c r="E46" s="73"/>
      <c r="F46" s="94">
        <f t="shared" si="0"/>
        <v>0</v>
      </c>
    </row>
    <row r="47" spans="1:8">
      <c r="A47" s="74" t="s">
        <v>107</v>
      </c>
      <c r="B47" s="105">
        <v>6063</v>
      </c>
      <c r="C47" s="105">
        <v>6063</v>
      </c>
      <c r="D47" s="73"/>
      <c r="E47" s="73"/>
      <c r="F47" s="94">
        <f t="shared" si="0"/>
        <v>0</v>
      </c>
    </row>
    <row r="48" spans="1:8">
      <c r="A48" s="74" t="s">
        <v>109</v>
      </c>
      <c r="B48" s="105">
        <v>345585</v>
      </c>
      <c r="C48" s="105">
        <v>345585</v>
      </c>
      <c r="D48" s="73"/>
      <c r="E48" s="73"/>
      <c r="F48" s="94">
        <f t="shared" si="0"/>
        <v>0</v>
      </c>
    </row>
    <row r="49" spans="1:6">
      <c r="A49" s="74" t="s">
        <v>110</v>
      </c>
      <c r="B49" s="105">
        <v>202096</v>
      </c>
      <c r="C49" s="105">
        <v>202096</v>
      </c>
      <c r="D49" s="73"/>
      <c r="E49" s="73"/>
      <c r="F49" s="94">
        <f t="shared" si="0"/>
        <v>0</v>
      </c>
    </row>
    <row r="50" spans="1:6">
      <c r="A50" s="74" t="s">
        <v>112</v>
      </c>
      <c r="B50" s="105">
        <v>6008328</v>
      </c>
      <c r="C50" s="105">
        <v>6008328</v>
      </c>
      <c r="D50" s="73"/>
      <c r="E50" s="73"/>
      <c r="F50" s="94">
        <f t="shared" si="0"/>
        <v>0</v>
      </c>
    </row>
    <row r="51" spans="1:6">
      <c r="A51" s="74" t="s">
        <v>136</v>
      </c>
      <c r="B51" s="105">
        <v>1940126</v>
      </c>
      <c r="C51" s="105">
        <v>1940126</v>
      </c>
      <c r="D51" s="73"/>
      <c r="E51" s="73"/>
      <c r="F51" s="94">
        <f t="shared" si="0"/>
        <v>0</v>
      </c>
    </row>
    <row r="52" spans="1:6">
      <c r="A52" s="74" t="s">
        <v>114</v>
      </c>
      <c r="B52" s="73">
        <v>2115950</v>
      </c>
      <c r="C52" s="105">
        <v>2115950</v>
      </c>
      <c r="D52" s="73"/>
      <c r="E52" s="73"/>
      <c r="F52" s="94">
        <f t="shared" si="0"/>
        <v>0</v>
      </c>
    </row>
    <row r="53" spans="1:6" ht="18" customHeight="1">
      <c r="A53" s="74" t="s">
        <v>115</v>
      </c>
      <c r="B53" s="73">
        <v>6062.89</v>
      </c>
      <c r="C53" s="105"/>
      <c r="D53" s="73"/>
      <c r="E53" s="503"/>
      <c r="F53" s="94">
        <f t="shared" si="0"/>
        <v>6062.89</v>
      </c>
    </row>
    <row r="54" spans="1:6">
      <c r="A54" s="74" t="s">
        <v>117</v>
      </c>
      <c r="B54" s="73">
        <v>200075.51</v>
      </c>
      <c r="C54" s="105"/>
      <c r="D54" s="73"/>
      <c r="E54" s="73"/>
      <c r="F54" s="94">
        <f t="shared" si="0"/>
        <v>200075.51</v>
      </c>
    </row>
    <row r="55" spans="1:6">
      <c r="A55" s="74" t="s">
        <v>119</v>
      </c>
      <c r="B55" s="105">
        <v>10466576</v>
      </c>
      <c r="C55" s="105">
        <v>10466576</v>
      </c>
      <c r="D55" s="73"/>
      <c r="E55" s="105"/>
      <c r="F55" s="94">
        <f t="shared" si="0"/>
        <v>0</v>
      </c>
    </row>
    <row r="56" spans="1:6">
      <c r="A56" s="74" t="s">
        <v>120</v>
      </c>
      <c r="B56" s="105">
        <v>32083333</v>
      </c>
      <c r="C56" s="105">
        <f>23844005+8326000-86672</f>
        <v>32083333</v>
      </c>
      <c r="D56" s="73"/>
      <c r="E56" s="73"/>
      <c r="F56" s="94">
        <f t="shared" si="0"/>
        <v>0</v>
      </c>
    </row>
    <row r="57" spans="1:6">
      <c r="A57" s="74" t="s">
        <v>121</v>
      </c>
      <c r="B57" s="105">
        <v>30314</v>
      </c>
      <c r="C57" s="105"/>
      <c r="D57" s="73"/>
      <c r="E57" s="73"/>
      <c r="F57" s="94">
        <f t="shared" si="0"/>
        <v>30314</v>
      </c>
    </row>
    <row r="58" spans="1:6" ht="15" thickBot="1">
      <c r="A58" s="107" t="s">
        <v>124</v>
      </c>
      <c r="B58" s="108">
        <f>SUM(B9:B57)</f>
        <v>145833333.40000001</v>
      </c>
      <c r="C58" s="108">
        <f>SUM(C9:C57)</f>
        <v>141548047.75999999</v>
      </c>
      <c r="D58" s="108">
        <f>SUM(D9:D57)</f>
        <v>3135357</v>
      </c>
      <c r="E58" s="537">
        <f>SUM(E9:E57)</f>
        <v>-7.9999999143183231E-2</v>
      </c>
      <c r="F58" s="109">
        <f>SUM(F9:F57)</f>
        <v>1149928.7199999974</v>
      </c>
    </row>
    <row r="59" spans="1:6" ht="15" thickBot="1">
      <c r="A59" s="485" t="s">
        <v>137</v>
      </c>
      <c r="B59" s="101"/>
      <c r="C59" s="101"/>
      <c r="D59" s="101"/>
      <c r="E59" s="525"/>
      <c r="F59" s="488"/>
    </row>
    <row r="60" spans="1:6" ht="15" thickBot="1">
      <c r="A60" s="98" t="s">
        <v>138</v>
      </c>
      <c r="B60" s="486">
        <f>B58+B59</f>
        <v>145833333.40000001</v>
      </c>
      <c r="C60" s="486">
        <f t="shared" ref="C60:F60" si="1">C58+C59</f>
        <v>141548047.75999999</v>
      </c>
      <c r="D60" s="486">
        <f t="shared" si="1"/>
        <v>3135357</v>
      </c>
      <c r="E60" s="541">
        <f t="shared" si="1"/>
        <v>-7.9999999143183231E-2</v>
      </c>
      <c r="F60" s="487">
        <f t="shared" si="1"/>
        <v>1149928.7199999974</v>
      </c>
    </row>
    <row r="61" spans="1:6" ht="15" thickBot="1">
      <c r="A61" s="110"/>
      <c r="B61" s="101"/>
      <c r="C61" s="101"/>
      <c r="D61" s="101"/>
      <c r="E61" s="101"/>
      <c r="F61" s="101"/>
    </row>
    <row r="62" spans="1:6" ht="15" thickBot="1">
      <c r="A62" s="102" t="s">
        <v>139</v>
      </c>
      <c r="B62" s="103">
        <f>B12+B13+B15+B19+B21+B27+B33+B36+B43+B46+B48+B49+B53+B54+B57</f>
        <v>9652127.4000000004</v>
      </c>
      <c r="C62" s="103">
        <f>C12+C13+C15+C19+C21+C26+C34+C36+C43+C46+C48+C49+C53+C54+C57</f>
        <v>8649728</v>
      </c>
      <c r="D62" s="103">
        <f>D12+D13+D15+D19+D21+D26+D34+D36+D43+D46+D48+D49+D53+D54+D57</f>
        <v>0</v>
      </c>
      <c r="E62" s="103">
        <f>E12+E13+E15+E19+E21+E26+E34+E36+E43+E46+E48+E49+E53+E54+E57</f>
        <v>0</v>
      </c>
      <c r="F62" s="104">
        <f>B62-C62-D62-E62</f>
        <v>1002399.4000000004</v>
      </c>
    </row>
    <row r="63" spans="1:6">
      <c r="C63" s="119"/>
    </row>
    <row r="64" spans="1:6" s="114" customFormat="1" ht="12.5">
      <c r="B64" s="119"/>
      <c r="C64" s="120"/>
      <c r="D64" s="121"/>
      <c r="E64" s="121"/>
      <c r="F64" s="122"/>
    </row>
    <row r="65" spans="3:6">
      <c r="C65" s="123"/>
      <c r="F65" s="124"/>
    </row>
    <row r="66" spans="3:6">
      <c r="C66" s="125"/>
    </row>
    <row r="67" spans="3:6">
      <c r="C67" s="119"/>
    </row>
    <row r="68" spans="3:6">
      <c r="C68" s="119"/>
    </row>
  </sheetData>
  <mergeCells count="4">
    <mergeCell ref="A5:F5"/>
    <mergeCell ref="A6:F6"/>
    <mergeCell ref="A7:F7"/>
    <mergeCell ref="E1:F1"/>
  </mergeCells>
  <printOptions horizontalCentered="1"/>
  <pageMargins left="0.31496062992126" right="0.118110236220472" top="0.47244094488188998" bottom="0.196850393700787" header="0.31496062992126" footer="0.31496062992126"/>
  <pageSetup scale="76"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D022F-1A26-4DB6-9F82-68AC727C3D98}">
  <dimension ref="A1:H68"/>
  <sheetViews>
    <sheetView topLeftCell="A19" workbookViewId="0">
      <selection activeCell="D32" sqref="D32"/>
    </sheetView>
  </sheetViews>
  <sheetFormatPr defaultRowHeight="14.5"/>
  <cols>
    <col min="1" max="1" width="28.54296875" customWidth="1"/>
    <col min="2" max="2" width="17.26953125" style="118" customWidth="1"/>
    <col min="3" max="3" width="40.26953125" style="118" customWidth="1"/>
    <col min="4" max="5" width="15.453125" style="118" customWidth="1"/>
    <col min="6" max="6" width="23.453125" style="118" customWidth="1"/>
    <col min="7" max="7" width="16.453125" customWidth="1"/>
    <col min="8" max="8" width="17.54296875" bestFit="1" customWidth="1"/>
  </cols>
  <sheetData>
    <row r="1" spans="1:6" ht="18">
      <c r="A1" s="738"/>
      <c r="B1" s="738"/>
      <c r="C1" s="62"/>
      <c r="D1" s="62"/>
      <c r="E1" s="63"/>
      <c r="F1" s="64" t="str">
        <f>Status!C1</f>
        <v>UNEP/OzL.Pro/ExCom/94/3</v>
      </c>
    </row>
    <row r="2" spans="1:6" ht="18">
      <c r="A2" s="95"/>
      <c r="B2" s="62"/>
      <c r="C2" s="62"/>
      <c r="D2" s="62"/>
      <c r="E2" s="63"/>
      <c r="F2" s="64" t="s">
        <v>0</v>
      </c>
    </row>
    <row r="3" spans="1:6" ht="18">
      <c r="A3" s="23"/>
      <c r="B3" s="62"/>
      <c r="C3" s="62"/>
      <c r="D3" s="62"/>
      <c r="E3" s="64"/>
      <c r="F3" s="64" t="s">
        <v>149</v>
      </c>
    </row>
    <row r="4" spans="1:6" ht="15.5">
      <c r="A4" s="1"/>
      <c r="B4" s="62"/>
      <c r="C4" s="62"/>
      <c r="D4" s="62"/>
      <c r="E4" s="62"/>
      <c r="F4" s="62"/>
    </row>
    <row r="5" spans="1:6" ht="16">
      <c r="A5" s="735" t="s">
        <v>2</v>
      </c>
      <c r="B5" s="735"/>
      <c r="C5" s="735"/>
      <c r="D5" s="735"/>
      <c r="E5" s="735"/>
      <c r="F5" s="735"/>
    </row>
    <row r="6" spans="1:6" ht="15.5">
      <c r="A6" s="729" t="s">
        <v>261</v>
      </c>
      <c r="B6" s="729"/>
      <c r="C6" s="729"/>
      <c r="D6" s="729"/>
      <c r="E6" s="729"/>
      <c r="F6" s="729"/>
    </row>
    <row r="7" spans="1:6" ht="16.5" thickBot="1">
      <c r="A7" s="728" t="str">
        <f>Status!A6</f>
        <v>As at 24/05/2024</v>
      </c>
      <c r="B7" s="728"/>
      <c r="C7" s="728"/>
      <c r="D7" s="728"/>
      <c r="E7" s="728"/>
      <c r="F7" s="728"/>
    </row>
    <row r="8" spans="1:6" ht="33" customHeight="1">
      <c r="A8" s="201" t="s">
        <v>60</v>
      </c>
      <c r="B8" s="483" t="s">
        <v>61</v>
      </c>
      <c r="C8" s="484" t="s">
        <v>62</v>
      </c>
      <c r="D8" s="633" t="s">
        <v>63</v>
      </c>
      <c r="E8" s="483" t="s">
        <v>64</v>
      </c>
      <c r="F8" s="484" t="s">
        <v>65</v>
      </c>
    </row>
    <row r="9" spans="1:6">
      <c r="A9" s="74" t="s">
        <v>67</v>
      </c>
      <c r="B9" s="105">
        <v>16168</v>
      </c>
      <c r="C9" s="656">
        <v>16168</v>
      </c>
      <c r="D9" s="634"/>
      <c r="E9" s="106"/>
      <c r="F9" s="94">
        <f t="shared" ref="F9:F57" si="0">B9-C9-D9-E9</f>
        <v>0</v>
      </c>
    </row>
    <row r="10" spans="1:6">
      <c r="A10" s="74" t="s">
        <v>130</v>
      </c>
      <c r="B10" s="105">
        <v>4191481</v>
      </c>
      <c r="C10" s="656">
        <v>4191481</v>
      </c>
      <c r="D10" s="632"/>
      <c r="E10" s="73"/>
      <c r="F10" s="94">
        <f t="shared" si="0"/>
        <v>0</v>
      </c>
    </row>
    <row r="11" spans="1:6">
      <c r="A11" s="74" t="s">
        <v>69</v>
      </c>
      <c r="B11" s="105">
        <v>1612730</v>
      </c>
      <c r="C11" s="656">
        <v>1612730</v>
      </c>
      <c r="D11" s="632"/>
      <c r="E11" s="73"/>
      <c r="F11" s="94">
        <f t="shared" si="0"/>
        <v>0</v>
      </c>
    </row>
    <row r="12" spans="1:6">
      <c r="A12" s="96" t="s">
        <v>70</v>
      </c>
      <c r="B12" s="105">
        <v>80839</v>
      </c>
      <c r="C12" s="656"/>
      <c r="D12" s="632"/>
      <c r="E12" s="73"/>
      <c r="F12" s="94">
        <f t="shared" si="0"/>
        <v>80839</v>
      </c>
    </row>
    <row r="13" spans="1:6">
      <c r="A13" s="74" t="s">
        <v>71</v>
      </c>
      <c r="B13" s="105">
        <v>113174</v>
      </c>
      <c r="C13" s="656">
        <v>113174</v>
      </c>
      <c r="D13" s="632"/>
      <c r="E13" s="73"/>
      <c r="F13" s="94">
        <f t="shared" si="0"/>
        <v>0</v>
      </c>
    </row>
    <row r="14" spans="1:6">
      <c r="A14" s="74" t="s">
        <v>72</v>
      </c>
      <c r="B14" s="105">
        <v>2016923</v>
      </c>
      <c r="C14" s="656">
        <v>2016923</v>
      </c>
      <c r="D14" s="632"/>
      <c r="E14" s="73"/>
      <c r="F14" s="94">
        <f t="shared" si="0"/>
        <v>0</v>
      </c>
    </row>
    <row r="15" spans="1:6">
      <c r="A15" s="74" t="s">
        <v>73</v>
      </c>
      <c r="B15" s="105">
        <v>94985</v>
      </c>
      <c r="C15" s="656">
        <v>94985</v>
      </c>
      <c r="D15" s="632"/>
      <c r="E15" s="73"/>
      <c r="F15" s="94">
        <f t="shared" si="0"/>
        <v>0</v>
      </c>
    </row>
    <row r="16" spans="1:6">
      <c r="A16" s="74" t="s">
        <v>131</v>
      </c>
      <c r="B16" s="105">
        <v>6030559</v>
      </c>
      <c r="C16" s="656">
        <f>4824446.83+1206112.07</f>
        <v>6030558.9000000004</v>
      </c>
      <c r="D16" s="632"/>
      <c r="E16" s="73"/>
      <c r="F16" s="94">
        <f t="shared" si="0"/>
        <v>9.999999962747097E-2</v>
      </c>
    </row>
    <row r="17" spans="1:8">
      <c r="A17" s="74" t="s">
        <v>75</v>
      </c>
      <c r="B17" s="105">
        <v>254642</v>
      </c>
      <c r="C17" s="656">
        <v>254642</v>
      </c>
      <c r="D17" s="632"/>
      <c r="E17" s="73"/>
      <c r="F17" s="94">
        <f t="shared" si="0"/>
        <v>0</v>
      </c>
    </row>
    <row r="18" spans="1:8">
      <c r="A18" s="74" t="s">
        <v>76</v>
      </c>
      <c r="B18" s="105">
        <v>94985</v>
      </c>
      <c r="C18" s="656">
        <v>94985</v>
      </c>
      <c r="D18" s="632"/>
      <c r="E18" s="73"/>
      <c r="F18" s="94">
        <f t="shared" si="0"/>
        <v>0</v>
      </c>
    </row>
    <row r="19" spans="1:8">
      <c r="A19" s="74" t="s">
        <v>77</v>
      </c>
      <c r="B19" s="105">
        <v>780092</v>
      </c>
      <c r="C19" s="656">
        <f>780092</f>
        <v>780092</v>
      </c>
      <c r="D19" s="632"/>
      <c r="E19" s="73"/>
      <c r="F19" s="94">
        <f t="shared" si="0"/>
        <v>0</v>
      </c>
    </row>
    <row r="20" spans="1:8">
      <c r="A20" s="74" t="s">
        <v>78</v>
      </c>
      <c r="B20" s="105">
        <v>1364151</v>
      </c>
      <c r="C20" s="656">
        <v>1364151</v>
      </c>
      <c r="D20" s="632"/>
      <c r="E20" s="73"/>
      <c r="F20" s="94">
        <f t="shared" si="0"/>
        <v>0</v>
      </c>
    </row>
    <row r="21" spans="1:8">
      <c r="A21" s="74" t="s">
        <v>79</v>
      </c>
      <c r="B21" s="105">
        <v>80839</v>
      </c>
      <c r="C21" s="656">
        <v>80839</v>
      </c>
      <c r="D21" s="632"/>
      <c r="E21" s="73"/>
      <c r="F21" s="94">
        <f t="shared" si="0"/>
        <v>0</v>
      </c>
    </row>
    <row r="22" spans="1:8">
      <c r="A22" s="74" t="s">
        <v>80</v>
      </c>
      <c r="B22" s="105">
        <v>1048881</v>
      </c>
      <c r="C22" s="656">
        <v>1048881</v>
      </c>
      <c r="D22" s="632"/>
      <c r="E22" s="73"/>
      <c r="F22" s="94">
        <f t="shared" si="0"/>
        <v>0</v>
      </c>
    </row>
    <row r="23" spans="1:8">
      <c r="A23" s="74" t="s">
        <v>132</v>
      </c>
      <c r="B23" s="105">
        <v>11303256</v>
      </c>
      <c r="C23" s="656">
        <f>11018799.01+6747</f>
        <v>11025546.01</v>
      </c>
      <c r="D23" s="632">
        <f>19061+265396-6747</f>
        <v>277710</v>
      </c>
      <c r="E23" s="73"/>
      <c r="F23" s="94">
        <f t="shared" si="0"/>
        <v>-9.9999997764825821E-3</v>
      </c>
    </row>
    <row r="24" spans="1:8">
      <c r="A24" s="74" t="s">
        <v>133</v>
      </c>
      <c r="B24" s="105">
        <v>14431709</v>
      </c>
      <c r="C24" s="656">
        <f>1443170.89+4329512.66+1443170.89+1443170.89+1443170.89+1443170.89+886466</f>
        <v>12431833.110000001</v>
      </c>
      <c r="D24" s="632">
        <f>1772067+1114275-886466</f>
        <v>1999876</v>
      </c>
      <c r="E24" s="105">
        <f>(8424308/0.72967)-1443170.89-4329512.66-1443170.89-1443170.89-1443170.89-1443170.89</f>
        <v>-2.6249811518937349E-2</v>
      </c>
      <c r="F24" s="94">
        <f>B24-C24-D24-E24</f>
        <v>-8.3750189747661352E-2</v>
      </c>
      <c r="G24" s="111"/>
      <c r="H24" s="112"/>
    </row>
    <row r="25" spans="1:8">
      <c r="A25" s="74" t="s">
        <v>83</v>
      </c>
      <c r="B25" s="105">
        <v>1289376</v>
      </c>
      <c r="C25" s="656">
        <v>1289376</v>
      </c>
      <c r="D25" s="632"/>
      <c r="E25" s="73"/>
      <c r="F25" s="94">
        <f t="shared" si="0"/>
        <v>0</v>
      </c>
      <c r="G25" s="113"/>
    </row>
    <row r="26" spans="1:8">
      <c r="A26" s="74" t="s">
        <v>84</v>
      </c>
      <c r="B26" s="105">
        <v>2021</v>
      </c>
      <c r="C26" s="656">
        <v>2021</v>
      </c>
      <c r="D26" s="632"/>
      <c r="E26" s="73"/>
      <c r="F26" s="94">
        <f t="shared" si="0"/>
        <v>0</v>
      </c>
      <c r="G26" s="112"/>
    </row>
    <row r="27" spans="1:8">
      <c r="A27" s="74" t="s">
        <v>85</v>
      </c>
      <c r="B27" s="105">
        <v>537577</v>
      </c>
      <c r="C27" s="656">
        <v>537577</v>
      </c>
      <c r="D27" s="632"/>
      <c r="E27" s="73"/>
      <c r="F27" s="94">
        <f t="shared" si="0"/>
        <v>0</v>
      </c>
    </row>
    <row r="28" spans="1:8">
      <c r="A28" s="74" t="s">
        <v>86</v>
      </c>
      <c r="B28" s="105">
        <v>54566</v>
      </c>
      <c r="C28" s="656">
        <f>53581.74+984</f>
        <v>54565.74</v>
      </c>
      <c r="D28" s="632"/>
      <c r="E28" s="73"/>
      <c r="F28" s="94">
        <f t="shared" si="0"/>
        <v>0.26000000000203727</v>
      </c>
    </row>
    <row r="29" spans="1:8">
      <c r="A29" s="74" t="s">
        <v>134</v>
      </c>
      <c r="B29" s="105">
        <v>844763</v>
      </c>
      <c r="C29" s="656">
        <v>844763</v>
      </c>
      <c r="D29" s="632"/>
      <c r="E29" s="73"/>
      <c r="F29" s="94">
        <f t="shared" si="0"/>
        <v>0</v>
      </c>
    </row>
    <row r="30" spans="1:8">
      <c r="A30" s="74" t="s">
        <v>88</v>
      </c>
      <c r="B30" s="105">
        <v>800302</v>
      </c>
      <c r="C30" s="656"/>
      <c r="D30" s="632"/>
      <c r="E30" s="73"/>
      <c r="F30" s="94">
        <f t="shared" si="0"/>
        <v>800302</v>
      </c>
    </row>
    <row r="31" spans="1:8">
      <c r="A31" s="74" t="s">
        <v>89</v>
      </c>
      <c r="B31" s="105">
        <v>8989251</v>
      </c>
      <c r="C31" s="656">
        <f>8989251-73450-1452000</f>
        <v>7463801</v>
      </c>
      <c r="D31" s="632">
        <f>73450+1452000</f>
        <v>1525450</v>
      </c>
      <c r="E31" s="73"/>
      <c r="F31" s="94">
        <f t="shared" si="0"/>
        <v>0</v>
      </c>
    </row>
    <row r="32" spans="1:8">
      <c r="A32" s="74" t="s">
        <v>135</v>
      </c>
      <c r="B32" s="105">
        <v>21893111</v>
      </c>
      <c r="C32" s="656">
        <f>7372578+14520533-90400-48873</f>
        <v>21753838</v>
      </c>
      <c r="D32" s="632">
        <f>48873+90400</f>
        <v>139273</v>
      </c>
      <c r="E32" s="73"/>
      <c r="F32" s="94">
        <f t="shared" si="0"/>
        <v>0</v>
      </c>
      <c r="H32" s="114"/>
    </row>
    <row r="33" spans="1:8">
      <c r="A33" s="74" t="s">
        <v>91</v>
      </c>
      <c r="B33" s="105">
        <v>244537</v>
      </c>
      <c r="C33" s="656">
        <v>244537</v>
      </c>
      <c r="D33" s="632"/>
      <c r="E33" s="73"/>
      <c r="F33" s="94">
        <f t="shared" si="0"/>
        <v>0</v>
      </c>
      <c r="H33" s="114"/>
    </row>
    <row r="34" spans="1:8">
      <c r="A34" s="74" t="s">
        <v>93</v>
      </c>
      <c r="B34" s="105">
        <v>94985</v>
      </c>
      <c r="C34" s="656">
        <f>76823.69+18161.31</f>
        <v>94985</v>
      </c>
      <c r="D34" s="632"/>
      <c r="E34" s="73"/>
      <c r="F34" s="94">
        <f t="shared" si="0"/>
        <v>0</v>
      </c>
    </row>
    <row r="35" spans="1:8">
      <c r="A35" s="74" t="s">
        <v>94</v>
      </c>
      <c r="B35" s="105">
        <v>18189</v>
      </c>
      <c r="C35" s="656">
        <v>18189</v>
      </c>
      <c r="D35" s="632"/>
      <c r="E35" s="73"/>
      <c r="F35" s="94">
        <f t="shared" si="0"/>
        <v>0</v>
      </c>
    </row>
    <row r="36" spans="1:8">
      <c r="A36" s="74" t="s">
        <v>95</v>
      </c>
      <c r="B36" s="105">
        <v>147530</v>
      </c>
      <c r="C36" s="656">
        <v>147530</v>
      </c>
      <c r="D36" s="632"/>
      <c r="E36" s="73"/>
      <c r="F36" s="94">
        <f t="shared" si="0"/>
        <v>0</v>
      </c>
    </row>
    <row r="37" spans="1:8">
      <c r="A37" s="74" t="s">
        <v>96</v>
      </c>
      <c r="B37" s="105">
        <v>163698</v>
      </c>
      <c r="C37" s="656">
        <v>163698</v>
      </c>
      <c r="D37" s="632"/>
      <c r="E37" s="73"/>
      <c r="F37" s="94">
        <f t="shared" si="0"/>
        <v>0</v>
      </c>
    </row>
    <row r="38" spans="1:8">
      <c r="A38" s="74" t="s">
        <v>97</v>
      </c>
      <c r="B38" s="105">
        <v>32335</v>
      </c>
      <c r="C38" s="656">
        <v>32335</v>
      </c>
      <c r="D38" s="632"/>
      <c r="E38" s="73"/>
      <c r="F38" s="94">
        <f t="shared" si="0"/>
        <v>0</v>
      </c>
    </row>
    <row r="39" spans="1:8">
      <c r="A39" s="74" t="s">
        <v>98</v>
      </c>
      <c r="B39" s="105">
        <v>24252</v>
      </c>
      <c r="C39" s="656">
        <v>24252</v>
      </c>
      <c r="D39" s="632"/>
      <c r="E39" s="73"/>
      <c r="F39" s="94">
        <f t="shared" si="0"/>
        <v>0</v>
      </c>
    </row>
    <row r="40" spans="1:8">
      <c r="A40" s="74" t="s">
        <v>99</v>
      </c>
      <c r="B40" s="105">
        <v>3342676</v>
      </c>
      <c r="C40" s="656">
        <v>3342676</v>
      </c>
      <c r="D40" s="632"/>
      <c r="E40" s="73"/>
      <c r="F40" s="94">
        <f t="shared" si="0"/>
        <v>0</v>
      </c>
    </row>
    <row r="41" spans="1:8">
      <c r="A41" s="74" t="s">
        <v>100</v>
      </c>
      <c r="B41" s="105">
        <v>511304</v>
      </c>
      <c r="C41" s="656">
        <v>511304</v>
      </c>
      <c r="D41" s="632"/>
      <c r="E41" s="73"/>
      <c r="F41" s="94">
        <f t="shared" si="0"/>
        <v>0</v>
      </c>
    </row>
    <row r="42" spans="1:8">
      <c r="A42" s="74" t="s">
        <v>101</v>
      </c>
      <c r="B42" s="105">
        <v>1719841</v>
      </c>
      <c r="C42" s="656">
        <v>1719841</v>
      </c>
      <c r="D42" s="632"/>
      <c r="E42" s="73"/>
      <c r="F42" s="94">
        <f t="shared" si="0"/>
        <v>0</v>
      </c>
    </row>
    <row r="43" spans="1:8" hidden="1">
      <c r="A43" s="74" t="s">
        <v>103</v>
      </c>
      <c r="B43" s="105">
        <v>1861309</v>
      </c>
      <c r="C43" s="656">
        <v>1861309</v>
      </c>
      <c r="D43" s="632"/>
      <c r="E43" s="73"/>
      <c r="F43" s="94">
        <f t="shared" si="0"/>
        <v>0</v>
      </c>
    </row>
    <row r="44" spans="1:8" hidden="1">
      <c r="A44" s="74" t="s">
        <v>104</v>
      </c>
      <c r="B44" s="105">
        <v>957937</v>
      </c>
      <c r="C44" s="656">
        <v>957937</v>
      </c>
      <c r="D44" s="632"/>
      <c r="E44" s="73"/>
      <c r="F44" s="94">
        <f t="shared" si="0"/>
        <v>0</v>
      </c>
    </row>
    <row r="45" spans="1:8" hidden="1">
      <c r="A45" s="74" t="s">
        <v>105</v>
      </c>
      <c r="B45" s="105">
        <v>456738</v>
      </c>
      <c r="C45" s="656">
        <f>369178.12+87559.88</f>
        <v>456738</v>
      </c>
      <c r="D45" s="632"/>
      <c r="E45" s="73"/>
      <c r="F45" s="94">
        <f t="shared" si="0"/>
        <v>0</v>
      </c>
    </row>
    <row r="46" spans="1:8" hidden="1">
      <c r="A46" s="74" t="s">
        <v>106</v>
      </c>
      <c r="B46" s="105">
        <v>4927112</v>
      </c>
      <c r="C46" s="656">
        <f>4288628.56+11134.62+627348.74-666676</f>
        <v>4260435.92</v>
      </c>
      <c r="D46" s="632">
        <v>666676</v>
      </c>
      <c r="E46" s="73"/>
      <c r="F46" s="94">
        <f t="shared" si="0"/>
        <v>8.0000000074505806E-2</v>
      </c>
    </row>
    <row r="47" spans="1:8" hidden="1">
      <c r="A47" s="74" t="s">
        <v>107</v>
      </c>
      <c r="B47" s="105">
        <v>6063</v>
      </c>
      <c r="C47" s="656">
        <v>6063</v>
      </c>
      <c r="D47" s="632"/>
      <c r="E47" s="73"/>
      <c r="F47" s="94">
        <f t="shared" si="0"/>
        <v>0</v>
      </c>
    </row>
    <row r="48" spans="1:8">
      <c r="A48" s="74" t="s">
        <v>109</v>
      </c>
      <c r="B48" s="105">
        <v>345585</v>
      </c>
      <c r="C48" s="656">
        <f>102240.74+243344.26</f>
        <v>345585</v>
      </c>
      <c r="D48" s="632"/>
      <c r="E48" s="73"/>
      <c r="F48" s="94">
        <f t="shared" si="0"/>
        <v>0</v>
      </c>
    </row>
    <row r="49" spans="1:7">
      <c r="A49" s="74" t="s">
        <v>110</v>
      </c>
      <c r="B49" s="105">
        <v>202096</v>
      </c>
      <c r="C49" s="656">
        <v>202096</v>
      </c>
      <c r="D49" s="632"/>
      <c r="E49" s="73"/>
      <c r="F49" s="94">
        <f t="shared" si="0"/>
        <v>0</v>
      </c>
    </row>
    <row r="50" spans="1:7" ht="15" thickBot="1">
      <c r="A50" s="226" t="s">
        <v>112</v>
      </c>
      <c r="B50" s="657">
        <v>6008328</v>
      </c>
      <c r="C50" s="658">
        <f>6008328-1178229</f>
        <v>4830099</v>
      </c>
      <c r="D50" s="632">
        <f>1178229</f>
        <v>1178229</v>
      </c>
      <c r="E50" s="73"/>
      <c r="F50" s="94">
        <f t="shared" si="0"/>
        <v>0</v>
      </c>
    </row>
    <row r="51" spans="1:7">
      <c r="A51" s="72" t="s">
        <v>136</v>
      </c>
      <c r="B51" s="624">
        <v>1940126</v>
      </c>
      <c r="C51" s="624">
        <v>1940126</v>
      </c>
      <c r="D51" s="73"/>
      <c r="E51" s="73"/>
      <c r="F51" s="94">
        <f t="shared" si="0"/>
        <v>0</v>
      </c>
    </row>
    <row r="52" spans="1:7">
      <c r="A52" s="74" t="s">
        <v>114</v>
      </c>
      <c r="B52" s="73">
        <v>2115950</v>
      </c>
      <c r="C52" s="105">
        <v>2115950</v>
      </c>
      <c r="D52" s="73"/>
      <c r="E52" s="73"/>
      <c r="F52" s="94">
        <f t="shared" si="0"/>
        <v>0</v>
      </c>
    </row>
    <row r="53" spans="1:7" ht="33" customHeight="1">
      <c r="A53" s="74" t="s">
        <v>115</v>
      </c>
      <c r="B53" s="73">
        <v>6062.89</v>
      </c>
      <c r="C53" s="105"/>
      <c r="D53" s="73"/>
      <c r="E53" s="73"/>
      <c r="F53" s="94">
        <f t="shared" si="0"/>
        <v>6062.89</v>
      </c>
    </row>
    <row r="54" spans="1:7">
      <c r="A54" s="74" t="s">
        <v>117</v>
      </c>
      <c r="B54" s="73">
        <v>200075.51</v>
      </c>
      <c r="C54" s="105"/>
      <c r="D54" s="73"/>
      <c r="E54" s="73"/>
      <c r="F54" s="94">
        <f t="shared" si="0"/>
        <v>200075.51</v>
      </c>
    </row>
    <row r="55" spans="1:7">
      <c r="A55" s="74" t="s">
        <v>119</v>
      </c>
      <c r="B55" s="105">
        <v>10466576</v>
      </c>
      <c r="C55" s="105">
        <v>10466576</v>
      </c>
      <c r="D55" s="73"/>
      <c r="E55" s="105"/>
      <c r="F55" s="94">
        <f t="shared" si="0"/>
        <v>0</v>
      </c>
    </row>
    <row r="56" spans="1:7">
      <c r="A56" s="74" t="s">
        <v>120</v>
      </c>
      <c r="B56" s="105">
        <f>32083333-849406</f>
        <v>31233927</v>
      </c>
      <c r="C56" s="105">
        <f>19681235+1514000+8907000+1640697+20675000+2660000-23844005+664628+664628-1329256</f>
        <v>31233927</v>
      </c>
      <c r="D56" s="73"/>
      <c r="E56" s="73"/>
      <c r="F56" s="94">
        <f t="shared" si="0"/>
        <v>0</v>
      </c>
      <c r="G56" s="126"/>
    </row>
    <row r="57" spans="1:7">
      <c r="A57" s="74" t="s">
        <v>121</v>
      </c>
      <c r="B57" s="105">
        <v>30314</v>
      </c>
      <c r="C57" s="78"/>
      <c r="D57" s="73"/>
      <c r="E57" s="73"/>
      <c r="F57" s="94">
        <f t="shared" si="0"/>
        <v>30314</v>
      </c>
    </row>
    <row r="58" spans="1:7" ht="15" thickBot="1">
      <c r="A58" s="107" t="s">
        <v>124</v>
      </c>
      <c r="B58" s="108">
        <f>SUM(B9:B57)</f>
        <v>144983927.40000001</v>
      </c>
      <c r="C58" s="108">
        <f>SUM(C9:C57)</f>
        <v>138079119.68000001</v>
      </c>
      <c r="D58" s="108">
        <f>SUM(D9:D57)</f>
        <v>5787214</v>
      </c>
      <c r="E58" s="108">
        <f>SUM(E9:E57)</f>
        <v>-2.6249811518937349E-2</v>
      </c>
      <c r="F58" s="109">
        <f>SUM(F9:F57)</f>
        <v>1117593.7462498103</v>
      </c>
    </row>
    <row r="59" spans="1:7" ht="15" thickBot="1">
      <c r="A59" s="485" t="s">
        <v>137</v>
      </c>
      <c r="B59" s="101">
        <v>849406</v>
      </c>
      <c r="C59" s="101"/>
      <c r="D59" s="101"/>
      <c r="E59" s="101"/>
      <c r="F59" s="490">
        <f>B59-C59-D59-E59</f>
        <v>849406</v>
      </c>
    </row>
    <row r="60" spans="1:7" ht="15" thickBot="1">
      <c r="A60" s="98" t="s">
        <v>138</v>
      </c>
      <c r="B60" s="486">
        <f>B58+B59</f>
        <v>145833333.40000001</v>
      </c>
      <c r="C60" s="486">
        <f t="shared" ref="C60:F60" si="1">C58+C59</f>
        <v>138079119.68000001</v>
      </c>
      <c r="D60" s="486">
        <f t="shared" si="1"/>
        <v>5787214</v>
      </c>
      <c r="E60" s="486">
        <f t="shared" si="1"/>
        <v>-2.6249811518937349E-2</v>
      </c>
      <c r="F60" s="487">
        <f t="shared" si="1"/>
        <v>1966999.7462498103</v>
      </c>
    </row>
    <row r="61" spans="1:7" ht="15" thickBot="1">
      <c r="A61" s="110"/>
      <c r="B61" s="101"/>
      <c r="C61" s="101"/>
      <c r="D61" s="101"/>
      <c r="E61" s="101"/>
      <c r="F61" s="101"/>
    </row>
    <row r="62" spans="1:7" ht="15" thickBot="1">
      <c r="A62" s="102" t="s">
        <v>139</v>
      </c>
      <c r="B62" s="103">
        <f>B12+B13+B15+B19+B21+B27+B33+B36+B43+B46+B48+B49+B53+B54+B57</f>
        <v>9652127.4000000004</v>
      </c>
      <c r="C62" s="103">
        <f>C12+C13+C15+C19+C21+C26+C34+C36+C43+C46+C48+C49+C53+C54+C57</f>
        <v>7983051.9199999999</v>
      </c>
      <c r="D62" s="103">
        <f>D12+D13+D15+D19+D21+D26+D34+D36+D43+D46+D48+D49+D53+D54+D57</f>
        <v>666676</v>
      </c>
      <c r="E62" s="103">
        <f>E12+E13+E15+E19+E21+E26+E34+E36+E43+E46+E48+E49+E53+E54+E57</f>
        <v>0</v>
      </c>
      <c r="F62" s="104">
        <f>B62-C62-D62-E62</f>
        <v>1002399.4800000004</v>
      </c>
    </row>
    <row r="63" spans="1:7">
      <c r="C63" s="119"/>
    </row>
    <row r="64" spans="1:7" s="114" customFormat="1" ht="12.5">
      <c r="B64" s="119"/>
      <c r="C64" s="120"/>
      <c r="D64" s="121"/>
      <c r="E64" s="121"/>
      <c r="F64" s="122"/>
    </row>
    <row r="65" spans="3:6">
      <c r="C65" s="123"/>
      <c r="F65" s="124"/>
    </row>
    <row r="66" spans="3:6">
      <c r="C66" s="125"/>
    </row>
    <row r="67" spans="3:6">
      <c r="C67" s="119"/>
    </row>
    <row r="68" spans="3:6">
      <c r="C68" s="119"/>
    </row>
  </sheetData>
  <mergeCells count="4">
    <mergeCell ref="A1:B1"/>
    <mergeCell ref="A5:F5"/>
    <mergeCell ref="A6:F6"/>
    <mergeCell ref="A7:F7"/>
  </mergeCells>
  <printOptions horizontalCentered="1"/>
  <pageMargins left="0.70866141732283472" right="0.70866141732283472" top="0.59055118110236227" bottom="0.31496062992125984" header="0.31496062992125984" footer="0.31496062992125984"/>
  <pageSetup scale="75"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1E2F0-E135-4305-A70E-450DBC3498FB}">
  <dimension ref="A1:H70"/>
  <sheetViews>
    <sheetView topLeftCell="A16" workbookViewId="0">
      <selection activeCell="D32" sqref="D32"/>
    </sheetView>
  </sheetViews>
  <sheetFormatPr defaultRowHeight="14.5"/>
  <cols>
    <col min="1" max="1" width="24.7265625" customWidth="1"/>
    <col min="2" max="2" width="16.7265625" style="118" customWidth="1"/>
    <col min="3" max="3" width="40.26953125" style="118" customWidth="1"/>
    <col min="4" max="4" width="14.26953125" style="118" customWidth="1"/>
    <col min="5" max="5" width="13.26953125" style="118" customWidth="1"/>
    <col min="6" max="6" width="15.7265625" style="118" customWidth="1"/>
    <col min="7" max="7" width="16.453125" customWidth="1"/>
    <col min="8" max="8" width="17.54296875" bestFit="1" customWidth="1"/>
  </cols>
  <sheetData>
    <row r="1" spans="1:6" ht="18">
      <c r="A1" s="738" t="str">
        <f>Status!C1</f>
        <v>UNEP/OzL.Pro/ExCom/94/3</v>
      </c>
      <c r="B1" s="738"/>
      <c r="C1" s="62"/>
      <c r="D1" s="62"/>
      <c r="E1" s="62"/>
      <c r="F1" s="62"/>
    </row>
    <row r="2" spans="1:6" ht="18">
      <c r="A2" s="95" t="s">
        <v>0</v>
      </c>
      <c r="B2" s="62"/>
      <c r="C2" s="62"/>
      <c r="D2" s="62"/>
      <c r="E2" s="62"/>
      <c r="F2" s="62"/>
    </row>
    <row r="3" spans="1:6" ht="18">
      <c r="A3" s="23" t="s">
        <v>151</v>
      </c>
      <c r="B3" s="62"/>
      <c r="C3" s="62"/>
      <c r="D3" s="62"/>
      <c r="E3" s="62"/>
      <c r="F3" s="62"/>
    </row>
    <row r="4" spans="1:6" ht="15.5">
      <c r="A4" s="1"/>
      <c r="B4" s="62"/>
      <c r="C4" s="62"/>
      <c r="D4" s="62"/>
      <c r="E4" s="62"/>
      <c r="F4" s="62"/>
    </row>
    <row r="5" spans="1:6" ht="16">
      <c r="A5" s="735" t="s">
        <v>2</v>
      </c>
      <c r="B5" s="735"/>
      <c r="C5" s="735"/>
      <c r="D5" s="735"/>
      <c r="E5" s="735"/>
      <c r="F5" s="735"/>
    </row>
    <row r="6" spans="1:6" ht="15.5">
      <c r="A6" s="729" t="s">
        <v>253</v>
      </c>
      <c r="B6" s="729"/>
      <c r="C6" s="729"/>
      <c r="D6" s="729"/>
      <c r="E6" s="729"/>
      <c r="F6" s="729"/>
    </row>
    <row r="7" spans="1:6" ht="16.5" thickBot="1">
      <c r="A7" s="728" t="str">
        <f>Status!A6</f>
        <v>As at 24/05/2024</v>
      </c>
      <c r="B7" s="728"/>
      <c r="C7" s="728"/>
      <c r="D7" s="740"/>
      <c r="E7" s="740"/>
      <c r="F7" s="740"/>
    </row>
    <row r="8" spans="1:6" ht="33" customHeight="1" thickBot="1">
      <c r="A8" s="68" t="s">
        <v>60</v>
      </c>
      <c r="B8" s="69" t="s">
        <v>61</v>
      </c>
      <c r="C8" s="70" t="s">
        <v>62</v>
      </c>
      <c r="D8" s="629" t="s">
        <v>63</v>
      </c>
      <c r="E8" s="69" t="s">
        <v>64</v>
      </c>
      <c r="F8" s="70" t="s">
        <v>65</v>
      </c>
    </row>
    <row r="9" spans="1:6" ht="15" thickBot="1">
      <c r="A9" s="128" t="s">
        <v>67</v>
      </c>
      <c r="B9" s="129">
        <v>16168</v>
      </c>
      <c r="C9" s="653">
        <v>16168</v>
      </c>
      <c r="D9" s="630"/>
      <c r="E9" s="130"/>
      <c r="F9" s="94">
        <f t="shared" ref="F9:F57" si="0">B9-C9-D9-E9</f>
        <v>0</v>
      </c>
    </row>
    <row r="10" spans="1:6" ht="15" thickBot="1">
      <c r="A10" s="72" t="s">
        <v>130</v>
      </c>
      <c r="B10" s="131">
        <v>4191481</v>
      </c>
      <c r="C10" s="653">
        <v>4191481</v>
      </c>
      <c r="D10" s="631"/>
      <c r="E10" s="132"/>
      <c r="F10" s="94">
        <f t="shared" si="0"/>
        <v>0</v>
      </c>
    </row>
    <row r="11" spans="1:6" ht="15" thickBot="1">
      <c r="A11" s="74" t="s">
        <v>69</v>
      </c>
      <c r="B11" s="133">
        <v>1612730</v>
      </c>
      <c r="C11" s="653">
        <v>1612730</v>
      </c>
      <c r="D11" s="632"/>
      <c r="E11" s="73"/>
      <c r="F11" s="94">
        <f t="shared" si="0"/>
        <v>0</v>
      </c>
    </row>
    <row r="12" spans="1:6" ht="15" thickBot="1">
      <c r="A12" s="96" t="s">
        <v>70</v>
      </c>
      <c r="B12" s="133">
        <v>80839</v>
      </c>
      <c r="C12" s="653"/>
      <c r="D12" s="632"/>
      <c r="E12" s="73"/>
      <c r="F12" s="94">
        <f t="shared" si="0"/>
        <v>80839</v>
      </c>
    </row>
    <row r="13" spans="1:6" ht="15" thickBot="1">
      <c r="A13" s="74" t="s">
        <v>71</v>
      </c>
      <c r="B13" s="133">
        <v>113174</v>
      </c>
      <c r="C13" s="653"/>
      <c r="D13" s="632"/>
      <c r="E13" s="73"/>
      <c r="F13" s="94">
        <f t="shared" si="0"/>
        <v>113174</v>
      </c>
    </row>
    <row r="14" spans="1:6" ht="15" thickBot="1">
      <c r="A14" s="74" t="s">
        <v>72</v>
      </c>
      <c r="B14" s="133">
        <v>2016923</v>
      </c>
      <c r="C14" s="653">
        <v>2016923</v>
      </c>
      <c r="D14" s="632"/>
      <c r="E14" s="73"/>
      <c r="F14" s="94">
        <f t="shared" si="0"/>
        <v>0</v>
      </c>
    </row>
    <row r="15" spans="1:6" ht="15" thickBot="1">
      <c r="A15" s="74" t="s">
        <v>73</v>
      </c>
      <c r="B15" s="133">
        <v>94985</v>
      </c>
      <c r="C15" s="653">
        <v>94985</v>
      </c>
      <c r="D15" s="632"/>
      <c r="E15" s="73"/>
      <c r="F15" s="94">
        <f t="shared" si="0"/>
        <v>0</v>
      </c>
    </row>
    <row r="16" spans="1:6" ht="15" thickBot="1">
      <c r="A16" s="74" t="s">
        <v>131</v>
      </c>
      <c r="B16" s="133">
        <v>6030559</v>
      </c>
      <c r="C16" s="653">
        <f>4824446.83+1206112.07</f>
        <v>6030558.9000000004</v>
      </c>
      <c r="D16" s="632"/>
      <c r="E16" s="73"/>
      <c r="F16" s="94">
        <f t="shared" si="0"/>
        <v>9.999999962747097E-2</v>
      </c>
    </row>
    <row r="17" spans="1:8" ht="15" thickBot="1">
      <c r="A17" s="74" t="s">
        <v>75</v>
      </c>
      <c r="B17" s="133">
        <v>254642</v>
      </c>
      <c r="C17" s="653">
        <f>250876.44+3766</f>
        <v>254642.44</v>
      </c>
      <c r="D17" s="632"/>
      <c r="E17" s="73"/>
      <c r="F17" s="94">
        <f t="shared" si="0"/>
        <v>-0.44000000000232831</v>
      </c>
    </row>
    <row r="18" spans="1:8" ht="15" thickBot="1">
      <c r="A18" s="74" t="s">
        <v>76</v>
      </c>
      <c r="B18" s="133">
        <v>94985</v>
      </c>
      <c r="C18" s="653">
        <v>94985</v>
      </c>
      <c r="D18" s="632"/>
      <c r="E18" s="73"/>
      <c r="F18" s="94">
        <f t="shared" si="0"/>
        <v>0</v>
      </c>
    </row>
    <row r="19" spans="1:8" ht="15" thickBot="1">
      <c r="A19" s="74" t="s">
        <v>77</v>
      </c>
      <c r="B19" s="133">
        <v>780092</v>
      </c>
      <c r="C19" s="653">
        <v>780092</v>
      </c>
      <c r="D19" s="632"/>
      <c r="E19" s="73"/>
      <c r="F19" s="94">
        <f t="shared" si="0"/>
        <v>0</v>
      </c>
    </row>
    <row r="20" spans="1:8" ht="15" thickBot="1">
      <c r="A20" s="74" t="s">
        <v>78</v>
      </c>
      <c r="B20" s="133">
        <v>1364151</v>
      </c>
      <c r="C20" s="653">
        <v>1364151</v>
      </c>
      <c r="D20" s="632"/>
      <c r="E20" s="73"/>
      <c r="F20" s="94">
        <f t="shared" si="0"/>
        <v>0</v>
      </c>
    </row>
    <row r="21" spans="1:8" ht="15" thickBot="1">
      <c r="A21" s="74" t="s">
        <v>79</v>
      </c>
      <c r="B21" s="133">
        <v>80839</v>
      </c>
      <c r="C21" s="653">
        <v>80839</v>
      </c>
      <c r="D21" s="632"/>
      <c r="E21" s="73"/>
      <c r="F21" s="94">
        <f t="shared" si="0"/>
        <v>0</v>
      </c>
    </row>
    <row r="22" spans="1:8" ht="15" thickBot="1">
      <c r="A22" s="74" t="s">
        <v>80</v>
      </c>
      <c r="B22" s="133">
        <v>1048881</v>
      </c>
      <c r="C22" s="653">
        <v>1048881</v>
      </c>
      <c r="D22" s="632"/>
      <c r="E22" s="73"/>
      <c r="F22" s="94">
        <f t="shared" si="0"/>
        <v>0</v>
      </c>
    </row>
    <row r="23" spans="1:8" ht="15" thickBot="1">
      <c r="A23" s="74" t="s">
        <v>132</v>
      </c>
      <c r="B23" s="133">
        <v>11303256</v>
      </c>
      <c r="C23" s="653">
        <f>11257491</f>
        <v>11257491</v>
      </c>
      <c r="D23" s="632">
        <f>45765</f>
        <v>45765</v>
      </c>
      <c r="E23" s="73"/>
      <c r="F23" s="94">
        <f t="shared" si="0"/>
        <v>0</v>
      </c>
    </row>
    <row r="24" spans="1:8" ht="15" thickBot="1">
      <c r="A24" s="74" t="s">
        <v>133</v>
      </c>
      <c r="B24" s="133">
        <v>14431709</v>
      </c>
      <c r="C24" s="653">
        <f>8659025.32+2886341.77-1850587</f>
        <v>9694780.0899999999</v>
      </c>
      <c r="D24" s="632">
        <f>659452+323021+1903869+1850587</f>
        <v>4736929</v>
      </c>
      <c r="E24" s="133"/>
      <c r="F24" s="94">
        <f t="shared" si="0"/>
        <v>-8.9999999850988388E-2</v>
      </c>
      <c r="G24" s="111"/>
      <c r="H24" s="112"/>
    </row>
    <row r="25" spans="1:8" ht="15" thickBot="1">
      <c r="A25" s="74" t="s">
        <v>83</v>
      </c>
      <c r="B25" s="133">
        <v>1289376</v>
      </c>
      <c r="C25" s="653">
        <v>1289376</v>
      </c>
      <c r="D25" s="632"/>
      <c r="E25" s="73"/>
      <c r="F25" s="94">
        <f t="shared" si="0"/>
        <v>0</v>
      </c>
      <c r="G25" s="113"/>
    </row>
    <row r="26" spans="1:8" ht="15" thickBot="1">
      <c r="A26" s="74" t="s">
        <v>84</v>
      </c>
      <c r="B26" s="133">
        <v>2021</v>
      </c>
      <c r="C26" s="653">
        <v>2021</v>
      </c>
      <c r="D26" s="632"/>
      <c r="E26" s="73"/>
      <c r="F26" s="94">
        <f t="shared" si="0"/>
        <v>0</v>
      </c>
      <c r="G26" s="112"/>
    </row>
    <row r="27" spans="1:8" ht="15" thickBot="1">
      <c r="A27" s="74" t="s">
        <v>85</v>
      </c>
      <c r="B27" s="133">
        <v>537577</v>
      </c>
      <c r="C27" s="653">
        <v>537577</v>
      </c>
      <c r="D27" s="632"/>
      <c r="E27" s="73"/>
      <c r="F27" s="94">
        <f t="shared" si="0"/>
        <v>0</v>
      </c>
    </row>
    <row r="28" spans="1:8" ht="15" thickBot="1">
      <c r="A28" s="74" t="s">
        <v>86</v>
      </c>
      <c r="B28" s="133">
        <v>54566</v>
      </c>
      <c r="C28" s="653">
        <v>54566</v>
      </c>
      <c r="D28" s="632"/>
      <c r="E28" s="73"/>
      <c r="F28" s="94">
        <f t="shared" si="0"/>
        <v>0</v>
      </c>
    </row>
    <row r="29" spans="1:8" ht="15" thickBot="1">
      <c r="A29" s="74" t="s">
        <v>134</v>
      </c>
      <c r="B29" s="133">
        <v>844763</v>
      </c>
      <c r="C29" s="653">
        <v>844763</v>
      </c>
      <c r="D29" s="632"/>
      <c r="E29" s="73"/>
      <c r="F29" s="94">
        <f t="shared" si="0"/>
        <v>0</v>
      </c>
    </row>
    <row r="30" spans="1:8" ht="15" thickBot="1">
      <c r="A30" s="74" t="s">
        <v>88</v>
      </c>
      <c r="B30" s="133">
        <v>800302</v>
      </c>
      <c r="C30" s="653"/>
      <c r="D30" s="632"/>
      <c r="E30" s="73"/>
      <c r="F30" s="94">
        <f t="shared" si="0"/>
        <v>800302</v>
      </c>
    </row>
    <row r="31" spans="1:8" ht="15" thickBot="1">
      <c r="A31" s="74" t="s">
        <v>89</v>
      </c>
      <c r="B31" s="133">
        <v>8989251</v>
      </c>
      <c r="C31" s="653">
        <f>1762906.01+7191368.15+34976.83-282500</f>
        <v>8706750.9900000002</v>
      </c>
      <c r="D31" s="632">
        <f>282500</f>
        <v>282500</v>
      </c>
      <c r="E31" s="73"/>
      <c r="F31" s="94">
        <f t="shared" si="0"/>
        <v>9.9999997764825821E-3</v>
      </c>
    </row>
    <row r="32" spans="1:8" ht="15" thickBot="1">
      <c r="A32" s="74" t="s">
        <v>135</v>
      </c>
      <c r="B32" s="133">
        <v>21893111</v>
      </c>
      <c r="C32" s="653">
        <f>7372578+14520533-90400-90400</f>
        <v>21712311</v>
      </c>
      <c r="D32" s="632">
        <f>90400+90400</f>
        <v>180800</v>
      </c>
      <c r="E32" s="73"/>
      <c r="F32" s="94">
        <f t="shared" si="0"/>
        <v>0</v>
      </c>
      <c r="H32" s="114"/>
    </row>
    <row r="33" spans="1:8" ht="15" thickBot="1">
      <c r="A33" s="74" t="s">
        <v>91</v>
      </c>
      <c r="B33" s="133">
        <v>244537</v>
      </c>
      <c r="C33" s="653">
        <f>128906+115631</f>
        <v>244537</v>
      </c>
      <c r="D33" s="632"/>
      <c r="E33" s="73"/>
      <c r="F33" s="94">
        <f t="shared" si="0"/>
        <v>0</v>
      </c>
      <c r="H33" s="114"/>
    </row>
    <row r="34" spans="1:8" ht="15" thickBot="1">
      <c r="A34" s="74" t="s">
        <v>93</v>
      </c>
      <c r="B34" s="133">
        <v>94985</v>
      </c>
      <c r="C34" s="653">
        <v>94985</v>
      </c>
      <c r="D34" s="632"/>
      <c r="E34" s="73"/>
      <c r="F34" s="94">
        <f t="shared" si="0"/>
        <v>0</v>
      </c>
    </row>
    <row r="35" spans="1:8" ht="15" thickBot="1">
      <c r="A35" s="74" t="s">
        <v>94</v>
      </c>
      <c r="B35" s="133">
        <v>18189</v>
      </c>
      <c r="C35" s="653">
        <v>18189</v>
      </c>
      <c r="D35" s="632"/>
      <c r="E35" s="73"/>
      <c r="F35" s="94">
        <f t="shared" si="0"/>
        <v>0</v>
      </c>
    </row>
    <row r="36" spans="1:8" ht="15" thickBot="1">
      <c r="A36" s="74" t="s">
        <v>95</v>
      </c>
      <c r="B36" s="133">
        <v>147530</v>
      </c>
      <c r="C36" s="653">
        <v>147530</v>
      </c>
      <c r="D36" s="632"/>
      <c r="E36" s="73"/>
      <c r="F36" s="94">
        <f t="shared" si="0"/>
        <v>0</v>
      </c>
    </row>
    <row r="37" spans="1:8" ht="15" thickBot="1">
      <c r="A37" s="74" t="s">
        <v>96</v>
      </c>
      <c r="B37" s="133">
        <v>163698</v>
      </c>
      <c r="C37" s="653">
        <v>163698</v>
      </c>
      <c r="D37" s="632"/>
      <c r="E37" s="73"/>
      <c r="F37" s="94">
        <f t="shared" si="0"/>
        <v>0</v>
      </c>
    </row>
    <row r="38" spans="1:8" ht="15" thickBot="1">
      <c r="A38" s="74" t="s">
        <v>97</v>
      </c>
      <c r="B38" s="133">
        <v>32335</v>
      </c>
      <c r="C38" s="653">
        <v>32335</v>
      </c>
      <c r="D38" s="632"/>
      <c r="E38" s="73"/>
      <c r="F38" s="94">
        <f t="shared" si="0"/>
        <v>0</v>
      </c>
    </row>
    <row r="39" spans="1:8" ht="15" thickBot="1">
      <c r="A39" s="74" t="s">
        <v>98</v>
      </c>
      <c r="B39" s="133">
        <v>24252</v>
      </c>
      <c r="C39" s="653">
        <v>24252</v>
      </c>
      <c r="D39" s="632"/>
      <c r="E39" s="73"/>
      <c r="F39" s="94">
        <f t="shared" si="0"/>
        <v>0</v>
      </c>
    </row>
    <row r="40" spans="1:8" ht="15" thickBot="1">
      <c r="A40" s="74" t="s">
        <v>99</v>
      </c>
      <c r="B40" s="133">
        <v>3342676</v>
      </c>
      <c r="C40" s="653">
        <v>3342676</v>
      </c>
      <c r="D40" s="632"/>
      <c r="E40" s="73"/>
      <c r="F40" s="94">
        <f t="shared" si="0"/>
        <v>0</v>
      </c>
    </row>
    <row r="41" spans="1:8" ht="15" thickBot="1">
      <c r="A41" s="74" t="s">
        <v>100</v>
      </c>
      <c r="B41" s="133">
        <v>511304</v>
      </c>
      <c r="C41" s="653">
        <v>511304</v>
      </c>
      <c r="D41" s="632"/>
      <c r="E41" s="73"/>
      <c r="F41" s="94">
        <f t="shared" si="0"/>
        <v>0</v>
      </c>
    </row>
    <row r="42" spans="1:8" ht="15" thickBot="1">
      <c r="A42" s="74" t="s">
        <v>101</v>
      </c>
      <c r="B42" s="133">
        <v>1719841</v>
      </c>
      <c r="C42" s="653">
        <v>1719841</v>
      </c>
      <c r="D42" s="632"/>
      <c r="E42" s="73"/>
      <c r="F42" s="94">
        <f t="shared" si="0"/>
        <v>0</v>
      </c>
    </row>
    <row r="43" spans="1:8" ht="15" hidden="1" thickBot="1">
      <c r="A43" s="74" t="s">
        <v>103</v>
      </c>
      <c r="B43" s="133">
        <v>1861309</v>
      </c>
      <c r="C43" s="653">
        <v>1861309.4</v>
      </c>
      <c r="D43" s="632"/>
      <c r="E43" s="73"/>
      <c r="F43" s="94">
        <f t="shared" si="0"/>
        <v>-0.39999999990686774</v>
      </c>
    </row>
    <row r="44" spans="1:8" ht="15" hidden="1" thickBot="1">
      <c r="A44" s="74" t="s">
        <v>104</v>
      </c>
      <c r="B44" s="133">
        <v>957937</v>
      </c>
      <c r="C44" s="653">
        <v>957937</v>
      </c>
      <c r="D44" s="632"/>
      <c r="E44" s="73"/>
      <c r="F44" s="94">
        <f t="shared" si="0"/>
        <v>0</v>
      </c>
    </row>
    <row r="45" spans="1:8" ht="15" hidden="1" thickBot="1">
      <c r="A45" s="74" t="s">
        <v>105</v>
      </c>
      <c r="B45" s="133">
        <v>456738</v>
      </c>
      <c r="C45" s="653">
        <v>456738</v>
      </c>
      <c r="D45" s="632"/>
      <c r="E45" s="73"/>
      <c r="F45" s="94">
        <f t="shared" si="0"/>
        <v>0</v>
      </c>
    </row>
    <row r="46" spans="1:8" ht="15" hidden="1" thickBot="1">
      <c r="A46" s="74" t="s">
        <v>106</v>
      </c>
      <c r="B46" s="133">
        <v>4927112</v>
      </c>
      <c r="C46" s="653">
        <f>4563879.73+363232.76</f>
        <v>4927112.49</v>
      </c>
      <c r="D46" s="632"/>
      <c r="E46" s="73"/>
      <c r="F46" s="94">
        <f t="shared" si="0"/>
        <v>-0.49000000022351742</v>
      </c>
    </row>
    <row r="47" spans="1:8" ht="15" hidden="1" thickBot="1">
      <c r="A47" s="72" t="s">
        <v>107</v>
      </c>
      <c r="B47" s="133">
        <v>6063</v>
      </c>
      <c r="C47" s="653">
        <v>6063</v>
      </c>
      <c r="D47" s="632"/>
      <c r="E47" s="73"/>
      <c r="F47" s="94">
        <f t="shared" si="0"/>
        <v>0</v>
      </c>
    </row>
    <row r="48" spans="1:8" ht="15" thickBot="1">
      <c r="A48" s="72" t="s">
        <v>109</v>
      </c>
      <c r="B48" s="133">
        <v>345585</v>
      </c>
      <c r="C48" s="653">
        <f>121671.44+102240.74+121673</f>
        <v>345585.18</v>
      </c>
      <c r="D48" s="632"/>
      <c r="E48" s="73"/>
      <c r="F48" s="94">
        <f t="shared" si="0"/>
        <v>-0.17999999999301508</v>
      </c>
    </row>
    <row r="49" spans="1:6" ht="15" thickBot="1">
      <c r="A49" s="74" t="s">
        <v>110</v>
      </c>
      <c r="B49" s="133">
        <v>202096</v>
      </c>
      <c r="C49" s="653">
        <f>79500+122596</f>
        <v>202096</v>
      </c>
      <c r="D49" s="632"/>
      <c r="E49" s="73"/>
      <c r="F49" s="94">
        <f t="shared" si="0"/>
        <v>0</v>
      </c>
    </row>
    <row r="50" spans="1:6" ht="15" thickBot="1">
      <c r="A50" s="226" t="s">
        <v>112</v>
      </c>
      <c r="B50" s="654">
        <v>6008328</v>
      </c>
      <c r="C50" s="655">
        <v>6008328</v>
      </c>
      <c r="D50" s="632"/>
      <c r="E50" s="73"/>
      <c r="F50" s="94">
        <f t="shared" si="0"/>
        <v>0</v>
      </c>
    </row>
    <row r="51" spans="1:6" ht="15" thickBot="1">
      <c r="A51" s="72" t="s">
        <v>136</v>
      </c>
      <c r="B51" s="131">
        <v>1940126</v>
      </c>
      <c r="C51" s="641">
        <v>1940126</v>
      </c>
      <c r="D51" s="73"/>
      <c r="E51" s="73"/>
      <c r="F51" s="94">
        <f t="shared" si="0"/>
        <v>0</v>
      </c>
    </row>
    <row r="52" spans="1:6" ht="15" thickBot="1">
      <c r="A52" s="74" t="s">
        <v>114</v>
      </c>
      <c r="B52" s="134">
        <v>2115950</v>
      </c>
      <c r="C52" s="129">
        <v>2115950</v>
      </c>
      <c r="D52" s="73"/>
      <c r="E52" s="73"/>
      <c r="F52" s="94">
        <f t="shared" si="0"/>
        <v>0</v>
      </c>
    </row>
    <row r="53" spans="1:6" ht="33" customHeight="1" thickBot="1">
      <c r="A53" s="74" t="s">
        <v>115</v>
      </c>
      <c r="B53" s="134">
        <v>6062.89</v>
      </c>
      <c r="C53" s="129"/>
      <c r="D53" s="73"/>
      <c r="E53" s="73"/>
      <c r="F53" s="94">
        <f t="shared" si="0"/>
        <v>6062.89</v>
      </c>
    </row>
    <row r="54" spans="1:6" ht="15" thickBot="1">
      <c r="A54" s="74" t="s">
        <v>117</v>
      </c>
      <c r="B54" s="134">
        <v>200075.51</v>
      </c>
      <c r="C54" s="129"/>
      <c r="D54" s="73"/>
      <c r="E54" s="73"/>
      <c r="F54" s="94">
        <f t="shared" si="0"/>
        <v>200075.51</v>
      </c>
    </row>
    <row r="55" spans="1:6" ht="15" thickBot="1">
      <c r="A55" s="74" t="s">
        <v>119</v>
      </c>
      <c r="B55" s="133">
        <v>10466576</v>
      </c>
      <c r="C55" s="129">
        <v>10466576</v>
      </c>
      <c r="D55" s="73"/>
      <c r="E55" s="133"/>
      <c r="F55" s="94">
        <f t="shared" si="0"/>
        <v>0</v>
      </c>
    </row>
    <row r="56" spans="1:6" ht="15" thickBot="1">
      <c r="A56" s="74" t="s">
        <v>120</v>
      </c>
      <c r="B56" s="133">
        <f>32083333-271090-180974</f>
        <v>31631269</v>
      </c>
      <c r="C56" s="129">
        <f>25000000-6814819+714323.4+8913000+3818765</f>
        <v>31631269.399999999</v>
      </c>
      <c r="D56" s="73"/>
      <c r="E56" s="73"/>
      <c r="F56" s="94">
        <f t="shared" si="0"/>
        <v>-0.39999999850988388</v>
      </c>
    </row>
    <row r="57" spans="1:6" ht="15" thickBot="1">
      <c r="A57" s="77" t="s">
        <v>121</v>
      </c>
      <c r="B57" s="133">
        <v>30314</v>
      </c>
      <c r="C57" s="129"/>
      <c r="D57" s="135"/>
      <c r="E57" s="136"/>
      <c r="F57" s="94">
        <f t="shared" si="0"/>
        <v>30314</v>
      </c>
    </row>
    <row r="58" spans="1:6" ht="15" thickBot="1">
      <c r="A58" s="81" t="s">
        <v>124</v>
      </c>
      <c r="B58" s="79">
        <f>SUM(B9:B57)</f>
        <v>145381269.40000001</v>
      </c>
      <c r="C58" s="79">
        <f>SUM(C9:C57)</f>
        <v>138904509.89000002</v>
      </c>
      <c r="D58" s="79">
        <f>SUM(D9:D57)</f>
        <v>5245994</v>
      </c>
      <c r="E58" s="79"/>
      <c r="F58" s="80">
        <f>SUM(F9:F57)</f>
        <v>1230765.5100000012</v>
      </c>
    </row>
    <row r="59" spans="1:6" ht="15" thickBot="1">
      <c r="A59" s="97" t="s">
        <v>137</v>
      </c>
      <c r="B59" s="137">
        <v>452064</v>
      </c>
      <c r="C59" s="137"/>
      <c r="D59" s="137"/>
      <c r="E59" s="137"/>
      <c r="F59" s="127">
        <f>B59-C59-D59-E59</f>
        <v>452064</v>
      </c>
    </row>
    <row r="60" spans="1:6" ht="15" thickBot="1">
      <c r="A60" s="98" t="s">
        <v>138</v>
      </c>
      <c r="B60" s="99">
        <f>B58+B59</f>
        <v>145833333.40000001</v>
      </c>
      <c r="C60" s="99">
        <f>C58+C59</f>
        <v>138904509.89000002</v>
      </c>
      <c r="D60" s="99">
        <f>D58+D59</f>
        <v>5245994</v>
      </c>
      <c r="E60" s="99"/>
      <c r="F60" s="100">
        <f>F58+F59</f>
        <v>1682829.5100000012</v>
      </c>
    </row>
    <row r="61" spans="1:6">
      <c r="A61" s="115" t="s">
        <v>141</v>
      </c>
      <c r="B61" s="101"/>
      <c r="C61" s="101"/>
      <c r="D61" s="101"/>
      <c r="E61" s="101"/>
      <c r="F61" s="101"/>
    </row>
    <row r="62" spans="1:6">
      <c r="A62" s="116"/>
      <c r="B62" s="117"/>
      <c r="C62" s="117"/>
      <c r="D62" s="117"/>
      <c r="E62" s="117"/>
      <c r="F62" s="117"/>
    </row>
    <row r="63" spans="1:6" ht="15" thickBot="1">
      <c r="A63" s="110"/>
      <c r="B63" s="101"/>
      <c r="C63" s="101"/>
      <c r="D63" s="101"/>
      <c r="E63" s="101"/>
      <c r="F63" s="101"/>
    </row>
    <row r="64" spans="1:6" ht="15" thickBot="1">
      <c r="A64" s="102" t="s">
        <v>139</v>
      </c>
      <c r="B64" s="103">
        <f>B12+B13+B15+B19+B21+B27+B33+B36+B43+B46+B48+B49+B53+B54+B57</f>
        <v>9652127.4000000004</v>
      </c>
      <c r="C64" s="103">
        <f>C12+C13+C15+C19+C21+C26+C34+C36+C43+C46+C48+C49+C53+C54+C57</f>
        <v>8536555.0700000003</v>
      </c>
      <c r="D64" s="103">
        <f>D12+D13+D15+D19+D21+D26+D34+D36+D43+D46+D48+D49+D53+D54+D57</f>
        <v>0</v>
      </c>
      <c r="E64" s="103">
        <f>E12+E13+E15+E19+E21+E26+E34+E36+E43+E46+E48+E49+E53+E54+E57</f>
        <v>0</v>
      </c>
      <c r="F64" s="104">
        <f>B64-C64-D64-E64</f>
        <v>1115572.33</v>
      </c>
    </row>
    <row r="65" spans="2:6">
      <c r="C65" s="119"/>
    </row>
    <row r="66" spans="2:6" s="114" customFormat="1" ht="12.5">
      <c r="B66" s="119"/>
      <c r="C66" s="120"/>
      <c r="D66" s="121"/>
      <c r="E66" s="121"/>
      <c r="F66" s="122"/>
    </row>
    <row r="67" spans="2:6">
      <c r="C67" s="123"/>
      <c r="F67" s="124"/>
    </row>
    <row r="68" spans="2:6">
      <c r="C68" s="125"/>
    </row>
    <row r="69" spans="2:6">
      <c r="C69" s="119"/>
    </row>
    <row r="70" spans="2:6">
      <c r="C70" s="119"/>
    </row>
  </sheetData>
  <mergeCells count="4">
    <mergeCell ref="A1:B1"/>
    <mergeCell ref="A5:F5"/>
    <mergeCell ref="A6:F6"/>
    <mergeCell ref="A7:F7"/>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66D10-8DE4-4210-B794-B549D8815DF7}">
  <dimension ref="A1:G70"/>
  <sheetViews>
    <sheetView topLeftCell="A24" workbookViewId="0">
      <selection activeCell="B64" sqref="B64"/>
    </sheetView>
  </sheetViews>
  <sheetFormatPr defaultRowHeight="14.5"/>
  <cols>
    <col min="1" max="1" width="25.453125" customWidth="1"/>
    <col min="2" max="2" width="17.7265625" style="112" customWidth="1"/>
    <col min="3" max="3" width="40.26953125" style="112" customWidth="1"/>
    <col min="4" max="6" width="17.7265625" style="112" customWidth="1"/>
    <col min="7" max="7" width="16.453125" hidden="1" customWidth="1"/>
  </cols>
  <sheetData>
    <row r="1" spans="1:6" ht="18">
      <c r="A1" s="738"/>
      <c r="B1" s="738"/>
      <c r="C1" s="28"/>
      <c r="D1" s="28"/>
      <c r="E1" s="63"/>
      <c r="F1" s="64" t="str">
        <f>Status!C1</f>
        <v>UNEP/OzL.Pro/ExCom/94/3</v>
      </c>
    </row>
    <row r="2" spans="1:6" ht="18">
      <c r="A2" s="95"/>
      <c r="B2" s="28"/>
      <c r="C2" s="28"/>
      <c r="D2" s="28"/>
      <c r="E2" s="63"/>
      <c r="F2" s="64" t="s">
        <v>0</v>
      </c>
    </row>
    <row r="3" spans="1:6" ht="18">
      <c r="A3" s="23"/>
      <c r="B3" s="28"/>
      <c r="C3" s="28"/>
      <c r="D3" s="28"/>
      <c r="E3" s="64"/>
      <c r="F3" s="64" t="s">
        <v>151</v>
      </c>
    </row>
    <row r="4" spans="1:6" ht="15.5">
      <c r="A4" s="1"/>
      <c r="B4" s="28"/>
      <c r="C4" s="28"/>
      <c r="D4" s="28"/>
      <c r="E4" s="28"/>
      <c r="F4" s="28"/>
    </row>
    <row r="5" spans="1:6" ht="16">
      <c r="A5" s="735" t="s">
        <v>2</v>
      </c>
      <c r="B5" s="735"/>
      <c r="C5" s="735"/>
      <c r="D5" s="735"/>
      <c r="E5" s="735"/>
      <c r="F5" s="735"/>
    </row>
    <row r="6" spans="1:6" ht="15.5">
      <c r="A6" s="729" t="s">
        <v>150</v>
      </c>
      <c r="B6" s="729"/>
      <c r="C6" s="729"/>
      <c r="D6" s="729"/>
      <c r="E6" s="729"/>
      <c r="F6" s="729"/>
    </row>
    <row r="7" spans="1:6" ht="16.5" thickBot="1">
      <c r="A7" s="728" t="str">
        <f>Status!A6</f>
        <v>As at 24/05/2024</v>
      </c>
      <c r="B7" s="728"/>
      <c r="C7" s="728"/>
      <c r="D7" s="740"/>
      <c r="E7" s="740"/>
      <c r="F7" s="740"/>
    </row>
    <row r="8" spans="1:6" ht="33" customHeight="1" thickBot="1">
      <c r="A8" s="138" t="s">
        <v>60</v>
      </c>
      <c r="B8" s="139" t="s">
        <v>61</v>
      </c>
      <c r="C8" s="140" t="s">
        <v>62</v>
      </c>
      <c r="D8" s="627" t="s">
        <v>63</v>
      </c>
      <c r="E8" s="139" t="s">
        <v>64</v>
      </c>
      <c r="F8" s="140" t="s">
        <v>65</v>
      </c>
    </row>
    <row r="9" spans="1:6" ht="15" thickBot="1">
      <c r="A9" s="128" t="s">
        <v>67</v>
      </c>
      <c r="B9" s="141">
        <f>'YR2012'!B9+'YR2013'!B9+'YR2014'!B9</f>
        <v>35719.53</v>
      </c>
      <c r="C9" s="650">
        <f>'YR2012'!C9+'YR2013'!C9+'YR2014'!C9</f>
        <v>35786.53</v>
      </c>
      <c r="D9" s="628">
        <f>'YR2012'!D9+'YR2013'!D9+'YR2014'!D9</f>
        <v>0</v>
      </c>
      <c r="E9" s="141">
        <f>'YR2012'!E9+'YR2013'!E9+'YR2014'!E9</f>
        <v>0</v>
      </c>
      <c r="F9" s="142">
        <f t="shared" ref="F9:F57" si="0">B9-C9-D9-E9</f>
        <v>-67</v>
      </c>
    </row>
    <row r="10" spans="1:6" ht="15" thickBot="1">
      <c r="A10" s="74" t="s">
        <v>130</v>
      </c>
      <c r="B10" s="141">
        <f>'YR2012'!B10+'YR2013'!B10+'YR2014'!B10</f>
        <v>9863696.5800000001</v>
      </c>
      <c r="C10" s="650">
        <f>'YR2012'!C10+'YR2013'!C10+'YR2014'!C10</f>
        <v>9863696.5800000001</v>
      </c>
      <c r="D10" s="628">
        <f>'YR2012'!D10+'YR2013'!D10+'YR2014'!D10</f>
        <v>0</v>
      </c>
      <c r="E10" s="141">
        <f>'YR2012'!E10+'YR2013'!E10+'YR2014'!E10</f>
        <v>0</v>
      </c>
      <c r="F10" s="143">
        <f t="shared" si="0"/>
        <v>0</v>
      </c>
    </row>
    <row r="11" spans="1:6" ht="15" thickBot="1">
      <c r="A11" s="74" t="s">
        <v>69</v>
      </c>
      <c r="B11" s="141">
        <f>'YR2012'!B11+'YR2013'!B11+'YR2014'!B11</f>
        <v>4342475.8499999996</v>
      </c>
      <c r="C11" s="650">
        <f>'YR2012'!C11+'YR2013'!C11+'YR2014'!C11</f>
        <v>4342475.8499999996</v>
      </c>
      <c r="D11" s="628">
        <f>'YR2012'!D11+'YR2013'!D11+'YR2014'!D11</f>
        <v>0</v>
      </c>
      <c r="E11" s="141">
        <f>'YR2012'!E11+'YR2013'!E11+'YR2014'!E11</f>
        <v>0</v>
      </c>
      <c r="F11" s="143">
        <f t="shared" si="0"/>
        <v>0</v>
      </c>
    </row>
    <row r="12" spans="1:6" ht="15" thickBot="1">
      <c r="A12" s="96" t="s">
        <v>70</v>
      </c>
      <c r="B12" s="141">
        <f>'YR2012'!B12+'YR2013'!B12+'YR2014'!B12</f>
        <v>76541.88</v>
      </c>
      <c r="C12" s="650">
        <f>'YR2012'!C12+'YR2013'!C12+'YR2014'!C12</f>
        <v>0</v>
      </c>
      <c r="D12" s="628">
        <f>'YR2012'!D12+'YR2013'!D12+'YR2014'!D12</f>
        <v>0</v>
      </c>
      <c r="E12" s="141">
        <f>'YR2012'!E12+'YR2013'!E12+'YR2014'!E12</f>
        <v>0</v>
      </c>
      <c r="F12" s="143">
        <f t="shared" si="0"/>
        <v>76541.88</v>
      </c>
    </row>
    <row r="13" spans="1:6" ht="15" thickBot="1">
      <c r="A13" s="74" t="s">
        <v>71</v>
      </c>
      <c r="B13" s="141">
        <f>'YR2012'!B13+'YR2013'!B13+'YR2014'!B13</f>
        <v>214317.27</v>
      </c>
      <c r="C13" s="650">
        <f>'YR2012'!C13+'YR2013'!C13+'YR2014'!C13</f>
        <v>0</v>
      </c>
      <c r="D13" s="628">
        <f>'YR2012'!D13+'YR2013'!D13+'YR2014'!D13</f>
        <v>0</v>
      </c>
      <c r="E13" s="141">
        <f>'YR2012'!E13+'YR2013'!E13+'YR2014'!E13</f>
        <v>0</v>
      </c>
      <c r="F13" s="143">
        <f t="shared" si="0"/>
        <v>214317.27</v>
      </c>
    </row>
    <row r="14" spans="1:6" ht="15" thickBot="1">
      <c r="A14" s="74" t="s">
        <v>72</v>
      </c>
      <c r="B14" s="141">
        <f>'YR2012'!B14+'YR2013'!B14+'YR2014'!B14</f>
        <v>5485501.1999999993</v>
      </c>
      <c r="C14" s="650">
        <f>'YR2012'!C14+'YR2013'!C14+'YR2014'!C14</f>
        <v>5485501.1999999993</v>
      </c>
      <c r="D14" s="628">
        <f>'YR2012'!D14+'YR2013'!D14+'YR2014'!D14</f>
        <v>0</v>
      </c>
      <c r="E14" s="141">
        <f>'YR2012'!E14+'YR2013'!E14+'YR2014'!E14</f>
        <v>0</v>
      </c>
      <c r="F14" s="143">
        <f t="shared" si="0"/>
        <v>0</v>
      </c>
    </row>
    <row r="15" spans="1:6" ht="15" thickBot="1">
      <c r="A15" s="74" t="s">
        <v>73</v>
      </c>
      <c r="B15" s="141">
        <f>'YR2012'!B15+'YR2013'!B15+'YR2014'!B15</f>
        <v>193906.08000000002</v>
      </c>
      <c r="C15" s="650">
        <f>'YR2012'!C15+'YR2013'!C15+'YR2014'!C15</f>
        <v>193906.08000000002</v>
      </c>
      <c r="D15" s="628">
        <f>'YR2012'!D15+'YR2013'!D15+'YR2014'!D15</f>
        <v>0</v>
      </c>
      <c r="E15" s="141">
        <f>'YR2012'!E15+'YR2013'!E15+'YR2014'!E15</f>
        <v>0</v>
      </c>
      <c r="F15" s="143">
        <f t="shared" si="0"/>
        <v>0</v>
      </c>
    </row>
    <row r="16" spans="1:6" ht="15" thickBot="1">
      <c r="A16" s="74" t="s">
        <v>131</v>
      </c>
      <c r="B16" s="141">
        <f>'YR2012'!B16+'YR2013'!B16+'YR2014'!B16</f>
        <v>16364653.350000001</v>
      </c>
      <c r="C16" s="650">
        <f>'YR2012'!C16+'YR2013'!C16+'YR2014'!C16</f>
        <v>16364653.350216279</v>
      </c>
      <c r="D16" s="628">
        <f>'YR2012'!D16+'YR2013'!D16+'YR2014'!D16</f>
        <v>0</v>
      </c>
      <c r="E16" s="141">
        <f>'YR2012'!E16+'YR2013'!E16+'YR2014'!E16</f>
        <v>0</v>
      </c>
      <c r="F16" s="143">
        <f t="shared" si="0"/>
        <v>-2.1627731621265411E-4</v>
      </c>
    </row>
    <row r="17" spans="1:7" ht="15" thickBot="1">
      <c r="A17" s="74" t="s">
        <v>75</v>
      </c>
      <c r="B17" s="141">
        <f>'YR2012'!B17+'YR2013'!B17+'YR2014'!B17</f>
        <v>164728.94</v>
      </c>
      <c r="C17" s="650">
        <f>'YR2012'!C17+'YR2013'!C17+'YR2014'!C17</f>
        <v>164728.94</v>
      </c>
      <c r="D17" s="628">
        <f>'YR2012'!D17+'YR2013'!D17+'YR2014'!D17</f>
        <v>0</v>
      </c>
      <c r="E17" s="141">
        <f>'YR2012'!E17+'YR2013'!E17+'YR2014'!E17</f>
        <v>0</v>
      </c>
      <c r="F17" s="143">
        <f t="shared" si="0"/>
        <v>0</v>
      </c>
    </row>
    <row r="18" spans="1:7" ht="15" thickBot="1">
      <c r="A18" s="74" t="s">
        <v>76</v>
      </c>
      <c r="B18" s="141">
        <f>'YR2012'!B18+'YR2013'!B18+'YR2014'!B18</f>
        <v>234728.43</v>
      </c>
      <c r="C18" s="650">
        <f>'YR2012'!C18+'YR2013'!C18+'YR2014'!C18</f>
        <v>234728.43</v>
      </c>
      <c r="D18" s="628">
        <f>'YR2012'!D18+'YR2013'!D18+'YR2014'!D18</f>
        <v>0</v>
      </c>
      <c r="E18" s="141">
        <f>'YR2012'!E18+'YR2013'!E18+'YR2014'!E18</f>
        <v>0</v>
      </c>
      <c r="F18" s="143">
        <f t="shared" si="0"/>
        <v>0</v>
      </c>
    </row>
    <row r="19" spans="1:7" ht="15" thickBot="1">
      <c r="A19" s="74" t="s">
        <v>77</v>
      </c>
      <c r="B19" s="141">
        <f>'YR2012'!B19+'YR2013'!B19+'YR2014'!B19</f>
        <v>1780874.34</v>
      </c>
      <c r="C19" s="650">
        <f>'YR2012'!C19+'YR2013'!C19+'YR2014'!C19</f>
        <v>1780874.34</v>
      </c>
      <c r="D19" s="628">
        <f>'YR2012'!D19+'YR2013'!D19+'YR2014'!D19</f>
        <v>0</v>
      </c>
      <c r="E19" s="141">
        <f>'YR2012'!E19+'YR2013'!E19+'YR2014'!E19</f>
        <v>0</v>
      </c>
      <c r="F19" s="143">
        <f t="shared" si="0"/>
        <v>0</v>
      </c>
    </row>
    <row r="20" spans="1:7" ht="15" thickBot="1">
      <c r="A20" s="74" t="s">
        <v>78</v>
      </c>
      <c r="B20" s="141">
        <f>'YR2012'!B20+'YR2013'!B20+'YR2014'!B20</f>
        <v>3755654.79</v>
      </c>
      <c r="C20" s="650">
        <f>'YR2012'!C20+'YR2013'!C20+'YR2014'!C20</f>
        <v>3755654.79</v>
      </c>
      <c r="D20" s="628">
        <f>'YR2012'!D20+'YR2013'!D20+'YR2014'!D20</f>
        <v>0</v>
      </c>
      <c r="E20" s="141">
        <f>'YR2012'!E20+'YR2013'!E20+'YR2014'!E20</f>
        <v>0</v>
      </c>
      <c r="F20" s="143">
        <f t="shared" si="0"/>
        <v>0</v>
      </c>
    </row>
    <row r="21" spans="1:7" ht="15" thickBot="1">
      <c r="A21" s="74" t="s">
        <v>79</v>
      </c>
      <c r="B21" s="141">
        <f>'YR2012'!B21+'YR2013'!B21+'YR2014'!B21</f>
        <v>204111.66</v>
      </c>
      <c r="C21" s="650">
        <f>'YR2012'!C21+'YR2013'!C21+'YR2014'!C21</f>
        <v>204111.66</v>
      </c>
      <c r="D21" s="628">
        <f>'YR2012'!D21+'YR2013'!D21+'YR2014'!D21</f>
        <v>0</v>
      </c>
      <c r="E21" s="141">
        <f>'YR2012'!E21+'YR2013'!E21+'YR2014'!E21</f>
        <v>0</v>
      </c>
      <c r="F21" s="143">
        <f t="shared" si="0"/>
        <v>0</v>
      </c>
    </row>
    <row r="22" spans="1:7" ht="15" thickBot="1">
      <c r="A22" s="74" t="s">
        <v>80</v>
      </c>
      <c r="B22" s="141">
        <f>'YR2012'!B22+'YR2013'!B22+'YR2014'!B22</f>
        <v>2888180.16</v>
      </c>
      <c r="C22" s="650">
        <f>'YR2012'!C22+'YR2013'!C22+'YR2014'!C22</f>
        <v>2888180.16</v>
      </c>
      <c r="D22" s="628">
        <f>'YR2012'!D22+'YR2013'!D22+'YR2014'!D22</f>
        <v>0</v>
      </c>
      <c r="E22" s="141">
        <f>'YR2012'!E22+'YR2013'!E22+'YR2014'!E22</f>
        <v>0</v>
      </c>
      <c r="F22" s="143">
        <f t="shared" si="0"/>
        <v>0</v>
      </c>
    </row>
    <row r="23" spans="1:7" ht="15" thickBot="1">
      <c r="A23" s="74" t="s">
        <v>132</v>
      </c>
      <c r="B23" s="141">
        <f>'YR2012'!B23+'YR2013'!B23+'YR2014'!B23</f>
        <v>31244394.299999997</v>
      </c>
      <c r="C23" s="650">
        <f>'YR2012'!C23+'YR2013'!C23+'YR2014'!C23</f>
        <v>30612452.199999999</v>
      </c>
      <c r="D23" s="628">
        <f>'YR2012'!D23+'YR2013'!D23+'YR2014'!D23</f>
        <v>631942</v>
      </c>
      <c r="E23" s="141">
        <f>'YR2012'!E23+'YR2013'!E23+'YR2014'!E23</f>
        <v>0</v>
      </c>
      <c r="F23" s="143">
        <f t="shared" si="0"/>
        <v>9.9999997764825821E-2</v>
      </c>
    </row>
    <row r="24" spans="1:7" ht="15" thickBot="1">
      <c r="A24" s="74" t="s">
        <v>133</v>
      </c>
      <c r="B24" s="141">
        <f>'YR2012'!B24+'YR2013'!B24+'YR2014'!B24</f>
        <v>40914184.769999996</v>
      </c>
      <c r="C24" s="650">
        <f>'YR2012'!C24+'YR2013'!C24+'YR2014'!C24</f>
        <v>33374300.899999999</v>
      </c>
      <c r="D24" s="628">
        <f>'YR2012'!D24+'YR2013'!D24+'YR2014'!D24</f>
        <v>7539884</v>
      </c>
      <c r="E24" s="141">
        <f>'YR2012'!E24+'YR2013'!E24+'YR2014'!E24</f>
        <v>-2.3606829345226288E-2</v>
      </c>
      <c r="F24" s="143">
        <f t="shared" si="0"/>
        <v>-0.10639317333698273</v>
      </c>
      <c r="G24" s="112">
        <f>B24*0.7203</f>
        <v>29470487.289830998</v>
      </c>
    </row>
    <row r="25" spans="1:7" ht="15" thickBot="1">
      <c r="A25" s="74" t="s">
        <v>83</v>
      </c>
      <c r="B25" s="141">
        <f>'YR2012'!B25+'YR2013'!B25+'YR2014'!B25</f>
        <v>3526029.1500000004</v>
      </c>
      <c r="C25" s="650">
        <f>'YR2012'!C25+'YR2013'!C25+'YR2014'!C25</f>
        <v>3526029</v>
      </c>
      <c r="D25" s="628">
        <f>'YR2012'!D25+'YR2013'!D25+'YR2014'!D25</f>
        <v>0</v>
      </c>
      <c r="E25" s="141">
        <f>'YR2012'!E25+'YR2013'!E25+'YR2014'!E25</f>
        <v>0</v>
      </c>
      <c r="F25" s="143">
        <f t="shared" si="0"/>
        <v>0.15000000037252903</v>
      </c>
    </row>
    <row r="26" spans="1:7" ht="15" thickBot="1">
      <c r="A26" s="74" t="s">
        <v>84</v>
      </c>
      <c r="B26" s="141">
        <f>'YR2012'!B26+'YR2013'!B26+'YR2014'!B26</f>
        <v>5102.79</v>
      </c>
      <c r="C26" s="650">
        <f>'YR2012'!C26+'YR2013'!C26+'YR2014'!C26</f>
        <v>5102.79</v>
      </c>
      <c r="D26" s="628">
        <f>'YR2012'!D26+'YR2013'!D26+'YR2014'!D26</f>
        <v>0</v>
      </c>
      <c r="E26" s="141">
        <f>'YR2012'!E26+'YR2013'!E26+'YR2014'!E26</f>
        <v>0</v>
      </c>
      <c r="F26" s="143">
        <f t="shared" si="0"/>
        <v>0</v>
      </c>
    </row>
    <row r="27" spans="1:7" ht="15" thickBot="1">
      <c r="A27" s="74" t="s">
        <v>85</v>
      </c>
      <c r="B27" s="141">
        <f>'YR2012'!B27+'YR2013'!B27+'YR2014'!B27</f>
        <v>1484912.43</v>
      </c>
      <c r="C27" s="650">
        <f>'YR2012'!C27+'YR2013'!C27+'YR2014'!C27</f>
        <v>1484912.43</v>
      </c>
      <c r="D27" s="628">
        <f>'YR2012'!D27+'YR2013'!D27+'YR2014'!D27</f>
        <v>0</v>
      </c>
      <c r="E27" s="141">
        <f>'YR2012'!E27+'YR2013'!E27+'YR2014'!E27</f>
        <v>0</v>
      </c>
      <c r="F27" s="143">
        <f t="shared" si="0"/>
        <v>0</v>
      </c>
    </row>
    <row r="28" spans="1:7" ht="15" thickBot="1">
      <c r="A28" s="74" t="s">
        <v>86</v>
      </c>
      <c r="B28" s="141">
        <f>'YR2012'!B28+'YR2013'!B28+'YR2014'!B28</f>
        <v>214317.27</v>
      </c>
      <c r="C28" s="650">
        <f>'YR2012'!C28+'YR2013'!C28+'YR2014'!C28</f>
        <v>214317.16999999998</v>
      </c>
      <c r="D28" s="628">
        <f>'YR2012'!D28+'YR2013'!D28+'YR2014'!D28</f>
        <v>0</v>
      </c>
      <c r="E28" s="141">
        <f>'YR2012'!E28+'YR2013'!E28+'YR2014'!E28</f>
        <v>0</v>
      </c>
      <c r="F28" s="143">
        <f t="shared" si="0"/>
        <v>0.10000000000582077</v>
      </c>
    </row>
    <row r="29" spans="1:7" ht="15" thickBot="1">
      <c r="A29" s="74" t="s">
        <v>134</v>
      </c>
      <c r="B29" s="141">
        <f>'YR2012'!B29+'YR2013'!B29+'YR2014'!B29</f>
        <v>2541190.3199999998</v>
      </c>
      <c r="C29" s="650">
        <f>'YR2012'!C29+'YR2013'!C29+'YR2014'!C29</f>
        <v>2541190.3199999998</v>
      </c>
      <c r="D29" s="628">
        <f>'YR2012'!D29+'YR2013'!D29+'YR2014'!D29</f>
        <v>0</v>
      </c>
      <c r="E29" s="141">
        <f>'YR2012'!E29+'YR2013'!E29+'YR2014'!E29</f>
        <v>0</v>
      </c>
      <c r="F29" s="143">
        <f t="shared" si="0"/>
        <v>0</v>
      </c>
    </row>
    <row r="30" spans="1:7" ht="15" thickBot="1">
      <c r="A30" s="74" t="s">
        <v>88</v>
      </c>
      <c r="B30" s="141">
        <f>'YR2012'!B30+'YR2013'!B30+'YR2014'!B30</f>
        <v>1959472.0499999998</v>
      </c>
      <c r="C30" s="650">
        <f>'YR2012'!C30+'YR2013'!C30+'YR2014'!C30</f>
        <v>0</v>
      </c>
      <c r="D30" s="628">
        <f>'YR2012'!D30+'YR2013'!D30+'YR2014'!D30</f>
        <v>0</v>
      </c>
      <c r="E30" s="141">
        <f>'YR2012'!E30+'YR2013'!E30+'YR2014'!E30</f>
        <v>0</v>
      </c>
      <c r="F30" s="143">
        <f t="shared" si="0"/>
        <v>1959472.0499999998</v>
      </c>
    </row>
    <row r="31" spans="1:7" ht="15" thickBot="1">
      <c r="A31" s="74" t="s">
        <v>89</v>
      </c>
      <c r="B31" s="141">
        <f>'YR2012'!B31+'YR2013'!B31+'YR2014'!B31</f>
        <v>25508856.299999997</v>
      </c>
      <c r="C31" s="650">
        <f>'YR2012'!C31+'YR2013'!C31+'YR2014'!C31</f>
        <v>24700925.189999998</v>
      </c>
      <c r="D31" s="628">
        <f>'YR2012'!D31+'YR2013'!D31+'YR2014'!D31</f>
        <v>807931</v>
      </c>
      <c r="E31" s="141">
        <f>'YR2012'!E31+'YR2013'!E31+'YR2014'!E31</f>
        <v>0</v>
      </c>
      <c r="F31" s="143">
        <f t="shared" si="0"/>
        <v>0.10999999940395355</v>
      </c>
    </row>
    <row r="32" spans="1:7" ht="15" thickBot="1">
      <c r="A32" s="74" t="s">
        <v>135</v>
      </c>
      <c r="B32" s="141">
        <f>'YR2012'!B32+'YR2013'!B32+'YR2014'!B32</f>
        <v>63937981.439999998</v>
      </c>
      <c r="C32" s="650">
        <f>'YR2012'!C32+'YR2013'!C32+'YR2014'!C32</f>
        <v>62395787.890000001</v>
      </c>
      <c r="D32" s="628">
        <f>'YR2012'!D32+'YR2013'!D32+'YR2014'!D32</f>
        <v>1542193.5499999998</v>
      </c>
      <c r="E32" s="141">
        <f>'YR2012'!E32+'YR2013'!E32+'YR2014'!E32</f>
        <v>0</v>
      </c>
      <c r="F32" s="143">
        <f t="shared" si="0"/>
        <v>-2.7939677238464355E-9</v>
      </c>
    </row>
    <row r="33" spans="1:6" ht="15" thickBot="1">
      <c r="A33" s="74" t="s">
        <v>91</v>
      </c>
      <c r="B33" s="141">
        <f>'YR2012'!B33+'YR2013'!B33+'YR2014'!B33</f>
        <v>128905.99517254873</v>
      </c>
      <c r="C33" s="650">
        <f>'YR2012'!C33+'YR2013'!C33+'YR2014'!C33</f>
        <v>128906</v>
      </c>
      <c r="D33" s="628">
        <f>'YR2012'!D33+'YR2013'!D33+'YR2014'!D33</f>
        <v>0</v>
      </c>
      <c r="E33" s="141">
        <f>'YR2012'!E33+'YR2013'!E33+'YR2014'!E33</f>
        <v>0</v>
      </c>
      <c r="F33" s="143">
        <f t="shared" si="0"/>
        <v>-4.8274512664647773E-3</v>
      </c>
    </row>
    <row r="34" spans="1:6" ht="15" thickBot="1">
      <c r="A34" s="74" t="s">
        <v>93</v>
      </c>
      <c r="B34" s="141">
        <f>'YR2012'!B34+'YR2013'!B34+'YR2014'!B34</f>
        <v>193906.08000000002</v>
      </c>
      <c r="C34" s="650">
        <f>'YR2012'!C34+'YR2013'!C34+'YR2014'!C34</f>
        <v>193906.08000000002</v>
      </c>
      <c r="D34" s="628">
        <f>'YR2012'!D34+'YR2013'!D34+'YR2014'!D34</f>
        <v>0</v>
      </c>
      <c r="E34" s="141">
        <f>'YR2012'!E34+'YR2013'!E34+'YR2014'!E34</f>
        <v>0</v>
      </c>
      <c r="F34" s="143">
        <f t="shared" si="0"/>
        <v>0</v>
      </c>
    </row>
    <row r="35" spans="1:6" ht="15" thickBot="1">
      <c r="A35" s="74" t="s">
        <v>94</v>
      </c>
      <c r="B35" s="141">
        <f>'YR2012'!B35+'YR2013'!B35+'YR2014'!B35</f>
        <v>45925.14</v>
      </c>
      <c r="C35" s="650">
        <f>'YR2012'!C35+'YR2013'!C35+'YR2014'!C35</f>
        <v>45925.14</v>
      </c>
      <c r="D35" s="628">
        <f>'YR2012'!D35+'YR2013'!D35+'YR2014'!D35</f>
        <v>0</v>
      </c>
      <c r="E35" s="141">
        <f>'YR2012'!E35+'YR2013'!E35+'YR2014'!E35</f>
        <v>0</v>
      </c>
      <c r="F35" s="143">
        <f t="shared" si="0"/>
        <v>0</v>
      </c>
    </row>
    <row r="36" spans="1:6" ht="15" thickBot="1">
      <c r="A36" s="74" t="s">
        <v>95</v>
      </c>
      <c r="B36" s="141">
        <f>'YR2012'!B36+'YR2013'!B36+'YR2014'!B36</f>
        <v>331681.47000000003</v>
      </c>
      <c r="C36" s="650">
        <f>'YR2012'!C36+'YR2013'!C36+'YR2014'!C36</f>
        <v>331680</v>
      </c>
      <c r="D36" s="628">
        <f>'YR2012'!D36+'YR2013'!D36+'YR2014'!D36</f>
        <v>0</v>
      </c>
      <c r="E36" s="141">
        <f>'YR2012'!E36+'YR2013'!E36+'YR2014'!E36</f>
        <v>0</v>
      </c>
      <c r="F36" s="143">
        <f t="shared" si="0"/>
        <v>1.470000000030268</v>
      </c>
    </row>
    <row r="37" spans="1:6" ht="15" thickBot="1">
      <c r="A37" s="74" t="s">
        <v>96</v>
      </c>
      <c r="B37" s="141">
        <f>'YR2012'!B37+'YR2013'!B37+'YR2014'!B37</f>
        <v>459251.25</v>
      </c>
      <c r="C37" s="650">
        <f>'YR2012'!C37+'YR2013'!C37+'YR2014'!C37</f>
        <v>459251.25</v>
      </c>
      <c r="D37" s="628">
        <f>'YR2012'!D37+'YR2013'!D37+'YR2014'!D37</f>
        <v>0</v>
      </c>
      <c r="E37" s="141">
        <f>'YR2012'!E37+'YR2013'!E37+'YR2014'!E37</f>
        <v>0</v>
      </c>
      <c r="F37" s="143">
        <f t="shared" si="0"/>
        <v>0</v>
      </c>
    </row>
    <row r="38" spans="1:6" ht="15" thickBot="1">
      <c r="A38" s="74" t="s">
        <v>97</v>
      </c>
      <c r="B38" s="141">
        <f>'YR2012'!B38+'YR2013'!B38+'YR2014'!B38</f>
        <v>86747.459999999992</v>
      </c>
      <c r="C38" s="650">
        <f>'YR2012'!C38+'YR2013'!C38+'YR2014'!C38</f>
        <v>86747.459999999992</v>
      </c>
      <c r="D38" s="628">
        <f>'YR2012'!D38+'YR2013'!D38+'YR2014'!D38</f>
        <v>0</v>
      </c>
      <c r="E38" s="141">
        <f>'YR2012'!E38+'YR2013'!E38+'YR2014'!E38</f>
        <v>0</v>
      </c>
      <c r="F38" s="143">
        <f t="shared" si="0"/>
        <v>0</v>
      </c>
    </row>
    <row r="39" spans="1:6" ht="15" thickBot="1">
      <c r="A39" s="74" t="s">
        <v>98</v>
      </c>
      <c r="B39" s="141">
        <f>'YR2012'!B39+'YR2013'!B39+'YR2014'!B39</f>
        <v>15308.369999999999</v>
      </c>
      <c r="C39" s="650">
        <f>'YR2012'!C39+'YR2013'!C39+'YR2014'!C39</f>
        <v>15308.369999999999</v>
      </c>
      <c r="D39" s="628">
        <f>'YR2012'!D39+'YR2013'!D39+'YR2014'!D39</f>
        <v>0</v>
      </c>
      <c r="E39" s="141">
        <f>'YR2012'!E39+'YR2013'!E39+'YR2014'!E39</f>
        <v>0</v>
      </c>
      <c r="F39" s="143">
        <f t="shared" si="0"/>
        <v>0</v>
      </c>
    </row>
    <row r="40" spans="1:6" ht="15" thickBot="1">
      <c r="A40" s="74" t="s">
        <v>99</v>
      </c>
      <c r="B40" s="141">
        <f>'YR2012'!B40+'YR2013'!B40+'YR2014'!B40</f>
        <v>9465678.8100000005</v>
      </c>
      <c r="C40" s="650">
        <f>'YR2012'!C40+'YR2013'!C40+'YR2014'!C40</f>
        <v>9465678.8100000005</v>
      </c>
      <c r="D40" s="628">
        <f>'YR2012'!D40+'YR2013'!D40+'YR2014'!D40</f>
        <v>0</v>
      </c>
      <c r="E40" s="141">
        <f>'YR2012'!E40+'YR2013'!E40+'YR2014'!E40</f>
        <v>0</v>
      </c>
      <c r="F40" s="143">
        <f t="shared" si="0"/>
        <v>0</v>
      </c>
    </row>
    <row r="41" spans="1:6" ht="15" thickBot="1">
      <c r="A41" s="74" t="s">
        <v>100</v>
      </c>
      <c r="B41" s="141">
        <f>'YR2012'!B41+'YR2013'!B41+'YR2014'!B41</f>
        <v>1393062.18</v>
      </c>
      <c r="C41" s="650">
        <f>'YR2012'!C41+'YR2013'!C41+'YR2014'!C41</f>
        <v>1393062.18</v>
      </c>
      <c r="D41" s="628">
        <f>'YR2012'!D41+'YR2013'!D41+'YR2014'!D41</f>
        <v>0</v>
      </c>
      <c r="E41" s="141">
        <f>'YR2012'!E41+'YR2013'!E41+'YR2014'!E41</f>
        <v>0</v>
      </c>
      <c r="F41" s="143">
        <f t="shared" si="0"/>
        <v>0</v>
      </c>
    </row>
    <row r="42" spans="1:6" ht="15" thickBot="1">
      <c r="A42" s="74" t="s">
        <v>101</v>
      </c>
      <c r="B42" s="141">
        <f>'YR2012'!B42+'YR2013'!B42+'YR2014'!B42</f>
        <v>4444531.68</v>
      </c>
      <c r="C42" s="650">
        <f>'YR2012'!C42+'YR2013'!C42+'YR2014'!C42</f>
        <v>4444531.68</v>
      </c>
      <c r="D42" s="628">
        <f>'YR2012'!D42+'YR2013'!D42+'YR2014'!D42</f>
        <v>0</v>
      </c>
      <c r="E42" s="141">
        <f>'YR2012'!E42+'YR2013'!E42+'YR2014'!E42</f>
        <v>0</v>
      </c>
      <c r="F42" s="143">
        <f t="shared" si="0"/>
        <v>0</v>
      </c>
    </row>
    <row r="43" spans="1:6" ht="15" hidden="1" thickBot="1">
      <c r="A43" s="74" t="s">
        <v>103</v>
      </c>
      <c r="B43" s="141">
        <f>'YR2012'!B43+'YR2013'!B43+'YR2014'!B43</f>
        <v>4225111.62</v>
      </c>
      <c r="C43" s="650">
        <f>'YR2012'!C43+'YR2013'!C43+'YR2014'!C43</f>
        <v>4225111.62</v>
      </c>
      <c r="D43" s="628">
        <f>'YR2012'!D43+'YR2013'!D43+'YR2014'!D43</f>
        <v>0</v>
      </c>
      <c r="E43" s="141">
        <f>'YR2012'!E43+'YR2013'!E43+'YR2014'!E43</f>
        <v>0</v>
      </c>
      <c r="F43" s="143">
        <f t="shared" si="0"/>
        <v>0</v>
      </c>
    </row>
    <row r="44" spans="1:6" ht="15" hidden="1" thickBot="1">
      <c r="A44" s="74" t="s">
        <v>104</v>
      </c>
      <c r="B44" s="141">
        <f>'YR2012'!B44+'YR2013'!B44+'YR2014'!B44</f>
        <v>2607526.62</v>
      </c>
      <c r="C44" s="650">
        <f>'YR2012'!C44+'YR2013'!C44+'YR2014'!C44</f>
        <v>2607528</v>
      </c>
      <c r="D44" s="628">
        <f>'YR2012'!D44+'YR2013'!D44+'YR2014'!D44</f>
        <v>0</v>
      </c>
      <c r="E44" s="141">
        <f>'YR2012'!E44+'YR2013'!E44+'YR2014'!E44</f>
        <v>0</v>
      </c>
      <c r="F44" s="143">
        <f t="shared" si="0"/>
        <v>-1.3799999998882413</v>
      </c>
    </row>
    <row r="45" spans="1:6" ht="15" hidden="1" thickBot="1">
      <c r="A45" s="74" t="s">
        <v>105</v>
      </c>
      <c r="B45" s="141">
        <f>'YR2012'!B45+'YR2013'!B45+'YR2014'!B45</f>
        <v>903194.15999999992</v>
      </c>
      <c r="C45" s="650">
        <f>'YR2012'!C45+'YR2013'!C45+'YR2014'!C45</f>
        <v>903194.44</v>
      </c>
      <c r="D45" s="628">
        <f>'YR2012'!D45+'YR2013'!D45+'YR2014'!D45</f>
        <v>0</v>
      </c>
      <c r="E45" s="141">
        <f>'YR2012'!E45+'YR2013'!E45+'YR2014'!E45</f>
        <v>0</v>
      </c>
      <c r="F45" s="143">
        <f t="shared" si="0"/>
        <v>-0.28000000002793968</v>
      </c>
    </row>
    <row r="46" spans="1:6" ht="15" hidden="1" thickBot="1">
      <c r="A46" s="74" t="s">
        <v>106</v>
      </c>
      <c r="B46" s="141">
        <f>'YR2012'!B46+'YR2013'!B46+'YR2014'!B46</f>
        <v>8174672.4900000002</v>
      </c>
      <c r="C46" s="650">
        <f>'YR2012'!C46+'YR2013'!C46+'YR2014'!C46</f>
        <v>5449781.6600000001</v>
      </c>
      <c r="D46" s="628">
        <f>'YR2012'!D46+'YR2013'!D46+'YR2014'!D46</f>
        <v>0</v>
      </c>
      <c r="E46" s="141">
        <f>'YR2012'!E46+'YR2013'!E46+'YR2014'!E46</f>
        <v>0</v>
      </c>
      <c r="F46" s="143">
        <f t="shared" si="0"/>
        <v>2724890.83</v>
      </c>
    </row>
    <row r="47" spans="1:6" ht="15" hidden="1" thickBot="1">
      <c r="A47" s="74" t="s">
        <v>107</v>
      </c>
      <c r="B47" s="141">
        <f>'YR2012'!B47+'YR2013'!B47+'YR2014'!B47</f>
        <v>15308.369999999999</v>
      </c>
      <c r="C47" s="650">
        <f>'YR2012'!C47+'YR2013'!C47+'YR2014'!C47</f>
        <v>15308.369999999999</v>
      </c>
      <c r="D47" s="628">
        <f>'YR2012'!D47+'YR2013'!D47+'YR2014'!D47</f>
        <v>0</v>
      </c>
      <c r="E47" s="141">
        <f>'YR2012'!E47+'YR2013'!E47+'YR2014'!E47</f>
        <v>0</v>
      </c>
      <c r="F47" s="143">
        <f t="shared" si="0"/>
        <v>0</v>
      </c>
    </row>
    <row r="48" spans="1:6" ht="15" thickBot="1">
      <c r="A48" s="74" t="s">
        <v>109</v>
      </c>
      <c r="B48" s="141">
        <f>'YR2012'!B48+'YR2013'!B48+'YR2014'!B48</f>
        <v>724596.45</v>
      </c>
      <c r="C48" s="650">
        <f>'YR2012'!C48+'YR2013'!C48+'YR2014'!C48</f>
        <v>724596.45</v>
      </c>
      <c r="D48" s="628">
        <f>'YR2012'!D48+'YR2013'!D48+'YR2014'!D48</f>
        <v>0</v>
      </c>
      <c r="E48" s="141">
        <f>'YR2012'!E48+'YR2013'!E48+'YR2014'!E48</f>
        <v>0</v>
      </c>
      <c r="F48" s="143">
        <f t="shared" si="0"/>
        <v>0</v>
      </c>
    </row>
    <row r="49" spans="1:6" ht="15" thickBot="1">
      <c r="A49" s="74" t="s">
        <v>110</v>
      </c>
      <c r="B49" s="141">
        <f>'YR2012'!B49+'YR2013'!B49+'YR2014'!B49</f>
        <v>525587.55000000005</v>
      </c>
      <c r="C49" s="650">
        <f>'YR2012'!C49+'YR2013'!C49+'YR2014'!C49</f>
        <v>525587.55000000005</v>
      </c>
      <c r="D49" s="628">
        <f>'YR2012'!D49+'YR2013'!D49+'YR2014'!D49</f>
        <v>0</v>
      </c>
      <c r="E49" s="141">
        <f>'YR2012'!E49+'YR2013'!E49+'YR2014'!E49</f>
        <v>0</v>
      </c>
      <c r="F49" s="143">
        <f t="shared" si="0"/>
        <v>0</v>
      </c>
    </row>
    <row r="50" spans="1:6" ht="15" thickBot="1">
      <c r="A50" s="226" t="s">
        <v>112</v>
      </c>
      <c r="B50" s="651">
        <f>'YR2012'!B50+'YR2013'!B50+'YR2014'!B50</f>
        <v>16211569.59</v>
      </c>
      <c r="C50" s="652">
        <f>'YR2012'!C50+'YR2013'!C50+'YR2014'!C50</f>
        <v>15320619.690000001</v>
      </c>
      <c r="D50" s="628">
        <f>'YR2012'!D50+'YR2013'!D50+'YR2014'!D50</f>
        <v>890949.9</v>
      </c>
      <c r="E50" s="141">
        <f>'YR2012'!E50+'YR2013'!E50+'YR2014'!E50</f>
        <v>0</v>
      </c>
      <c r="F50" s="143">
        <f t="shared" si="0"/>
        <v>-1.5133991837501526E-9</v>
      </c>
    </row>
    <row r="51" spans="1:6" ht="15" thickBot="1">
      <c r="A51" s="72" t="s">
        <v>136</v>
      </c>
      <c r="B51" s="640">
        <f>'YR2012'!B51+'YR2013'!B51+'YR2014'!B51</f>
        <v>5429370.4799999995</v>
      </c>
      <c r="C51" s="640">
        <f>'YR2012'!C51+'YR2013'!C51+'YR2014'!C51</f>
        <v>5429370.4799999995</v>
      </c>
      <c r="D51" s="141">
        <f>'YR2012'!D51+'YR2013'!D51+'YR2014'!D51</f>
        <v>0</v>
      </c>
      <c r="E51" s="141">
        <f>'YR2012'!E51+'YR2013'!E51+'YR2014'!E51</f>
        <v>0</v>
      </c>
      <c r="F51" s="143">
        <f t="shared" si="0"/>
        <v>0</v>
      </c>
    </row>
    <row r="52" spans="1:6" ht="15" thickBot="1">
      <c r="A52" s="74" t="s">
        <v>114</v>
      </c>
      <c r="B52" s="141">
        <f>'YR2012'!B52+'YR2013'!B52+'YR2014'!B52</f>
        <v>5766154.7400000002</v>
      </c>
      <c r="C52" s="141">
        <f>'YR2012'!C52+'YR2013'!C52+'YR2014'!C52</f>
        <v>5766154.7400000002</v>
      </c>
      <c r="D52" s="141">
        <f>'YR2012'!D52+'YR2013'!D52+'YR2014'!D52</f>
        <v>0</v>
      </c>
      <c r="E52" s="141">
        <f>'YR2012'!E52+'YR2013'!E52+'YR2014'!E52</f>
        <v>0</v>
      </c>
      <c r="F52" s="143">
        <f t="shared" si="0"/>
        <v>0</v>
      </c>
    </row>
    <row r="53" spans="1:6" ht="33" customHeight="1" thickBot="1">
      <c r="A53" s="74" t="s">
        <v>115</v>
      </c>
      <c r="B53" s="141">
        <f>'YR2012'!B53+'YR2013'!B53+'YR2014'!B53</f>
        <v>10205.58</v>
      </c>
      <c r="C53" s="141">
        <f>'YR2012'!C53+'YR2013'!C53+'YR2014'!C53</f>
        <v>0</v>
      </c>
      <c r="D53" s="141">
        <f>'YR2012'!D53+'YR2013'!D53+'YR2014'!D53</f>
        <v>0</v>
      </c>
      <c r="E53" s="141">
        <f>'YR2012'!E53+'YR2013'!E53+'YR2014'!E53</f>
        <v>0</v>
      </c>
      <c r="F53" s="143">
        <f t="shared" si="0"/>
        <v>10205.58</v>
      </c>
    </row>
    <row r="54" spans="1:6" ht="15" thickBot="1">
      <c r="A54" s="74" t="s">
        <v>117</v>
      </c>
      <c r="B54" s="141">
        <f>'YR2012'!B54+'YR2013'!B54+'YR2014'!B54</f>
        <v>443942.88</v>
      </c>
      <c r="C54" s="141">
        <f>'YR2012'!C54+'YR2013'!C54+'YR2014'!C54</f>
        <v>0</v>
      </c>
      <c r="D54" s="141">
        <f>'YR2012'!D54+'YR2013'!D54+'YR2014'!D54</f>
        <v>0</v>
      </c>
      <c r="E54" s="141">
        <f>'YR2012'!E54+'YR2013'!E54+'YR2014'!E54</f>
        <v>0</v>
      </c>
      <c r="F54" s="143">
        <f t="shared" si="0"/>
        <v>443942.88</v>
      </c>
    </row>
    <row r="55" spans="1:6" ht="15" thickBot="1">
      <c r="A55" s="74" t="s">
        <v>119</v>
      </c>
      <c r="B55" s="141">
        <f>'YR2012'!B55+'YR2013'!B55+'YR2014'!B55</f>
        <v>33698837.160000004</v>
      </c>
      <c r="C55" s="141">
        <f>'YR2012'!C55+'YR2013'!C55+'YR2014'!C55</f>
        <v>33698837.160000004</v>
      </c>
      <c r="D55" s="141">
        <f>'YR2012'!D55+'YR2013'!D55+'YR2014'!D55</f>
        <v>0</v>
      </c>
      <c r="E55" s="141">
        <f>'YR2012'!E55+'YR2013'!E55+'YR2014'!E55</f>
        <v>0</v>
      </c>
      <c r="F55" s="143">
        <f t="shared" si="0"/>
        <v>0</v>
      </c>
    </row>
    <row r="56" spans="1:6" ht="15" thickBot="1">
      <c r="A56" s="74" t="s">
        <v>120</v>
      </c>
      <c r="B56" s="141">
        <f>'YR2012'!B56+'YR2013'!B56+'YR2014'!B56</f>
        <v>84522089.590000004</v>
      </c>
      <c r="C56" s="141">
        <f>'YR2012'!C56+'YR2013'!C56+'YR2014'!C56+1</f>
        <v>84522089.599999994</v>
      </c>
      <c r="D56" s="141">
        <f>'YR2012'!D56+'YR2013'!D56+'YR2014'!D56</f>
        <v>0</v>
      </c>
      <c r="E56" s="141">
        <f>'YR2012'!E56+'YR2013'!E56+'YR2014'!E56</f>
        <v>0</v>
      </c>
      <c r="F56" s="143">
        <f t="shared" si="0"/>
        <v>-9.9999904632568359E-3</v>
      </c>
    </row>
    <row r="57" spans="1:6" ht="15" thickBot="1">
      <c r="A57" s="77" t="s">
        <v>121</v>
      </c>
      <c r="B57" s="141">
        <f>'YR2012'!B57+'YR2013'!B57+'YR2014'!B57</f>
        <v>51027.930000000008</v>
      </c>
      <c r="C57" s="141">
        <f>'YR2012'!C57+'YR2013'!C57+'YR2014'!C57</f>
        <v>0</v>
      </c>
      <c r="D57" s="141">
        <f>'YR2012'!D57+'YR2013'!D57+'YR2014'!D57</f>
        <v>0</v>
      </c>
      <c r="E57" s="141">
        <f>'YR2012'!E57+'YR2013'!E57+'YR2014'!E57</f>
        <v>0</v>
      </c>
      <c r="F57" s="144">
        <f t="shared" si="0"/>
        <v>51027.930000000008</v>
      </c>
    </row>
    <row r="58" spans="1:6" ht="15" thickBot="1">
      <c r="A58" s="81" t="s">
        <v>124</v>
      </c>
      <c r="B58" s="82">
        <f>SUM(B9:B57)</f>
        <v>396815724.52517265</v>
      </c>
      <c r="C58" s="82">
        <f>SUM(C9:C57)</f>
        <v>379922492.53021634</v>
      </c>
      <c r="D58" s="82">
        <f>SUM(D9:D57)</f>
        <v>11412900.450000001</v>
      </c>
      <c r="E58" s="82">
        <f>SUM(E9:E57)</f>
        <v>-2.3606829345226288E-2</v>
      </c>
      <c r="F58" s="145">
        <f>SUM(F9:F57)</f>
        <v>5480331.5685631</v>
      </c>
    </row>
    <row r="59" spans="1:6" ht="15" thickBot="1">
      <c r="A59" s="146" t="s">
        <v>137</v>
      </c>
      <c r="B59" s="147">
        <f>'YR2012'!B59+'YR2013'!B59+'YR2014'!B59</f>
        <v>3477910.4</v>
      </c>
      <c r="C59" s="147"/>
      <c r="D59" s="147"/>
      <c r="E59" s="147"/>
      <c r="F59" s="148">
        <f>B59-C59-D59-E59</f>
        <v>3477910.4</v>
      </c>
    </row>
    <row r="60" spans="1:6" ht="15" thickBot="1">
      <c r="A60" s="98" t="s">
        <v>138</v>
      </c>
      <c r="B60" s="82">
        <f>B58+B59</f>
        <v>400293634.92517263</v>
      </c>
      <c r="C60" s="82">
        <f>C58+C59</f>
        <v>379922492.53021634</v>
      </c>
      <c r="D60" s="82">
        <f>D58+D59</f>
        <v>11412900.450000001</v>
      </c>
      <c r="E60" s="82">
        <f>E58+E59</f>
        <v>-2.3606829345226288E-2</v>
      </c>
      <c r="F60" s="145">
        <f>F58+F59</f>
        <v>8958241.9685631003</v>
      </c>
    </row>
    <row r="61" spans="1:6">
      <c r="A61" s="115" t="s">
        <v>141</v>
      </c>
      <c r="B61" s="149"/>
      <c r="C61" s="149"/>
      <c r="D61" s="149"/>
      <c r="E61" s="149"/>
      <c r="F61" s="149"/>
    </row>
    <row r="62" spans="1:6">
      <c r="A62" s="116"/>
      <c r="B62" s="150"/>
      <c r="C62" s="150"/>
      <c r="D62" s="150"/>
      <c r="E62" s="150"/>
      <c r="F62" s="150"/>
    </row>
    <row r="63" spans="1:6" ht="15" thickBot="1">
      <c r="A63" s="110"/>
      <c r="B63" s="149"/>
      <c r="C63" s="149"/>
      <c r="D63" s="149"/>
      <c r="E63" s="149"/>
      <c r="F63" s="149"/>
    </row>
    <row r="64" spans="1:6" ht="15" thickBot="1">
      <c r="A64" s="102" t="s">
        <v>139</v>
      </c>
      <c r="B64" s="151">
        <f>B12+B13+B15+B19+B21+B27+B34+B36+B43+B46+B48+B49+B53+B54+B57</f>
        <v>18635395.709999997</v>
      </c>
      <c r="C64" s="151">
        <f>C12+C13+C15+C19+C21+C26+C34+C36+C43+C46+C48+C49+C53+C54+C57</f>
        <v>13634658.23</v>
      </c>
      <c r="D64" s="151">
        <f>D12+D13+D15+D19+D21+D26+D34+D36+D43+D46+D48+D49+D53+D54+D57</f>
        <v>0</v>
      </c>
      <c r="E64" s="151">
        <f>E12+E13+E15+E19+E21+E26+E34+E36+E43+E46+E48+E49+E53+E54+E57</f>
        <v>0</v>
      </c>
      <c r="F64" s="152">
        <f>B64-C64-D64-E64</f>
        <v>5000737.4799999967</v>
      </c>
    </row>
    <row r="65" spans="2:6">
      <c r="C65" s="153"/>
    </row>
    <row r="66" spans="2:6" s="114" customFormat="1" ht="12.5">
      <c r="B66" s="153"/>
      <c r="C66" s="153"/>
      <c r="D66" s="153"/>
      <c r="E66" s="153"/>
      <c r="F66" s="153"/>
    </row>
    <row r="68" spans="2:6">
      <c r="C68" s="153"/>
    </row>
    <row r="69" spans="2:6">
      <c r="C69" s="153"/>
    </row>
    <row r="70" spans="2:6">
      <c r="C70" s="153"/>
    </row>
  </sheetData>
  <mergeCells count="4">
    <mergeCell ref="A1:B1"/>
    <mergeCell ref="A5:F5"/>
    <mergeCell ref="A6:F6"/>
    <mergeCell ref="A7:F7"/>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86585-2531-4A35-84B8-4578B51A48E7}">
  <dimension ref="A1:I70"/>
  <sheetViews>
    <sheetView topLeftCell="A40" workbookViewId="0">
      <selection activeCell="C56" sqref="C56"/>
    </sheetView>
  </sheetViews>
  <sheetFormatPr defaultRowHeight="14.5"/>
  <cols>
    <col min="1" max="1" width="25" customWidth="1"/>
    <col min="2" max="6" width="16.7265625" customWidth="1"/>
    <col min="7" max="7" width="16.453125" hidden="1" customWidth="1"/>
    <col min="8" max="8" width="16.453125" bestFit="1" customWidth="1"/>
    <col min="9" max="9" width="17.54296875" style="112" bestFit="1" customWidth="1"/>
  </cols>
  <sheetData>
    <row r="1" spans="1:6" ht="18">
      <c r="A1" s="738" t="str">
        <f>Status!C1</f>
        <v>UNEP/OzL.Pro/ExCom/94/3</v>
      </c>
      <c r="B1" s="738"/>
      <c r="C1" s="1"/>
      <c r="D1" s="1"/>
      <c r="E1" s="1"/>
      <c r="F1" s="1"/>
    </row>
    <row r="2" spans="1:6" ht="18">
      <c r="A2" s="95" t="s">
        <v>0</v>
      </c>
      <c r="B2" s="1"/>
      <c r="C2" s="1"/>
      <c r="D2" s="1"/>
      <c r="E2" s="1"/>
      <c r="F2" s="1"/>
    </row>
    <row r="3" spans="1:6" ht="18">
      <c r="A3" s="23" t="s">
        <v>154</v>
      </c>
      <c r="B3" s="1"/>
      <c r="C3" s="1"/>
      <c r="D3" s="1"/>
      <c r="E3" s="1"/>
      <c r="F3" s="1"/>
    </row>
    <row r="4" spans="1:6" ht="15.5">
      <c r="A4" s="1"/>
      <c r="B4" s="1"/>
      <c r="C4" s="1"/>
      <c r="D4" s="1"/>
      <c r="E4" s="1"/>
      <c r="F4" s="1"/>
    </row>
    <row r="5" spans="1:6" ht="16">
      <c r="A5" s="735" t="s">
        <v>2</v>
      </c>
      <c r="B5" s="735"/>
      <c r="C5" s="735"/>
      <c r="D5" s="735"/>
      <c r="E5" s="735"/>
      <c r="F5" s="735"/>
    </row>
    <row r="6" spans="1:6" ht="15.5">
      <c r="A6" s="729" t="s">
        <v>152</v>
      </c>
      <c r="B6" s="729"/>
      <c r="C6" s="729"/>
      <c r="D6" s="729"/>
      <c r="E6" s="729"/>
      <c r="F6" s="729"/>
    </row>
    <row r="7" spans="1:6" ht="16.5" thickBot="1">
      <c r="A7" s="740" t="str">
        <f>Status!A6</f>
        <v>As at 24/05/2024</v>
      </c>
      <c r="B7" s="740"/>
      <c r="C7" s="740"/>
      <c r="D7" s="740"/>
      <c r="E7" s="740"/>
      <c r="F7" s="740"/>
    </row>
    <row r="8" spans="1:6" ht="33" customHeight="1" thickBot="1">
      <c r="A8" s="68" t="s">
        <v>60</v>
      </c>
      <c r="B8" s="154" t="s">
        <v>61</v>
      </c>
      <c r="C8" s="154" t="s">
        <v>62</v>
      </c>
      <c r="D8" s="154" t="s">
        <v>63</v>
      </c>
      <c r="E8" s="154" t="s">
        <v>64</v>
      </c>
      <c r="F8" s="155" t="s">
        <v>65</v>
      </c>
    </row>
    <row r="9" spans="1:6">
      <c r="A9" s="128" t="s">
        <v>67</v>
      </c>
      <c r="B9" s="129">
        <v>11906.51</v>
      </c>
      <c r="C9" s="129">
        <v>11906.51</v>
      </c>
      <c r="D9" s="156"/>
      <c r="E9" s="156"/>
      <c r="F9" s="157">
        <f t="shared" ref="F9:F57" si="0">B9-C9-D9-E9</f>
        <v>0</v>
      </c>
    </row>
    <row r="10" spans="1:6">
      <c r="A10" s="72" t="s">
        <v>130</v>
      </c>
      <c r="B10" s="131">
        <v>3287898.86</v>
      </c>
      <c r="C10" s="131">
        <v>3287898.86</v>
      </c>
      <c r="D10" s="158"/>
      <c r="E10" s="158"/>
      <c r="F10" s="157">
        <f t="shared" si="0"/>
        <v>0</v>
      </c>
    </row>
    <row r="11" spans="1:6">
      <c r="A11" s="74" t="s">
        <v>69</v>
      </c>
      <c r="B11" s="133">
        <v>1447491.95</v>
      </c>
      <c r="C11" s="133">
        <v>1447491.95</v>
      </c>
      <c r="D11" s="159"/>
      <c r="E11" s="159"/>
      <c r="F11" s="157">
        <f t="shared" si="0"/>
        <v>0</v>
      </c>
    </row>
    <row r="12" spans="1:6">
      <c r="A12" s="96" t="s">
        <v>70</v>
      </c>
      <c r="B12" s="133">
        <v>25513.96</v>
      </c>
      <c r="C12" s="159"/>
      <c r="D12" s="159"/>
      <c r="E12" s="159"/>
      <c r="F12" s="157">
        <f t="shared" si="0"/>
        <v>25513.96</v>
      </c>
    </row>
    <row r="13" spans="1:6">
      <c r="A13" s="74" t="s">
        <v>71</v>
      </c>
      <c r="B13" s="133">
        <v>71439.09</v>
      </c>
      <c r="C13" s="159"/>
      <c r="D13" s="159"/>
      <c r="E13" s="159"/>
      <c r="F13" s="157">
        <f t="shared" si="0"/>
        <v>71439.09</v>
      </c>
    </row>
    <row r="14" spans="1:6">
      <c r="A14" s="74" t="s">
        <v>72</v>
      </c>
      <c r="B14" s="133">
        <v>1828500.4</v>
      </c>
      <c r="C14" s="133">
        <v>1828500.4</v>
      </c>
      <c r="D14" s="159"/>
      <c r="E14" s="159"/>
      <c r="F14" s="157">
        <f t="shared" si="0"/>
        <v>0</v>
      </c>
    </row>
    <row r="15" spans="1:6">
      <c r="A15" s="74" t="s">
        <v>73</v>
      </c>
      <c r="B15" s="133">
        <v>64635.360000000001</v>
      </c>
      <c r="C15" s="133">
        <v>64635.360000000001</v>
      </c>
      <c r="D15" s="159"/>
      <c r="E15" s="159"/>
      <c r="F15" s="157">
        <f t="shared" si="0"/>
        <v>0</v>
      </c>
    </row>
    <row r="16" spans="1:6">
      <c r="A16" s="74" t="s">
        <v>131</v>
      </c>
      <c r="B16" s="133">
        <v>5454884.4500000002</v>
      </c>
      <c r="C16" s="159">
        <f>4353784.49021628+1101100-0.04</f>
        <v>5454884.4502162803</v>
      </c>
      <c r="D16" s="159"/>
      <c r="E16" s="159"/>
      <c r="F16" s="157">
        <f t="shared" si="0"/>
        <v>-2.1628011018037796E-4</v>
      </c>
    </row>
    <row r="17" spans="1:8">
      <c r="A17" s="74" t="s">
        <v>75</v>
      </c>
      <c r="B17" s="160">
        <v>164728.94</v>
      </c>
      <c r="C17" s="161">
        <v>164728.94</v>
      </c>
      <c r="D17" s="159"/>
      <c r="E17" s="159"/>
      <c r="F17" s="157">
        <f t="shared" si="0"/>
        <v>0</v>
      </c>
    </row>
    <row r="18" spans="1:8">
      <c r="A18" s="74" t="s">
        <v>76</v>
      </c>
      <c r="B18" s="133">
        <v>78242.81</v>
      </c>
      <c r="C18" s="133">
        <v>78242.81</v>
      </c>
      <c r="D18" s="159"/>
      <c r="E18" s="159"/>
      <c r="F18" s="157">
        <f t="shared" si="0"/>
        <v>0</v>
      </c>
    </row>
    <row r="19" spans="1:8">
      <c r="A19" s="74" t="s">
        <v>77</v>
      </c>
      <c r="B19" s="133">
        <v>593624.78</v>
      </c>
      <c r="C19" s="133">
        <v>593624.78</v>
      </c>
      <c r="D19" s="159"/>
      <c r="E19" s="159"/>
      <c r="F19" s="157">
        <f t="shared" si="0"/>
        <v>0</v>
      </c>
    </row>
    <row r="20" spans="1:8">
      <c r="A20" s="74" t="s">
        <v>78</v>
      </c>
      <c r="B20" s="133">
        <v>1251884.93</v>
      </c>
      <c r="C20" s="133">
        <v>1251884.93</v>
      </c>
      <c r="D20" s="159"/>
      <c r="E20" s="159"/>
      <c r="F20" s="157">
        <f t="shared" si="0"/>
        <v>0</v>
      </c>
    </row>
    <row r="21" spans="1:8">
      <c r="A21" s="74" t="s">
        <v>79</v>
      </c>
      <c r="B21" s="133">
        <v>68037.22</v>
      </c>
      <c r="C21" s="133">
        <v>68037.22</v>
      </c>
      <c r="D21" s="159"/>
      <c r="E21" s="159"/>
      <c r="F21" s="157">
        <f t="shared" si="0"/>
        <v>0</v>
      </c>
    </row>
    <row r="22" spans="1:8">
      <c r="A22" s="74" t="s">
        <v>80</v>
      </c>
      <c r="B22" s="133">
        <v>962726.72</v>
      </c>
      <c r="C22" s="133">
        <v>962726.72</v>
      </c>
      <c r="D22" s="159"/>
      <c r="E22" s="159"/>
      <c r="F22" s="157">
        <f t="shared" si="0"/>
        <v>0</v>
      </c>
    </row>
    <row r="23" spans="1:8">
      <c r="A23" s="74" t="s">
        <v>132</v>
      </c>
      <c r="B23" s="133">
        <v>10414798.1</v>
      </c>
      <c r="C23" s="159">
        <f>5983010.97+1832468.35+1939719.88+282500+110064</f>
        <v>10147763.199999999</v>
      </c>
      <c r="D23" s="159">
        <f>659599-282500-110064</f>
        <v>267035</v>
      </c>
      <c r="E23" s="159"/>
      <c r="F23" s="157">
        <f t="shared" si="0"/>
        <v>-9.999999962747097E-2</v>
      </c>
    </row>
    <row r="24" spans="1:8">
      <c r="A24" s="74" t="s">
        <v>133</v>
      </c>
      <c r="B24" s="133">
        <v>13638061.59</v>
      </c>
      <c r="C24" s="159">
        <f>1818408.22+909204.11+909204.12+909204.12+909204.11+2281343</f>
        <v>7736567.6800000006</v>
      </c>
      <c r="D24" s="159">
        <f>180267+1927636+434836+94920+50835-2281343</f>
        <v>407151</v>
      </c>
      <c r="E24" s="133">
        <f>5455224.65639317-1818408.22-909204.11-909204.12-909204.12-909204.11</f>
        <v>-2.3606829345226288E-2</v>
      </c>
      <c r="F24" s="157">
        <f t="shared" si="0"/>
        <v>5494342.9336068286</v>
      </c>
      <c r="G24" s="112">
        <f>B24*0.7203</f>
        <v>9823495.7632769998</v>
      </c>
      <c r="H24" s="112"/>
    </row>
    <row r="25" spans="1:8">
      <c r="A25" s="74" t="s">
        <v>83</v>
      </c>
      <c r="B25" s="133">
        <v>1175343.05</v>
      </c>
      <c r="C25" s="159">
        <v>1175343</v>
      </c>
      <c r="D25" s="159"/>
      <c r="E25" s="159"/>
      <c r="F25" s="157">
        <f t="shared" si="0"/>
        <v>5.0000000046566129E-2</v>
      </c>
    </row>
    <row r="26" spans="1:8">
      <c r="A26" s="74" t="s">
        <v>84</v>
      </c>
      <c r="B26" s="133">
        <v>1700.93</v>
      </c>
      <c r="C26" s="133">
        <v>1700.93</v>
      </c>
      <c r="D26" s="159"/>
      <c r="E26" s="159"/>
      <c r="F26" s="157">
        <f t="shared" si="0"/>
        <v>0</v>
      </c>
    </row>
    <row r="27" spans="1:8">
      <c r="A27" s="74" t="s">
        <v>85</v>
      </c>
      <c r="B27" s="133">
        <v>494970.81</v>
      </c>
      <c r="C27" s="133">
        <v>494970.81</v>
      </c>
      <c r="D27" s="159"/>
      <c r="E27" s="159"/>
      <c r="F27" s="157">
        <f t="shared" si="0"/>
        <v>0</v>
      </c>
    </row>
    <row r="28" spans="1:8">
      <c r="A28" s="74" t="s">
        <v>86</v>
      </c>
      <c r="B28" s="133">
        <v>71439.09</v>
      </c>
      <c r="C28" s="133">
        <v>71439</v>
      </c>
      <c r="D28" s="159"/>
      <c r="E28" s="159"/>
      <c r="F28" s="157">
        <f t="shared" si="0"/>
        <v>8.999999999650754E-2</v>
      </c>
    </row>
    <row r="29" spans="1:8">
      <c r="A29" s="74" t="s">
        <v>134</v>
      </c>
      <c r="B29" s="133">
        <v>847063.44</v>
      </c>
      <c r="C29" s="133">
        <v>847063.44</v>
      </c>
      <c r="D29" s="159"/>
      <c r="E29" s="159"/>
      <c r="F29" s="157">
        <f t="shared" si="0"/>
        <v>0</v>
      </c>
    </row>
    <row r="30" spans="1:8">
      <c r="A30" s="74" t="s">
        <v>88</v>
      </c>
      <c r="B30" s="133">
        <v>653157.35</v>
      </c>
      <c r="C30" s="159"/>
      <c r="D30" s="159"/>
      <c r="E30" s="159"/>
      <c r="F30" s="157">
        <f t="shared" si="0"/>
        <v>653157.35</v>
      </c>
    </row>
    <row r="31" spans="1:8">
      <c r="A31" s="74" t="s">
        <v>89</v>
      </c>
      <c r="B31" s="133">
        <v>8502952.0999999996</v>
      </c>
      <c r="C31" s="159">
        <f>1498354.28+350599.38+2455622.7+3458245</f>
        <v>7762821.3600000003</v>
      </c>
      <c r="D31" s="159">
        <f>72375+667756</f>
        <v>740131</v>
      </c>
      <c r="E31" s="159"/>
      <c r="F31" s="157">
        <f t="shared" si="0"/>
        <v>-0.26000000070780516</v>
      </c>
    </row>
    <row r="32" spans="1:8">
      <c r="A32" s="74" t="s">
        <v>135</v>
      </c>
      <c r="B32" s="133">
        <v>21312660.48</v>
      </c>
      <c r="C32" s="134">
        <f>7372578+13940082.48-90021-379-28815</f>
        <v>21193445.48</v>
      </c>
      <c r="D32" s="159">
        <f>90021+379+28815</f>
        <v>119215</v>
      </c>
      <c r="E32" s="159"/>
      <c r="F32" s="157">
        <f t="shared" si="0"/>
        <v>0</v>
      </c>
      <c r="H32" s="126"/>
    </row>
    <row r="33" spans="1:8">
      <c r="A33" s="74" t="s">
        <v>91</v>
      </c>
      <c r="B33" s="162">
        <v>128905.99517254873</v>
      </c>
      <c r="C33" s="105">
        <v>128906</v>
      </c>
      <c r="D33" s="159"/>
      <c r="E33" s="159"/>
      <c r="F33" s="157">
        <f t="shared" si="0"/>
        <v>-4.8274512664647773E-3</v>
      </c>
      <c r="H33" s="112"/>
    </row>
    <row r="34" spans="1:8">
      <c r="A34" s="74" t="s">
        <v>93</v>
      </c>
      <c r="B34" s="133">
        <v>64635.360000000001</v>
      </c>
      <c r="C34" s="134">
        <v>64635.360000000001</v>
      </c>
      <c r="D34" s="159"/>
      <c r="E34" s="159"/>
      <c r="F34" s="157">
        <f t="shared" si="0"/>
        <v>0</v>
      </c>
    </row>
    <row r="35" spans="1:8">
      <c r="A35" s="74" t="s">
        <v>94</v>
      </c>
      <c r="B35" s="133">
        <v>15308.38</v>
      </c>
      <c r="C35" s="133">
        <v>15308.38</v>
      </c>
      <c r="D35" s="159"/>
      <c r="E35" s="159"/>
      <c r="F35" s="157">
        <f t="shared" si="0"/>
        <v>0</v>
      </c>
    </row>
    <row r="36" spans="1:8">
      <c r="A36" s="74" t="s">
        <v>95</v>
      </c>
      <c r="B36" s="133">
        <v>110560.49</v>
      </c>
      <c r="C36" s="133">
        <v>110560</v>
      </c>
      <c r="D36" s="159"/>
      <c r="E36" s="159"/>
      <c r="F36" s="157">
        <f t="shared" si="0"/>
        <v>0.49000000000523869</v>
      </c>
    </row>
    <row r="37" spans="1:8">
      <c r="A37" s="74" t="s">
        <v>96</v>
      </c>
      <c r="B37" s="133">
        <v>153083.75</v>
      </c>
      <c r="C37" s="133">
        <v>153083.75</v>
      </c>
      <c r="D37" s="159"/>
      <c r="E37" s="159"/>
      <c r="F37" s="157">
        <f t="shared" si="0"/>
        <v>0</v>
      </c>
    </row>
    <row r="38" spans="1:8">
      <c r="A38" s="74" t="s">
        <v>97</v>
      </c>
      <c r="B38" s="133">
        <v>28915.82</v>
      </c>
      <c r="C38" s="133">
        <v>28915.82</v>
      </c>
      <c r="D38" s="159"/>
      <c r="E38" s="159"/>
      <c r="F38" s="157">
        <f t="shared" si="0"/>
        <v>0</v>
      </c>
    </row>
    <row r="39" spans="1:8">
      <c r="A39" s="74" t="s">
        <v>98</v>
      </c>
      <c r="B39" s="133">
        <v>5102.79</v>
      </c>
      <c r="C39" s="133">
        <v>5102.79</v>
      </c>
      <c r="D39" s="159"/>
      <c r="E39" s="159"/>
      <c r="F39" s="157">
        <f t="shared" si="0"/>
        <v>0</v>
      </c>
    </row>
    <row r="40" spans="1:8">
      <c r="A40" s="74" t="s">
        <v>99</v>
      </c>
      <c r="B40" s="133">
        <v>3155226.27</v>
      </c>
      <c r="C40" s="133">
        <v>3155226.27</v>
      </c>
      <c r="D40" s="159"/>
      <c r="E40" s="159"/>
      <c r="F40" s="157">
        <f t="shared" si="0"/>
        <v>0</v>
      </c>
    </row>
    <row r="41" spans="1:8">
      <c r="A41" s="74" t="s">
        <v>100</v>
      </c>
      <c r="B41" s="133">
        <v>464354.06</v>
      </c>
      <c r="C41" s="133">
        <v>464354.06</v>
      </c>
      <c r="D41" s="159"/>
      <c r="E41" s="159"/>
      <c r="F41" s="157">
        <f t="shared" si="0"/>
        <v>0</v>
      </c>
    </row>
    <row r="42" spans="1:8">
      <c r="A42" s="74" t="s">
        <v>101</v>
      </c>
      <c r="B42" s="133">
        <v>1481510.56</v>
      </c>
      <c r="C42" s="133">
        <v>1481510.56</v>
      </c>
      <c r="D42" s="159"/>
      <c r="E42" s="159"/>
      <c r="F42" s="157">
        <f t="shared" si="0"/>
        <v>0</v>
      </c>
    </row>
    <row r="43" spans="1:8">
      <c r="A43" s="74" t="s">
        <v>103</v>
      </c>
      <c r="B43" s="133">
        <v>1408370.54</v>
      </c>
      <c r="C43" s="133">
        <v>1408370.54</v>
      </c>
      <c r="D43" s="159"/>
      <c r="E43" s="159"/>
      <c r="F43" s="157">
        <f t="shared" si="0"/>
        <v>0</v>
      </c>
    </row>
    <row r="44" spans="1:8">
      <c r="A44" s="74" t="s">
        <v>104</v>
      </c>
      <c r="B44" s="133">
        <v>869175.54</v>
      </c>
      <c r="C44" s="133">
        <v>869176</v>
      </c>
      <c r="D44" s="159"/>
      <c r="E44" s="159"/>
      <c r="F44" s="157">
        <f t="shared" si="0"/>
        <v>-0.4599999999627471</v>
      </c>
    </row>
    <row r="45" spans="1:8">
      <c r="A45" s="74" t="s">
        <v>105</v>
      </c>
      <c r="B45" s="133">
        <v>301064.71999999997</v>
      </c>
      <c r="C45" s="163">
        <v>301065</v>
      </c>
      <c r="D45" s="159"/>
      <c r="E45" s="159"/>
      <c r="F45" s="157">
        <f t="shared" si="0"/>
        <v>-0.28000000002793968</v>
      </c>
    </row>
    <row r="46" spans="1:8">
      <c r="A46" s="74" t="s">
        <v>106</v>
      </c>
      <c r="B46" s="133">
        <v>2724890.83</v>
      </c>
      <c r="C46" s="133">
        <f>2275000+262300+90600+96990.83</f>
        <v>2724890.83</v>
      </c>
      <c r="D46" s="159"/>
      <c r="E46" s="159"/>
      <c r="F46" s="157">
        <f t="shared" si="0"/>
        <v>0</v>
      </c>
    </row>
    <row r="47" spans="1:8">
      <c r="A47" s="72" t="s">
        <v>107</v>
      </c>
      <c r="B47" s="133">
        <v>5102.79</v>
      </c>
      <c r="C47" s="133">
        <v>5102.79</v>
      </c>
      <c r="D47" s="159"/>
      <c r="E47" s="159"/>
      <c r="F47" s="157">
        <f t="shared" si="0"/>
        <v>0</v>
      </c>
    </row>
    <row r="48" spans="1:8">
      <c r="A48" s="72" t="s">
        <v>109</v>
      </c>
      <c r="B48" s="133">
        <v>241532.15</v>
      </c>
      <c r="C48" s="133">
        <v>241532.15</v>
      </c>
      <c r="D48" s="159"/>
      <c r="E48" s="159"/>
      <c r="F48" s="157">
        <f t="shared" si="0"/>
        <v>0</v>
      </c>
    </row>
    <row r="49" spans="1:6">
      <c r="A49" s="74" t="s">
        <v>110</v>
      </c>
      <c r="B49" s="133">
        <v>175195.85</v>
      </c>
      <c r="C49" s="133">
        <v>175195.85</v>
      </c>
      <c r="D49" s="159"/>
      <c r="E49" s="159"/>
      <c r="F49" s="157">
        <f t="shared" si="0"/>
        <v>0</v>
      </c>
    </row>
    <row r="50" spans="1:6">
      <c r="A50" s="74" t="s">
        <v>112</v>
      </c>
      <c r="B50" s="133">
        <v>5403856.5300000003</v>
      </c>
      <c r="C50" s="133">
        <v>5403856.5300000003</v>
      </c>
      <c r="D50" s="159"/>
      <c r="E50" s="159"/>
      <c r="F50" s="157">
        <f t="shared" si="0"/>
        <v>0</v>
      </c>
    </row>
    <row r="51" spans="1:6">
      <c r="A51" s="74" t="s">
        <v>136</v>
      </c>
      <c r="B51" s="133">
        <v>1809790.16</v>
      </c>
      <c r="C51" s="133">
        <v>1809790.16</v>
      </c>
      <c r="D51" s="159"/>
      <c r="E51" s="159"/>
      <c r="F51" s="157">
        <f t="shared" si="0"/>
        <v>0</v>
      </c>
    </row>
    <row r="52" spans="1:6">
      <c r="A52" s="74" t="s">
        <v>114</v>
      </c>
      <c r="B52" s="133">
        <v>1922051.58</v>
      </c>
      <c r="C52" s="133">
        <v>1922051.58</v>
      </c>
      <c r="D52" s="159"/>
      <c r="E52" s="159"/>
      <c r="F52" s="157">
        <f t="shared" si="0"/>
        <v>0</v>
      </c>
    </row>
    <row r="53" spans="1:6">
      <c r="A53" s="74" t="s">
        <v>115</v>
      </c>
      <c r="B53" s="133">
        <v>3401.86</v>
      </c>
      <c r="C53" s="159"/>
      <c r="D53" s="159"/>
      <c r="E53" s="159"/>
      <c r="F53" s="157">
        <f t="shared" si="0"/>
        <v>3401.86</v>
      </c>
    </row>
    <row r="54" spans="1:6">
      <c r="A54" s="74" t="s">
        <v>117</v>
      </c>
      <c r="B54" s="133">
        <v>147980.96</v>
      </c>
      <c r="C54" s="159"/>
      <c r="D54" s="159"/>
      <c r="E54" s="159"/>
      <c r="F54" s="157">
        <f t="shared" si="0"/>
        <v>147980.96</v>
      </c>
    </row>
    <row r="55" spans="1:6">
      <c r="A55" s="74" t="s">
        <v>119</v>
      </c>
      <c r="B55" s="133">
        <v>11232945.720000001</v>
      </c>
      <c r="C55" s="133">
        <v>11232945.720000001</v>
      </c>
      <c r="D55" s="159"/>
      <c r="E55" s="133"/>
      <c r="F55" s="157">
        <f t="shared" si="0"/>
        <v>0</v>
      </c>
    </row>
    <row r="56" spans="1:6">
      <c r="A56" s="74" t="s">
        <v>120</v>
      </c>
      <c r="B56" s="133">
        <f>29333333.33-714323.4</f>
        <v>28619009.93</v>
      </c>
      <c r="C56" s="159">
        <f>4500000+1678652+1467000+1514000+6412244+399677+3612941+6814819-714323.4+1467000+1467000</f>
        <v>28619009.600000001</v>
      </c>
      <c r="D56" s="159"/>
      <c r="E56" s="159"/>
      <c r="F56" s="157">
        <f t="shared" si="0"/>
        <v>0.32999999821186066</v>
      </c>
    </row>
    <row r="57" spans="1:6" ht="15" thickBot="1">
      <c r="A57" s="77" t="s">
        <v>121</v>
      </c>
      <c r="B57" s="133">
        <v>17009.310000000001</v>
      </c>
      <c r="C57" s="164"/>
      <c r="D57" s="165"/>
      <c r="E57" s="166"/>
      <c r="F57" s="157">
        <f t="shared" si="0"/>
        <v>17009.310000000001</v>
      </c>
    </row>
    <row r="58" spans="1:6" ht="15" thickBot="1">
      <c r="A58" s="81" t="s">
        <v>124</v>
      </c>
      <c r="B58" s="79">
        <f>SUM(B9:B57)</f>
        <v>132912644.86517254</v>
      </c>
      <c r="C58" s="167">
        <f>SUM(C9:C57)</f>
        <v>124966267.5702163</v>
      </c>
      <c r="D58" s="167">
        <f>SUM(D9:D57)</f>
        <v>1533532</v>
      </c>
      <c r="E58" s="167">
        <f>SUM(E9:E57)</f>
        <v>-2.3606829345226288E-2</v>
      </c>
      <c r="F58" s="168">
        <f>SUM(F9:F57)</f>
        <v>6412845.3185630944</v>
      </c>
    </row>
    <row r="59" spans="1:6" ht="15" thickBot="1">
      <c r="A59" s="97" t="s">
        <v>137</v>
      </c>
      <c r="B59" s="169">
        <v>714323.4</v>
      </c>
      <c r="C59" s="169"/>
      <c r="D59" s="169"/>
      <c r="E59" s="169"/>
      <c r="F59" s="170">
        <f>B59-C59-D59-E59</f>
        <v>714323.4</v>
      </c>
    </row>
    <row r="60" spans="1:6" ht="15" thickBot="1">
      <c r="A60" s="98" t="s">
        <v>138</v>
      </c>
      <c r="B60" s="83">
        <f>B58+B59</f>
        <v>133626968.26517254</v>
      </c>
      <c r="C60" s="83">
        <f>C58+C59</f>
        <v>124966267.5702163</v>
      </c>
      <c r="D60" s="83">
        <f>D58+D59</f>
        <v>1533532</v>
      </c>
      <c r="E60" s="83">
        <f>E58+E59</f>
        <v>-2.3606829345226288E-2</v>
      </c>
      <c r="F60" s="171">
        <f>F58+F59</f>
        <v>7127168.7185630947</v>
      </c>
    </row>
    <row r="61" spans="1:6">
      <c r="A61" s="115" t="s">
        <v>141</v>
      </c>
      <c r="B61" s="110"/>
      <c r="C61" s="110"/>
      <c r="D61" s="110"/>
      <c r="E61" s="110"/>
      <c r="F61" s="110"/>
    </row>
    <row r="62" spans="1:6">
      <c r="A62" s="116"/>
      <c r="B62" s="116"/>
      <c r="C62" s="116"/>
      <c r="D62" s="116"/>
      <c r="E62" s="116"/>
      <c r="F62" s="116"/>
    </row>
    <row r="63" spans="1:6" ht="15" thickBot="1">
      <c r="A63" s="110"/>
      <c r="B63" s="110"/>
      <c r="C63" s="110"/>
      <c r="D63" s="110"/>
      <c r="E63" s="110"/>
      <c r="F63" s="110"/>
    </row>
    <row r="64" spans="1:6" ht="15" thickBot="1">
      <c r="A64" s="102" t="s">
        <v>139</v>
      </c>
      <c r="B64" s="172">
        <f>B12+B13+B15+B19+B21+B27+B34+B36+B43+B46+B48+B49+B53+B54+B57</f>
        <v>6211798.5700000003</v>
      </c>
      <c r="C64" s="172">
        <f>C12+C13+C15+C19+C21+C26+C34+C36+C43+C46+C48+C49+C53+C54+C57</f>
        <v>5453183.0199999996</v>
      </c>
      <c r="D64" s="172">
        <f>D12+D13+D15+D19+D21+D26+D34+D36+D43+D46+D48+D49+D53+D54+D57</f>
        <v>0</v>
      </c>
      <c r="E64" s="172">
        <f>E12+E13+E15+E19+E21+E26+E34+E36+E43+E46+E48+E49+E53+E54+E57</f>
        <v>0</v>
      </c>
      <c r="F64" s="173">
        <f>B64-C64-D64-E64</f>
        <v>758615.55000000075</v>
      </c>
    </row>
    <row r="65" spans="2:9">
      <c r="C65" s="126"/>
    </row>
    <row r="66" spans="2:9" s="114" customFormat="1" ht="12.5">
      <c r="B66" s="126"/>
      <c r="C66" s="111"/>
      <c r="F66" s="174"/>
      <c r="I66" s="175"/>
    </row>
    <row r="67" spans="2:9">
      <c r="C67" s="153"/>
      <c r="F67" s="176"/>
    </row>
    <row r="68" spans="2:9">
      <c r="C68" s="177"/>
    </row>
    <row r="69" spans="2:9">
      <c r="C69" s="126"/>
    </row>
    <row r="70" spans="2:9">
      <c r="C70" s="126"/>
    </row>
  </sheetData>
  <mergeCells count="4">
    <mergeCell ref="A1:B1"/>
    <mergeCell ref="A5:F5"/>
    <mergeCell ref="A6:F6"/>
    <mergeCell ref="A7:F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890DD-AC45-411E-B361-A0DBC5D49E21}">
  <sheetPr>
    <pageSetUpPr fitToPage="1"/>
  </sheetPr>
  <dimension ref="A1:Q47"/>
  <sheetViews>
    <sheetView topLeftCell="A10" zoomScale="85" zoomScaleNormal="85" workbookViewId="0">
      <selection activeCell="M9" sqref="M9"/>
    </sheetView>
  </sheetViews>
  <sheetFormatPr defaultColWidth="9.7265625" defaultRowHeight="15.5"/>
  <cols>
    <col min="1" max="1" width="42.7265625" style="3" customWidth="1"/>
    <col min="2" max="9" width="16.7265625" style="3" customWidth="1"/>
    <col min="10" max="14" width="16.7265625" style="24" customWidth="1"/>
    <col min="15" max="15" width="17.7265625" style="3" customWidth="1"/>
    <col min="16" max="16" width="18.7265625" style="3" bestFit="1" customWidth="1"/>
    <col min="17" max="16384" width="9.7265625" style="3"/>
  </cols>
  <sheetData>
    <row r="1" spans="1:17" ht="19.5" customHeight="1">
      <c r="A1" s="23" t="str">
        <f>Status!C1</f>
        <v>UNEP/OzL.Pro/ExCom/94/3</v>
      </c>
      <c r="B1" s="22"/>
      <c r="C1" s="22"/>
      <c r="D1" s="4"/>
    </row>
    <row r="2" spans="1:17" ht="19.5" customHeight="1">
      <c r="A2" s="25" t="s">
        <v>0</v>
      </c>
      <c r="B2" s="1"/>
      <c r="C2" s="1"/>
      <c r="D2" s="26"/>
      <c r="E2" s="26"/>
      <c r="F2" s="26"/>
      <c r="G2" s="26"/>
      <c r="H2" s="26"/>
      <c r="I2" s="27"/>
    </row>
    <row r="3" spans="1:17" ht="19.5" customHeight="1">
      <c r="A3" s="23" t="s">
        <v>27</v>
      </c>
      <c r="B3" s="28"/>
      <c r="C3" s="4"/>
      <c r="D3" s="29"/>
      <c r="E3" s="29"/>
      <c r="F3" s="29"/>
      <c r="G3" s="29"/>
      <c r="H3" s="29"/>
      <c r="I3" s="29"/>
    </row>
    <row r="4" spans="1:17" ht="9.75" customHeight="1"/>
    <row r="5" spans="1:17" ht="20.25" customHeight="1">
      <c r="A5" s="728" t="s">
        <v>2</v>
      </c>
      <c r="B5" s="728"/>
      <c r="C5" s="728"/>
      <c r="D5" s="728"/>
      <c r="E5" s="728"/>
      <c r="F5" s="728"/>
      <c r="G5" s="728"/>
      <c r="H5" s="728"/>
      <c r="I5" s="728"/>
      <c r="J5" s="728"/>
      <c r="K5" s="728"/>
      <c r="L5" s="728"/>
      <c r="M5" s="728"/>
      <c r="N5" s="728"/>
    </row>
    <row r="6" spans="1:17" ht="20.25" customHeight="1">
      <c r="A6" s="729" t="s">
        <v>270</v>
      </c>
      <c r="B6" s="729"/>
      <c r="C6" s="729"/>
      <c r="D6" s="729"/>
      <c r="E6" s="729"/>
      <c r="F6" s="729"/>
      <c r="G6" s="729"/>
      <c r="H6" s="729"/>
      <c r="I6" s="729"/>
      <c r="J6" s="729"/>
      <c r="K6" s="729"/>
      <c r="L6" s="729"/>
      <c r="M6" s="729"/>
      <c r="N6" s="729"/>
    </row>
    <row r="7" spans="1:17" ht="20.25" customHeight="1">
      <c r="A7" s="728" t="s">
        <v>26</v>
      </c>
      <c r="B7" s="728"/>
      <c r="C7" s="728"/>
      <c r="D7" s="728"/>
      <c r="E7" s="728"/>
      <c r="F7" s="728"/>
      <c r="G7" s="728"/>
      <c r="H7" s="728"/>
      <c r="I7" s="728"/>
      <c r="J7" s="728"/>
      <c r="K7" s="728"/>
      <c r="L7" s="728"/>
      <c r="M7" s="728"/>
      <c r="N7" s="728"/>
    </row>
    <row r="8" spans="1:17" ht="18" customHeight="1" thickBot="1">
      <c r="A8" s="730" t="str">
        <f>Status!A6</f>
        <v>As at 24/05/2024</v>
      </c>
      <c r="B8" s="731"/>
      <c r="C8" s="732"/>
      <c r="D8" s="731"/>
      <c r="E8" s="731"/>
      <c r="F8" s="731"/>
      <c r="G8" s="731"/>
      <c r="H8" s="731"/>
      <c r="I8" s="731"/>
      <c r="J8" s="731"/>
      <c r="K8" s="731"/>
      <c r="L8" s="731"/>
      <c r="M8" s="731"/>
      <c r="N8" s="731"/>
    </row>
    <row r="9" spans="1:17" s="18" customFormat="1" ht="20.25" customHeight="1">
      <c r="A9" s="613" t="s">
        <v>28</v>
      </c>
      <c r="B9" s="614" t="s">
        <v>29</v>
      </c>
      <c r="C9" s="659" t="s">
        <v>30</v>
      </c>
      <c r="D9" s="636" t="s">
        <v>31</v>
      </c>
      <c r="E9" s="614" t="s">
        <v>32</v>
      </c>
      <c r="F9" s="614" t="s">
        <v>33</v>
      </c>
      <c r="G9" s="614" t="s">
        <v>34</v>
      </c>
      <c r="H9" s="615" t="s">
        <v>35</v>
      </c>
      <c r="I9" s="615" t="s">
        <v>36</v>
      </c>
      <c r="J9" s="615" t="s">
        <v>37</v>
      </c>
      <c r="K9" s="616" t="s">
        <v>38</v>
      </c>
      <c r="L9" s="616" t="s">
        <v>241</v>
      </c>
      <c r="M9" s="616" t="s">
        <v>267</v>
      </c>
      <c r="N9" s="686" t="s">
        <v>268</v>
      </c>
    </row>
    <row r="10" spans="1:17" ht="20.25" customHeight="1">
      <c r="A10" s="567" t="s">
        <v>39</v>
      </c>
      <c r="B10" s="33">
        <f>YR1991_93!B59</f>
        <v>235029241</v>
      </c>
      <c r="C10" s="33">
        <f>YR1994_96!B59</f>
        <v>424841347</v>
      </c>
      <c r="D10" s="33">
        <f>YR1997_99!B59</f>
        <v>472567009</v>
      </c>
      <c r="E10" s="31">
        <f>YR2000_02!B51</f>
        <v>440000001</v>
      </c>
      <c r="F10" s="31">
        <f>YR2003_05!B51</f>
        <v>474000001.26494682</v>
      </c>
      <c r="G10" s="31">
        <f>YR2006_08!B54</f>
        <v>368028480.29999989</v>
      </c>
      <c r="H10" s="36">
        <f>YR2009_11!B56</f>
        <v>399640706.40000004</v>
      </c>
      <c r="I10" s="31">
        <f>YR2012_14!B58</f>
        <v>396815724.52517265</v>
      </c>
      <c r="J10" s="31">
        <f>YR2015_17!B58</f>
        <v>436198530.19999999</v>
      </c>
      <c r="K10" s="31">
        <f>YR2018_20!B58</f>
        <v>496274667</v>
      </c>
      <c r="L10" s="31">
        <f>YR2021_23!B58</f>
        <v>473714766.99999988</v>
      </c>
      <c r="M10" s="687">
        <f>YR2024_26!B58</f>
        <v>175199999</v>
      </c>
      <c r="N10" s="688">
        <f>B10+C10+D10+E10+F10+G10+H10+I10+J10+K10+L10+M10</f>
        <v>4792310473.6901188</v>
      </c>
      <c r="O10" s="32"/>
      <c r="P10" s="4"/>
    </row>
    <row r="11" spans="1:17" ht="20.25" customHeight="1">
      <c r="A11" s="564" t="s">
        <v>40</v>
      </c>
      <c r="B11" s="33">
        <f>YR1991_93!C59</f>
        <v>206611034.09999999</v>
      </c>
      <c r="C11" s="33">
        <f>YR1994_96!C59</f>
        <v>381594829</v>
      </c>
      <c r="D11" s="33">
        <f>YR1997_99!C59</f>
        <v>418966144.33000004</v>
      </c>
      <c r="E11" s="31">
        <f>YR2000_02!C51</f>
        <v>406691769.03000003</v>
      </c>
      <c r="F11" s="31">
        <f>YR2003_05!C51</f>
        <v>421323975.82000011</v>
      </c>
      <c r="G11" s="31">
        <f>YR2006_08!C54</f>
        <v>339225802.9799999</v>
      </c>
      <c r="H11" s="31">
        <f>YR2009_11!C56</f>
        <v>376678075.12</v>
      </c>
      <c r="I11" s="31">
        <f>YR2012_14!C58</f>
        <v>379922492.53021634</v>
      </c>
      <c r="J11" s="31">
        <f>YR2015_17!C58</f>
        <v>418531677.33000004</v>
      </c>
      <c r="K11" s="31">
        <f>YR2018_20!C58</f>
        <v>478141866.64000005</v>
      </c>
      <c r="L11" s="31">
        <f>YR2021_23!C58</f>
        <v>436814356.03000009</v>
      </c>
      <c r="M11" s="687">
        <f>YR2024_26!C58</f>
        <v>80791284.167999998</v>
      </c>
      <c r="N11" s="688">
        <f t="shared" ref="N11:N16" si="0">SUM(B11:M11)</f>
        <v>4345293307.0782166</v>
      </c>
      <c r="O11" s="32"/>
      <c r="P11" s="4"/>
      <c r="Q11" s="733"/>
    </row>
    <row r="12" spans="1:17" ht="20.25" customHeight="1">
      <c r="A12" s="564" t="s">
        <v>41</v>
      </c>
      <c r="B12" s="33">
        <f>YR1991_93!D59</f>
        <v>4366255</v>
      </c>
      <c r="C12" s="33">
        <f>YR1994_96!D59</f>
        <v>11870240</v>
      </c>
      <c r="D12" s="33">
        <f>YR1997_99!D59</f>
        <v>20836903.199999999</v>
      </c>
      <c r="E12" s="31">
        <f>YR2000_02!D51</f>
        <v>22591302.25</v>
      </c>
      <c r="F12" s="31">
        <f>YR2003_05!D51</f>
        <v>44246306.100000001</v>
      </c>
      <c r="G12" s="31">
        <f>YR2006_08!D54</f>
        <v>19671519.060000002</v>
      </c>
      <c r="H12" s="31">
        <f>YR2009_11!D56</f>
        <v>14151636.059999999</v>
      </c>
      <c r="I12" s="31">
        <f>YR2012_14!D58</f>
        <v>11412900.450000001</v>
      </c>
      <c r="J12" s="31">
        <f>YR2015_17!D58</f>
        <v>14168565</v>
      </c>
      <c r="K12" s="31">
        <f>YR2018_20!D58</f>
        <v>13681572</v>
      </c>
      <c r="L12" s="31">
        <f>YR2021_23!D58</f>
        <v>11762610</v>
      </c>
      <c r="M12" s="687">
        <f>YR2024_26!D58</f>
        <v>0</v>
      </c>
      <c r="N12" s="688">
        <f t="shared" si="0"/>
        <v>188759809.12</v>
      </c>
      <c r="O12" s="32"/>
      <c r="P12" s="4"/>
      <c r="Q12" s="733"/>
    </row>
    <row r="13" spans="1:17" ht="20.25" customHeight="1">
      <c r="A13" s="564" t="s">
        <v>42</v>
      </c>
      <c r="B13" s="33">
        <f>YR1991_93!E59</f>
        <v>0</v>
      </c>
      <c r="C13" s="33">
        <f>YR1994_96!E59</f>
        <v>0</v>
      </c>
      <c r="D13" s="33">
        <f>YR1997_99!E59</f>
        <v>0</v>
      </c>
      <c r="E13" s="31">
        <f>YR2000_02!E51</f>
        <v>0</v>
      </c>
      <c r="F13" s="31">
        <f>YR2003_05!E51</f>
        <v>4.999999888241291E-2</v>
      </c>
      <c r="G13" s="31">
        <f>YR2006_08!E54</f>
        <v>-0.44000000040978193</v>
      </c>
      <c r="H13" s="35">
        <v>0.40999999875202775</v>
      </c>
      <c r="I13" s="31">
        <f>YR2012_14!E58</f>
        <v>-2.3606829345226288E-2</v>
      </c>
      <c r="J13" s="31">
        <f>YR2015_17!E58</f>
        <v>-0.10624981066212058</v>
      </c>
      <c r="K13" s="31">
        <f>YR2018_20!E58</f>
        <v>0</v>
      </c>
      <c r="L13" s="31">
        <f>YR2021_23!E58</f>
        <v>0</v>
      </c>
      <c r="M13" s="687">
        <f>YR2024_26!E58</f>
        <v>0</v>
      </c>
      <c r="N13" s="688">
        <f t="shared" si="0"/>
        <v>-0.10985664278268814</v>
      </c>
      <c r="O13" s="32"/>
      <c r="P13" s="4"/>
      <c r="Q13" s="37"/>
    </row>
    <row r="14" spans="1:17" s="9" customFormat="1" ht="20.25" customHeight="1">
      <c r="A14" s="565" t="s">
        <v>43</v>
      </c>
      <c r="B14" s="566">
        <f t="shared" ref="B14:J14" si="1">SUM(B11:B13)</f>
        <v>210977289.09999999</v>
      </c>
      <c r="C14" s="566">
        <f t="shared" si="1"/>
        <v>393465069</v>
      </c>
      <c r="D14" s="566">
        <f>SUM(D11:D13)</f>
        <v>439803047.53000003</v>
      </c>
      <c r="E14" s="566">
        <f t="shared" si="1"/>
        <v>429283071.28000003</v>
      </c>
      <c r="F14" s="566">
        <f t="shared" si="1"/>
        <v>465570281.97000015</v>
      </c>
      <c r="G14" s="566">
        <f t="shared" si="1"/>
        <v>358897321.5999999</v>
      </c>
      <c r="H14" s="38">
        <f t="shared" si="1"/>
        <v>390829711.59000003</v>
      </c>
      <c r="I14" s="566">
        <f t="shared" si="1"/>
        <v>391335392.95660949</v>
      </c>
      <c r="J14" s="38">
        <f t="shared" si="1"/>
        <v>432700242.22375023</v>
      </c>
      <c r="K14" s="38">
        <f>SUM(K11:K13)</f>
        <v>491823438.64000005</v>
      </c>
      <c r="L14" s="38">
        <f>SUM(L11:L13)</f>
        <v>448576966.03000009</v>
      </c>
      <c r="M14" s="689">
        <f>SUM(M11:M13)</f>
        <v>80791284.167999998</v>
      </c>
      <c r="N14" s="690">
        <f t="shared" si="0"/>
        <v>4534053116.0883598</v>
      </c>
      <c r="P14" s="39"/>
    </row>
    <row r="15" spans="1:17" ht="20.25" customHeight="1">
      <c r="A15" s="567" t="s">
        <v>44</v>
      </c>
      <c r="B15" s="33">
        <v>0</v>
      </c>
      <c r="C15" s="33">
        <f>YR1994_96!B60</f>
        <v>8098267</v>
      </c>
      <c r="D15" s="33">
        <v>0</v>
      </c>
      <c r="E15" s="33">
        <v>0</v>
      </c>
      <c r="F15" s="33">
        <v>0</v>
      </c>
      <c r="G15" s="33">
        <f>YR2006_08!B55</f>
        <v>32471642</v>
      </c>
      <c r="H15" s="34">
        <f>YR2009_11!B57</f>
        <v>405792</v>
      </c>
      <c r="I15" s="33">
        <f>YR2012_14!B59</f>
        <v>3477910.4</v>
      </c>
      <c r="J15" s="31">
        <f>YR2015_17!B59</f>
        <v>1301470</v>
      </c>
      <c r="K15" s="31">
        <f>YR2018_20!B59</f>
        <v>3725331</v>
      </c>
      <c r="L15" s="31">
        <f>YR2021_23!B59</f>
        <v>1285232</v>
      </c>
      <c r="M15" s="687">
        <f>YR2024_26!B59</f>
        <v>0</v>
      </c>
      <c r="N15" s="688">
        <f t="shared" si="0"/>
        <v>50765644.399999999</v>
      </c>
      <c r="P15" s="41"/>
    </row>
    <row r="16" spans="1:17" ht="20.25" customHeight="1">
      <c r="A16" s="567" t="s">
        <v>45</v>
      </c>
      <c r="B16" s="33">
        <f t="shared" ref="B16:J16" si="2">B10-B14</f>
        <v>24051951.900000006</v>
      </c>
      <c r="C16" s="33">
        <f t="shared" si="2"/>
        <v>31376278</v>
      </c>
      <c r="D16" s="33">
        <f t="shared" si="2"/>
        <v>32763961.469999969</v>
      </c>
      <c r="E16" s="33">
        <f t="shared" si="2"/>
        <v>10716929.719999969</v>
      </c>
      <c r="F16" s="33">
        <f t="shared" si="2"/>
        <v>8429719.2949466705</v>
      </c>
      <c r="G16" s="33">
        <f t="shared" si="2"/>
        <v>9131158.6999999881</v>
      </c>
      <c r="H16" s="34">
        <f t="shared" si="2"/>
        <v>8810994.8100000024</v>
      </c>
      <c r="I16" s="33">
        <f t="shared" si="2"/>
        <v>5480331.5685631633</v>
      </c>
      <c r="J16" s="34">
        <f t="shared" si="2"/>
        <v>3498287.9762497544</v>
      </c>
      <c r="K16" s="34">
        <f>YR2018_20!F58</f>
        <v>4451228.3600000003</v>
      </c>
      <c r="L16" s="34">
        <f>YR2021_23!F58</f>
        <v>25137800.969999902</v>
      </c>
      <c r="M16" s="691">
        <f>YR2024_26!F58</f>
        <v>94408714.832000002</v>
      </c>
      <c r="N16" s="688">
        <f t="shared" si="0"/>
        <v>258257357.60175943</v>
      </c>
      <c r="P16" s="4"/>
    </row>
    <row r="17" spans="1:14" ht="20.25" customHeight="1">
      <c r="A17" s="567" t="s">
        <v>46</v>
      </c>
      <c r="B17" s="676">
        <f t="shared" ref="B17:J17" si="3">B14/B10</f>
        <v>0.8976640021570762</v>
      </c>
      <c r="C17" s="676">
        <f t="shared" si="3"/>
        <v>0.92614589370464451</v>
      </c>
      <c r="D17" s="676">
        <f t="shared" si="3"/>
        <v>0.93066811511169212</v>
      </c>
      <c r="E17" s="676">
        <f t="shared" si="3"/>
        <v>0.97564334160081068</v>
      </c>
      <c r="F17" s="676">
        <f t="shared" si="3"/>
        <v>0.98221578212563165</v>
      </c>
      <c r="G17" s="676">
        <f t="shared" si="3"/>
        <v>0.97518898892673556</v>
      </c>
      <c r="H17" s="676">
        <f t="shared" si="3"/>
        <v>0.97795270934892931</v>
      </c>
      <c r="I17" s="676">
        <f t="shared" si="3"/>
        <v>0.98618922782074503</v>
      </c>
      <c r="J17" s="676">
        <f t="shared" si="3"/>
        <v>0.99198005556175128</v>
      </c>
      <c r="K17" s="676">
        <f>K14/K10</f>
        <v>0.99103071614171279</v>
      </c>
      <c r="L17" s="676">
        <f>L14/L10</f>
        <v>0.94693473220352486</v>
      </c>
      <c r="M17" s="692">
        <f>M14/M10</f>
        <v>0.46113746934439193</v>
      </c>
      <c r="N17" s="693">
        <f>N14/N10</f>
        <v>0.94611005296514128</v>
      </c>
    </row>
    <row r="18" spans="1:14" ht="20.25" customHeight="1">
      <c r="A18" s="569"/>
      <c r="B18" s="570"/>
      <c r="C18" s="570"/>
      <c r="D18" s="570"/>
      <c r="E18" s="570"/>
      <c r="F18" s="570"/>
      <c r="G18" s="570"/>
      <c r="H18" s="44"/>
      <c r="I18" s="570"/>
      <c r="J18" s="35"/>
      <c r="K18" s="35"/>
      <c r="L18" s="35"/>
      <c r="M18" s="694"/>
      <c r="N18" s="695"/>
    </row>
    <row r="19" spans="1:14" s="9" customFormat="1" ht="20.25" customHeight="1">
      <c r="A19" s="571" t="s">
        <v>47</v>
      </c>
      <c r="B19" s="566">
        <f>540614+1757933+3025097</f>
        <v>5323644</v>
      </c>
      <c r="C19" s="566">
        <f>5701779+11211677+11612277</f>
        <v>28525733</v>
      </c>
      <c r="D19" s="566">
        <f>18328786+17676694+8680036</f>
        <v>44685516</v>
      </c>
      <c r="E19" s="566">
        <f>25264748+17588394+11093459</f>
        <v>53946601</v>
      </c>
      <c r="F19" s="566">
        <f>7227409+4662511+68190+7416339</f>
        <v>19374449</v>
      </c>
      <c r="G19" s="566">
        <f>13773709+18998156+11964896-1198947</f>
        <v>43537814</v>
      </c>
      <c r="H19" s="38">
        <f>4403437+3645451+258151+579758+642792+675973+339069</f>
        <v>10544631</v>
      </c>
      <c r="I19" s="38">
        <f>2347348.17+2369301.95+1898402.88</f>
        <v>6615053</v>
      </c>
      <c r="J19" s="45">
        <v>8836636.5300000012</v>
      </c>
      <c r="K19" s="45">
        <v>25295185.84</v>
      </c>
      <c r="L19" s="45">
        <f>'[1]2021_23_Interest'!$D$68</f>
        <v>38706412.780000001</v>
      </c>
      <c r="M19" s="696"/>
      <c r="N19" s="697">
        <f>SUM(B19:M19)</f>
        <v>285391676.14999998</v>
      </c>
    </row>
    <row r="20" spans="1:14" ht="20.25" customHeight="1">
      <c r="A20" s="569" t="s">
        <v>48</v>
      </c>
      <c r="B20" s="33"/>
      <c r="C20" s="33"/>
      <c r="D20" s="33"/>
      <c r="E20" s="33"/>
      <c r="F20" s="33"/>
      <c r="G20" s="33"/>
      <c r="H20" s="34"/>
      <c r="I20" s="34"/>
      <c r="J20" s="46"/>
      <c r="K20" s="46"/>
      <c r="L20" s="46"/>
      <c r="M20" s="698"/>
      <c r="N20" s="695"/>
    </row>
    <row r="21" spans="1:14" s="9" customFormat="1" ht="20.25" customHeight="1">
      <c r="A21" s="571" t="s">
        <v>49</v>
      </c>
      <c r="B21" s="566">
        <f>703333.93+522233.9+216535.43</f>
        <v>1442103.26</v>
      </c>
      <c r="C21" s="566">
        <f>651432.73+378571.43+267361.41</f>
        <v>1297365.5699999998</v>
      </c>
      <c r="D21" s="566">
        <f>548524+375073.87+300000</f>
        <v>1223597.8700000001</v>
      </c>
      <c r="E21" s="566">
        <f>300000+284089+(395193.99-45193+61935.29)+127722+1535</f>
        <v>1125282.28</v>
      </c>
      <c r="F21" s="566">
        <f>347600+457931+580646</f>
        <v>1386177</v>
      </c>
      <c r="G21" s="566">
        <f>1329111+1001142+(1172239-176347.98+51040.11)</f>
        <v>3377184.13</v>
      </c>
      <c r="H21" s="38">
        <f>968463+41623.79+125308.26+300000+298125.61+59363-51000+8988.84+940330-39883.18+31+731303+165000</f>
        <v>3547653.32</v>
      </c>
      <c r="I21" s="38">
        <f>1534909.14+1540797+2728703.86</f>
        <v>5804410</v>
      </c>
      <c r="J21" s="45">
        <f>1023142+575020.45+184671.71</f>
        <v>1782834.16</v>
      </c>
      <c r="K21" s="721">
        <f>854973+939817+871392</f>
        <v>2666182</v>
      </c>
      <c r="L21" s="721">
        <f>699622+1015163+1054878</f>
        <v>2769663</v>
      </c>
      <c r="M21" s="696"/>
      <c r="N21" s="697">
        <f>SUM(B21:L21)</f>
        <v>26422452.59</v>
      </c>
    </row>
    <row r="22" spans="1:14" ht="14.25" customHeight="1" thickBot="1">
      <c r="A22" s="572"/>
      <c r="B22" s="573"/>
      <c r="C22" s="660"/>
      <c r="D22" s="637"/>
      <c r="E22" s="573"/>
      <c r="F22" s="573"/>
      <c r="G22" s="573"/>
      <c r="H22" s="47"/>
      <c r="I22" s="47"/>
      <c r="J22" s="48"/>
      <c r="K22" s="49"/>
      <c r="L22" s="49"/>
      <c r="M22" s="699"/>
      <c r="N22" s="700"/>
    </row>
    <row r="23" spans="1:14" s="9" customFormat="1" ht="20.25" customHeight="1" thickBot="1">
      <c r="A23" s="574" t="s">
        <v>50</v>
      </c>
      <c r="B23" s="575">
        <f>B14+B19+B21</f>
        <v>217743036.35999998</v>
      </c>
      <c r="C23" s="661">
        <f>C14+C19+C21</f>
        <v>423288167.56999999</v>
      </c>
      <c r="D23" s="638">
        <f>D14+D19+D21</f>
        <v>485712161.40000004</v>
      </c>
      <c r="E23" s="575">
        <f>E14+E19+E21</f>
        <v>484354954.56</v>
      </c>
      <c r="F23" s="575">
        <f>F14+F19+F21</f>
        <v>486330907.97000015</v>
      </c>
      <c r="G23" s="575">
        <f t="shared" ref="G23:J23" si="4">G14+G19+G20+G21</f>
        <v>405812319.7299999</v>
      </c>
      <c r="H23" s="50">
        <f t="shared" si="4"/>
        <v>404921995.91000003</v>
      </c>
      <c r="I23" s="50">
        <f t="shared" si="4"/>
        <v>403754855.95660949</v>
      </c>
      <c r="J23" s="51">
        <f t="shared" si="4"/>
        <v>443319712.91375023</v>
      </c>
      <c r="K23" s="51">
        <f>K14+K19+K20+K21</f>
        <v>519784806.48000002</v>
      </c>
      <c r="L23" s="51">
        <f>L14+L19+L20+L21</f>
        <v>490053041.81000006</v>
      </c>
      <c r="M23" s="701">
        <f>M14+M19+M20+M21</f>
        <v>80791284.167999998</v>
      </c>
      <c r="N23" s="702">
        <f>N14+N19+N20+N21</f>
        <v>4845867244.8283596</v>
      </c>
    </row>
    <row r="24" spans="1:14" ht="12.75" customHeight="1" thickBot="1">
      <c r="A24" s="576"/>
      <c r="B24" s="563"/>
      <c r="C24" s="662"/>
      <c r="D24" s="639"/>
      <c r="E24" s="563"/>
      <c r="F24" s="563"/>
      <c r="G24" s="563"/>
      <c r="H24" s="52"/>
      <c r="I24" s="52"/>
      <c r="J24" s="53"/>
      <c r="K24" s="54"/>
      <c r="L24" s="54"/>
      <c r="M24" s="703"/>
      <c r="N24" s="704"/>
    </row>
    <row r="25" spans="1:14" ht="20.25" customHeight="1">
      <c r="A25" s="565" t="s">
        <v>51</v>
      </c>
      <c r="B25" s="577" t="s">
        <v>29</v>
      </c>
      <c r="C25" s="577" t="s">
        <v>30</v>
      </c>
      <c r="D25" s="577" t="s">
        <v>31</v>
      </c>
      <c r="E25" s="577" t="s">
        <v>32</v>
      </c>
      <c r="F25" s="577" t="s">
        <v>33</v>
      </c>
      <c r="G25" s="577" t="s">
        <v>34</v>
      </c>
      <c r="H25" s="55" t="s">
        <v>35</v>
      </c>
      <c r="I25" s="55" t="s">
        <v>36</v>
      </c>
      <c r="J25" s="55" t="s">
        <v>37</v>
      </c>
      <c r="K25" s="55" t="s">
        <v>38</v>
      </c>
      <c r="L25" s="55" t="s">
        <v>241</v>
      </c>
      <c r="M25" s="616" t="s">
        <v>267</v>
      </c>
      <c r="N25" s="705" t="s">
        <v>268</v>
      </c>
    </row>
    <row r="26" spans="1:14" ht="20.25" customHeight="1">
      <c r="A26" s="567" t="s">
        <v>52</v>
      </c>
      <c r="B26" s="31">
        <f t="shared" ref="B26:N26" si="5">B10</f>
        <v>235029241</v>
      </c>
      <c r="C26" s="31">
        <f t="shared" si="5"/>
        <v>424841347</v>
      </c>
      <c r="D26" s="31">
        <f t="shared" si="5"/>
        <v>472567009</v>
      </c>
      <c r="E26" s="31">
        <f t="shared" si="5"/>
        <v>440000001</v>
      </c>
      <c r="F26" s="31">
        <f t="shared" si="5"/>
        <v>474000001.26494682</v>
      </c>
      <c r="G26" s="31">
        <f t="shared" si="5"/>
        <v>368028480.29999989</v>
      </c>
      <c r="H26" s="36">
        <f t="shared" si="5"/>
        <v>399640706.40000004</v>
      </c>
      <c r="I26" s="36">
        <f t="shared" si="5"/>
        <v>396815724.52517265</v>
      </c>
      <c r="J26" s="36">
        <f t="shared" si="5"/>
        <v>436198530.19999999</v>
      </c>
      <c r="K26" s="36">
        <f>K10</f>
        <v>496274667</v>
      </c>
      <c r="L26" s="36">
        <f>L10</f>
        <v>473714766.99999988</v>
      </c>
      <c r="M26" s="706">
        <f>M10</f>
        <v>175199999</v>
      </c>
      <c r="N26" s="707">
        <f t="shared" si="5"/>
        <v>4792310473.6901188</v>
      </c>
    </row>
    <row r="27" spans="1:14" ht="20.25" customHeight="1">
      <c r="A27" s="567" t="s">
        <v>43</v>
      </c>
      <c r="B27" s="31">
        <f t="shared" ref="B27:N27" si="6">B14</f>
        <v>210977289.09999999</v>
      </c>
      <c r="C27" s="31">
        <f t="shared" si="6"/>
        <v>393465069</v>
      </c>
      <c r="D27" s="31">
        <f t="shared" si="6"/>
        <v>439803047.53000003</v>
      </c>
      <c r="E27" s="31">
        <f t="shared" si="6"/>
        <v>429283071.28000003</v>
      </c>
      <c r="F27" s="31">
        <f t="shared" si="6"/>
        <v>465570281.97000015</v>
      </c>
      <c r="G27" s="31">
        <f t="shared" si="6"/>
        <v>358897321.5999999</v>
      </c>
      <c r="H27" s="36">
        <f t="shared" si="6"/>
        <v>390829711.59000003</v>
      </c>
      <c r="I27" s="36">
        <f t="shared" si="6"/>
        <v>391335392.95660949</v>
      </c>
      <c r="J27" s="36">
        <f t="shared" si="6"/>
        <v>432700242.22375023</v>
      </c>
      <c r="K27" s="36">
        <f>K14</f>
        <v>491823438.64000005</v>
      </c>
      <c r="L27" s="36">
        <f>L14</f>
        <v>448576966.03000009</v>
      </c>
      <c r="M27" s="706">
        <f>M14</f>
        <v>80791284.167999998</v>
      </c>
      <c r="N27" s="707">
        <f t="shared" si="6"/>
        <v>4534053116.0883598</v>
      </c>
    </row>
    <row r="28" spans="1:14" ht="20.25" customHeight="1">
      <c r="A28" s="567" t="s">
        <v>46</v>
      </c>
      <c r="B28" s="676">
        <f t="shared" ref="B28:N28" si="7">B27/B26</f>
        <v>0.8976640021570762</v>
      </c>
      <c r="C28" s="676">
        <f t="shared" si="7"/>
        <v>0.92614589370464451</v>
      </c>
      <c r="D28" s="676">
        <f t="shared" si="7"/>
        <v>0.93066811511169212</v>
      </c>
      <c r="E28" s="676">
        <f t="shared" si="7"/>
        <v>0.97564334160081068</v>
      </c>
      <c r="F28" s="676">
        <f t="shared" si="7"/>
        <v>0.98221578212563165</v>
      </c>
      <c r="G28" s="676">
        <f t="shared" si="7"/>
        <v>0.97518898892673556</v>
      </c>
      <c r="H28" s="42">
        <f t="shared" si="7"/>
        <v>0.97795270934892931</v>
      </c>
      <c r="I28" s="42">
        <f t="shared" si="7"/>
        <v>0.98618922782074503</v>
      </c>
      <c r="J28" s="42">
        <f t="shared" si="7"/>
        <v>0.99198005556175128</v>
      </c>
      <c r="K28" s="42">
        <f t="shared" si="7"/>
        <v>0.99103071614171279</v>
      </c>
      <c r="L28" s="42">
        <f t="shared" si="7"/>
        <v>0.94693473220352486</v>
      </c>
      <c r="M28" s="708">
        <f t="shared" si="7"/>
        <v>0.46113746934439193</v>
      </c>
      <c r="N28" s="709">
        <f t="shared" si="7"/>
        <v>0.94611005296514128</v>
      </c>
    </row>
    <row r="29" spans="1:14" ht="20.25" customHeight="1">
      <c r="A29" s="567" t="s">
        <v>53</v>
      </c>
      <c r="B29" s="31">
        <f t="shared" ref="B29:N29" si="8">B23</f>
        <v>217743036.35999998</v>
      </c>
      <c r="C29" s="31">
        <f t="shared" si="8"/>
        <v>423288167.56999999</v>
      </c>
      <c r="D29" s="31">
        <f t="shared" si="8"/>
        <v>485712161.40000004</v>
      </c>
      <c r="E29" s="31">
        <f t="shared" si="8"/>
        <v>484354954.56</v>
      </c>
      <c r="F29" s="31">
        <f t="shared" si="8"/>
        <v>486330907.97000015</v>
      </c>
      <c r="G29" s="31">
        <f t="shared" si="8"/>
        <v>405812319.7299999</v>
      </c>
      <c r="H29" s="36">
        <f t="shared" si="8"/>
        <v>404921995.91000003</v>
      </c>
      <c r="I29" s="36">
        <f t="shared" si="8"/>
        <v>403754855.95660949</v>
      </c>
      <c r="J29" s="36">
        <f t="shared" si="8"/>
        <v>443319712.91375023</v>
      </c>
      <c r="K29" s="36">
        <f>K23</f>
        <v>519784806.48000002</v>
      </c>
      <c r="L29" s="36">
        <f>L23</f>
        <v>490053041.81000006</v>
      </c>
      <c r="M29" s="706">
        <f>M23</f>
        <v>80791284.167999998</v>
      </c>
      <c r="N29" s="707">
        <f t="shared" si="8"/>
        <v>4845867244.8283596</v>
      </c>
    </row>
    <row r="30" spans="1:14" ht="20.25" customHeight="1">
      <c r="A30" s="567" t="s">
        <v>54</v>
      </c>
      <c r="B30" s="31">
        <f t="shared" ref="B30:N30" si="9">B26-B27</f>
        <v>24051951.900000006</v>
      </c>
      <c r="C30" s="31">
        <f t="shared" si="9"/>
        <v>31376278</v>
      </c>
      <c r="D30" s="31">
        <f t="shared" si="9"/>
        <v>32763961.469999969</v>
      </c>
      <c r="E30" s="31">
        <f t="shared" si="9"/>
        <v>10716929.719999969</v>
      </c>
      <c r="F30" s="31">
        <f t="shared" si="9"/>
        <v>8429719.2949466705</v>
      </c>
      <c r="G30" s="31">
        <f t="shared" si="9"/>
        <v>9131158.6999999881</v>
      </c>
      <c r="H30" s="36">
        <f t="shared" si="9"/>
        <v>8810994.8100000024</v>
      </c>
      <c r="I30" s="36">
        <f t="shared" si="9"/>
        <v>5480331.5685631633</v>
      </c>
      <c r="J30" s="36">
        <f t="shared" si="9"/>
        <v>3498287.9762497544</v>
      </c>
      <c r="K30" s="36">
        <f>K26-K27</f>
        <v>4451228.3599999547</v>
      </c>
      <c r="L30" s="36">
        <f>L26-L27</f>
        <v>25137800.96999979</v>
      </c>
      <c r="M30" s="706">
        <f>M26-M27</f>
        <v>94408714.832000002</v>
      </c>
      <c r="N30" s="707">
        <f t="shared" si="9"/>
        <v>258257357.60175896</v>
      </c>
    </row>
    <row r="31" spans="1:14" ht="20.25" customHeight="1">
      <c r="A31" s="567" t="s">
        <v>55</v>
      </c>
      <c r="B31" s="568">
        <f t="shared" ref="B31:N31" si="10">B30/B26</f>
        <v>0.10233599784292374</v>
      </c>
      <c r="C31" s="568">
        <f t="shared" si="10"/>
        <v>7.3854106295355479E-2</v>
      </c>
      <c r="D31" s="568">
        <f t="shared" si="10"/>
        <v>6.933188488830791E-2</v>
      </c>
      <c r="E31" s="568">
        <f t="shared" si="10"/>
        <v>2.4356658399189341E-2</v>
      </c>
      <c r="F31" s="568">
        <f t="shared" si="10"/>
        <v>1.7784217874368315E-2</v>
      </c>
      <c r="G31" s="568">
        <f t="shared" si="10"/>
        <v>2.4811011073264458E-2</v>
      </c>
      <c r="H31" s="42">
        <f t="shared" si="10"/>
        <v>2.2047290651070677E-2</v>
      </c>
      <c r="I31" s="42">
        <f t="shared" si="10"/>
        <v>1.3810772179254981E-2</v>
      </c>
      <c r="J31" s="42">
        <f t="shared" si="10"/>
        <v>8.0199444382487162E-3</v>
      </c>
      <c r="K31" s="42">
        <f t="shared" si="10"/>
        <v>8.969283858287198E-3</v>
      </c>
      <c r="L31" s="42">
        <f t="shared" si="10"/>
        <v>5.306526779647508E-2</v>
      </c>
      <c r="M31" s="42">
        <f t="shared" si="10"/>
        <v>0.53886253065560807</v>
      </c>
      <c r="N31" s="43">
        <f t="shared" si="10"/>
        <v>5.3889947034858665E-2</v>
      </c>
    </row>
    <row r="32" spans="1:14" ht="53.25" customHeight="1">
      <c r="A32" s="578" t="s">
        <v>56</v>
      </c>
      <c r="B32" s="33">
        <f>YR1991_93!F65</f>
        <v>24051951.899999999</v>
      </c>
      <c r="C32" s="33">
        <f>YR1994_96!F65</f>
        <v>31376278</v>
      </c>
      <c r="D32" s="33">
        <f>YR1997_99!F65</f>
        <v>32763961.329999998</v>
      </c>
      <c r="E32" s="33">
        <f>YR2000_02!F57</f>
        <v>9811798</v>
      </c>
      <c r="F32" s="33">
        <f>YR2003_05!F57</f>
        <v>7511983.6149468021</v>
      </c>
      <c r="G32" s="33">
        <f>YR2006_08!F62</f>
        <v>5940206.3900000015</v>
      </c>
      <c r="H32" s="34">
        <f>YR2009_11!F62</f>
        <v>6211154.5499999989</v>
      </c>
      <c r="I32" s="34">
        <f>YR2012_14!F64</f>
        <v>5000737.4799999967</v>
      </c>
      <c r="J32" s="34">
        <f>YR2015_17!F63</f>
        <v>3405326.2100000009</v>
      </c>
      <c r="K32" s="34">
        <f>YR2018_20!F64</f>
        <v>4037668.3500000015</v>
      </c>
      <c r="L32" s="34">
        <f>YR2021_23!F63</f>
        <v>19838165.43</v>
      </c>
      <c r="M32" s="677">
        <f>YR2024_26!F63</f>
        <v>5677579</v>
      </c>
      <c r="N32" s="56">
        <f>SUM(B32:M32)</f>
        <v>155626810.2549468</v>
      </c>
    </row>
    <row r="33" spans="1:14" ht="27" customHeight="1" thickBot="1">
      <c r="A33" s="579" t="s">
        <v>57</v>
      </c>
      <c r="B33" s="57">
        <f t="shared" ref="B33:N33" si="11">B32/B26</f>
        <v>0.10233599784292371</v>
      </c>
      <c r="C33" s="57">
        <f t="shared" si="11"/>
        <v>7.3854106295355479E-2</v>
      </c>
      <c r="D33" s="57">
        <f t="shared" si="11"/>
        <v>6.9331884592053694E-2</v>
      </c>
      <c r="E33" s="57">
        <f t="shared" si="11"/>
        <v>2.2299540858410134E-2</v>
      </c>
      <c r="F33" s="57">
        <f t="shared" si="11"/>
        <v>1.5848066655906837E-2</v>
      </c>
      <c r="G33" s="57">
        <f t="shared" si="11"/>
        <v>1.6140616033731462E-2</v>
      </c>
      <c r="H33" s="57">
        <f t="shared" si="11"/>
        <v>1.5541846590029945E-2</v>
      </c>
      <c r="I33" s="57">
        <f t="shared" si="11"/>
        <v>1.2602165617261891E-2</v>
      </c>
      <c r="J33" s="57">
        <f>J32/J26</f>
        <v>7.8068264201592696E-3</v>
      </c>
      <c r="K33" s="57">
        <f>K32/K26</f>
        <v>8.1359549831706429E-3</v>
      </c>
      <c r="L33" s="57">
        <f>L32/L26</f>
        <v>4.1877870001042219E-2</v>
      </c>
      <c r="M33" s="57">
        <f>M32/M26</f>
        <v>3.2406273016017541E-2</v>
      </c>
      <c r="N33" s="58">
        <f t="shared" si="11"/>
        <v>3.247427542713293E-2</v>
      </c>
    </row>
    <row r="34" spans="1:14" ht="26.25" customHeight="1">
      <c r="A34" s="664" t="s">
        <v>58</v>
      </c>
      <c r="B34" s="546"/>
      <c r="C34" s="663"/>
      <c r="D34" s="546"/>
      <c r="E34" s="546"/>
      <c r="F34" s="546"/>
      <c r="G34" s="546"/>
      <c r="H34" s="59"/>
      <c r="I34" s="59"/>
      <c r="J34" s="60"/>
      <c r="K34" s="60"/>
      <c r="L34" s="60"/>
      <c r="M34" s="60"/>
      <c r="N34" s="60"/>
    </row>
    <row r="35" spans="1:14">
      <c r="A35" s="580"/>
      <c r="B35" s="580"/>
      <c r="C35" s="580"/>
      <c r="D35" s="580"/>
      <c r="E35" s="580"/>
      <c r="F35" s="580"/>
      <c r="G35" s="580"/>
    </row>
    <row r="36" spans="1:14">
      <c r="A36" s="580"/>
      <c r="B36" s="580"/>
      <c r="C36" s="580"/>
      <c r="D36" s="580"/>
      <c r="E36" s="580"/>
      <c r="F36" s="580"/>
      <c r="G36" s="580"/>
    </row>
    <row r="37" spans="1:14">
      <c r="A37" s="580"/>
      <c r="B37" s="580"/>
      <c r="C37" s="580"/>
      <c r="D37" s="580"/>
      <c r="E37" s="580"/>
      <c r="F37" s="580"/>
      <c r="G37" s="580"/>
    </row>
    <row r="38" spans="1:14">
      <c r="A38" s="580"/>
      <c r="B38" s="580"/>
      <c r="C38" s="580"/>
      <c r="D38" s="580"/>
      <c r="E38" s="580"/>
      <c r="F38" s="580"/>
      <c r="G38" s="580"/>
    </row>
    <row r="39" spans="1:14">
      <c r="A39" s="580"/>
      <c r="B39" s="580"/>
      <c r="C39" s="580"/>
      <c r="D39" s="580"/>
      <c r="E39" s="580"/>
      <c r="F39" s="580"/>
      <c r="G39" s="580"/>
    </row>
    <row r="40" spans="1:14">
      <c r="A40" s="580"/>
      <c r="B40" s="580"/>
      <c r="C40" s="580"/>
      <c r="D40" s="580"/>
      <c r="E40" s="580"/>
      <c r="F40" s="580"/>
      <c r="G40" s="580"/>
    </row>
    <row r="41" spans="1:14">
      <c r="A41" s="580"/>
      <c r="B41" s="580"/>
      <c r="C41" s="580"/>
      <c r="D41" s="580"/>
      <c r="E41" s="580"/>
      <c r="F41" s="580"/>
      <c r="G41" s="580"/>
    </row>
    <row r="42" spans="1:14">
      <c r="A42" s="580"/>
      <c r="B42" s="580"/>
      <c r="C42" s="580"/>
      <c r="D42" s="580"/>
      <c r="E42" s="580"/>
      <c r="F42" s="580"/>
      <c r="G42" s="580"/>
    </row>
    <row r="43" spans="1:14">
      <c r="A43" s="580"/>
      <c r="B43" s="580"/>
      <c r="C43" s="580"/>
      <c r="D43" s="580"/>
      <c r="E43" s="580"/>
      <c r="F43" s="580"/>
      <c r="G43" s="580"/>
    </row>
    <row r="44" spans="1:14">
      <c r="A44" s="580"/>
      <c r="B44" s="580"/>
      <c r="C44" s="580"/>
      <c r="D44" s="580"/>
      <c r="E44" s="580"/>
      <c r="F44" s="580"/>
      <c r="G44" s="580"/>
    </row>
    <row r="45" spans="1:14">
      <c r="A45" s="580"/>
      <c r="B45" s="580"/>
      <c r="C45" s="580"/>
      <c r="D45" s="580"/>
      <c r="E45" s="580"/>
      <c r="F45" s="580"/>
      <c r="G45" s="580"/>
    </row>
    <row r="46" spans="1:14">
      <c r="A46" s="580"/>
      <c r="B46" s="580"/>
      <c r="C46" s="580"/>
      <c r="D46" s="580"/>
      <c r="E46" s="580"/>
      <c r="F46" s="580"/>
      <c r="G46" s="580"/>
    </row>
    <row r="47" spans="1:14">
      <c r="A47" s="580"/>
      <c r="B47" s="580"/>
      <c r="C47" s="580"/>
      <c r="D47" s="580"/>
      <c r="E47" s="580"/>
      <c r="F47" s="580"/>
      <c r="G47" s="580"/>
    </row>
  </sheetData>
  <mergeCells count="5">
    <mergeCell ref="A5:N5"/>
    <mergeCell ref="A6:N6"/>
    <mergeCell ref="A7:N7"/>
    <mergeCell ref="A8:N8"/>
    <mergeCell ref="Q11:Q12"/>
  </mergeCells>
  <printOptions horizontalCentered="1"/>
  <pageMargins left="0.11811023622047245" right="0.11811023622047245" top="0.27559055118110237" bottom="0.19685039370078741" header="0.27559055118110237" footer="0.11811023622047245"/>
  <pageSetup scale="52" orientation="landscape"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FACE8-732C-4613-8446-30839B9EE334}">
  <dimension ref="A1:J64"/>
  <sheetViews>
    <sheetView topLeftCell="A37" workbookViewId="0">
      <selection activeCell="C60" sqref="C60:F60"/>
    </sheetView>
  </sheetViews>
  <sheetFormatPr defaultRowHeight="14.5"/>
  <cols>
    <col min="1" max="1" width="25.7265625" customWidth="1"/>
    <col min="2" max="2" width="16.453125" customWidth="1"/>
    <col min="3" max="3" width="16.26953125" customWidth="1"/>
    <col min="4" max="4" width="16.453125" customWidth="1"/>
    <col min="5" max="5" width="16.7265625" customWidth="1"/>
    <col min="6" max="6" width="16.26953125" customWidth="1"/>
    <col min="7" max="8" width="17.54296875" hidden="1" customWidth="1"/>
    <col min="10" max="10" width="13.26953125" bestFit="1" customWidth="1"/>
  </cols>
  <sheetData>
    <row r="1" spans="1:6" ht="18">
      <c r="A1" s="738"/>
      <c r="B1" s="738"/>
      <c r="C1" s="1"/>
      <c r="D1" s="1"/>
      <c r="E1" s="63"/>
      <c r="F1" s="64" t="str">
        <f>Status!C1</f>
        <v>UNEP/OzL.Pro/ExCom/94/3</v>
      </c>
    </row>
    <row r="2" spans="1:6" ht="18">
      <c r="A2" s="95"/>
      <c r="B2" s="1"/>
      <c r="C2" s="1"/>
      <c r="D2" s="1"/>
      <c r="E2" s="63"/>
      <c r="F2" s="64" t="s">
        <v>0</v>
      </c>
    </row>
    <row r="3" spans="1:6" ht="18">
      <c r="A3" s="23"/>
      <c r="B3" s="1"/>
      <c r="C3" s="1"/>
      <c r="D3" s="1"/>
      <c r="E3" s="64"/>
      <c r="F3" s="64" t="s">
        <v>156</v>
      </c>
    </row>
    <row r="4" spans="1:6" ht="15.5">
      <c r="A4" s="1"/>
      <c r="B4" s="1"/>
      <c r="C4" s="1"/>
      <c r="D4" s="1"/>
      <c r="E4" s="1"/>
      <c r="F4" s="1"/>
    </row>
    <row r="5" spans="1:6" ht="16">
      <c r="A5" s="735" t="s">
        <v>2</v>
      </c>
      <c r="B5" s="735"/>
      <c r="C5" s="735"/>
      <c r="D5" s="735"/>
      <c r="E5" s="735"/>
      <c r="F5" s="735"/>
    </row>
    <row r="6" spans="1:6" ht="15.5">
      <c r="A6" s="729" t="s">
        <v>153</v>
      </c>
      <c r="B6" s="729"/>
      <c r="C6" s="729"/>
      <c r="D6" s="729"/>
      <c r="E6" s="729"/>
      <c r="F6" s="729"/>
    </row>
    <row r="7" spans="1:6" ht="16.5" thickBot="1">
      <c r="A7" s="740" t="str">
        <f>Status!A6</f>
        <v>As at 24/05/2024</v>
      </c>
      <c r="B7" s="740"/>
      <c r="C7" s="740"/>
      <c r="D7" s="740"/>
      <c r="E7" s="740"/>
      <c r="F7" s="740"/>
    </row>
    <row r="8" spans="1:6" ht="33" customHeight="1" thickBot="1">
      <c r="A8" s="68" t="s">
        <v>60</v>
      </c>
      <c r="B8" s="154" t="s">
        <v>61</v>
      </c>
      <c r="C8" s="154" t="s">
        <v>62</v>
      </c>
      <c r="D8" s="154" t="s">
        <v>63</v>
      </c>
      <c r="E8" s="154" t="s">
        <v>64</v>
      </c>
      <c r="F8" s="155" t="s">
        <v>65</v>
      </c>
    </row>
    <row r="9" spans="1:6">
      <c r="A9" s="128" t="s">
        <v>67</v>
      </c>
      <c r="B9" s="129">
        <v>11906.51</v>
      </c>
      <c r="C9" s="129">
        <v>11906.51</v>
      </c>
      <c r="D9" s="156"/>
      <c r="E9" s="156"/>
      <c r="F9" s="157">
        <f t="shared" ref="F9:F57" si="0">B9-C9-D9-E9</f>
        <v>0</v>
      </c>
    </row>
    <row r="10" spans="1:6">
      <c r="A10" s="72" t="s">
        <v>130</v>
      </c>
      <c r="B10" s="131">
        <v>3287898.86</v>
      </c>
      <c r="C10" s="131">
        <v>3287898.86</v>
      </c>
      <c r="D10" s="158"/>
      <c r="E10" s="158"/>
      <c r="F10" s="157">
        <f t="shared" si="0"/>
        <v>0</v>
      </c>
    </row>
    <row r="11" spans="1:6">
      <c r="A11" s="74" t="s">
        <v>69</v>
      </c>
      <c r="B11" s="134">
        <v>1447491.95</v>
      </c>
      <c r="C11" s="134">
        <v>1447491.95</v>
      </c>
      <c r="D11" s="159"/>
      <c r="E11" s="159"/>
      <c r="F11" s="157">
        <f t="shared" si="0"/>
        <v>0</v>
      </c>
    </row>
    <row r="12" spans="1:6">
      <c r="A12" s="96" t="s">
        <v>70</v>
      </c>
      <c r="B12" s="134">
        <v>25513.96</v>
      </c>
      <c r="C12" s="159"/>
      <c r="D12" s="159"/>
      <c r="E12" s="159"/>
      <c r="F12" s="157">
        <f t="shared" si="0"/>
        <v>25513.96</v>
      </c>
    </row>
    <row r="13" spans="1:6">
      <c r="A13" s="74" t="s">
        <v>71</v>
      </c>
      <c r="B13" s="134">
        <v>71439.09</v>
      </c>
      <c r="C13" s="159"/>
      <c r="D13" s="159"/>
      <c r="E13" s="159"/>
      <c r="F13" s="157">
        <f t="shared" si="0"/>
        <v>71439.09</v>
      </c>
    </row>
    <row r="14" spans="1:6">
      <c r="A14" s="74" t="s">
        <v>72</v>
      </c>
      <c r="B14" s="134">
        <v>1828500.4</v>
      </c>
      <c r="C14" s="134">
        <v>1828500.4</v>
      </c>
      <c r="D14" s="159"/>
      <c r="E14" s="159"/>
      <c r="F14" s="157">
        <f t="shared" si="0"/>
        <v>0</v>
      </c>
    </row>
    <row r="15" spans="1:6">
      <c r="A15" s="74" t="s">
        <v>73</v>
      </c>
      <c r="B15" s="134">
        <v>64635.360000000001</v>
      </c>
      <c r="C15" s="134">
        <v>64635.360000000001</v>
      </c>
      <c r="D15" s="159"/>
      <c r="E15" s="159"/>
      <c r="F15" s="157">
        <f t="shared" si="0"/>
        <v>0</v>
      </c>
    </row>
    <row r="16" spans="1:6">
      <c r="A16" s="74" t="s">
        <v>131</v>
      </c>
      <c r="B16" s="134">
        <v>5454884.4500000002</v>
      </c>
      <c r="C16" s="159">
        <f>18878.29-1174+4363907.56-5650+1068799.53+10123.07</f>
        <v>5454884.4500000002</v>
      </c>
      <c r="D16" s="159"/>
      <c r="E16" s="159"/>
      <c r="F16" s="157">
        <f t="shared" si="0"/>
        <v>0</v>
      </c>
    </row>
    <row r="17" spans="1:10">
      <c r="A17" s="74" t="s">
        <v>75</v>
      </c>
      <c r="B17" s="134">
        <v>0</v>
      </c>
      <c r="C17" s="161"/>
      <c r="D17" s="159"/>
      <c r="E17" s="159"/>
      <c r="F17" s="157"/>
    </row>
    <row r="18" spans="1:10">
      <c r="A18" s="74" t="s">
        <v>76</v>
      </c>
      <c r="B18" s="134">
        <v>78242.81</v>
      </c>
      <c r="C18" s="134">
        <v>78242.81</v>
      </c>
      <c r="D18" s="159"/>
      <c r="E18" s="159"/>
      <c r="F18" s="157">
        <f t="shared" si="0"/>
        <v>0</v>
      </c>
    </row>
    <row r="19" spans="1:10">
      <c r="A19" s="74" t="s">
        <v>77</v>
      </c>
      <c r="B19" s="134">
        <v>593624.78</v>
      </c>
      <c r="C19" s="134">
        <v>593624.78</v>
      </c>
      <c r="D19" s="159"/>
      <c r="E19" s="159"/>
      <c r="F19" s="157">
        <f t="shared" si="0"/>
        <v>0</v>
      </c>
    </row>
    <row r="20" spans="1:10">
      <c r="A20" s="74" t="s">
        <v>78</v>
      </c>
      <c r="B20" s="134">
        <v>1251884.93</v>
      </c>
      <c r="C20" s="134">
        <v>1251884.93</v>
      </c>
      <c r="D20" s="159"/>
      <c r="E20" s="159"/>
      <c r="F20" s="157">
        <f t="shared" si="0"/>
        <v>0</v>
      </c>
    </row>
    <row r="21" spans="1:10">
      <c r="A21" s="74" t="s">
        <v>79</v>
      </c>
      <c r="B21" s="134">
        <v>68037.22</v>
      </c>
      <c r="C21" s="134">
        <v>68037.22</v>
      </c>
      <c r="D21" s="159"/>
      <c r="E21" s="159"/>
      <c r="F21" s="157">
        <f t="shared" si="0"/>
        <v>0</v>
      </c>
    </row>
    <row r="22" spans="1:10">
      <c r="A22" s="74" t="s">
        <v>80</v>
      </c>
      <c r="B22" s="134">
        <v>962726.72</v>
      </c>
      <c r="C22" s="134">
        <v>962726.72</v>
      </c>
      <c r="D22" s="159"/>
      <c r="E22" s="159"/>
      <c r="F22" s="157">
        <f t="shared" si="0"/>
        <v>0</v>
      </c>
    </row>
    <row r="23" spans="1:10">
      <c r="A23" s="74" t="s">
        <v>132</v>
      </c>
      <c r="B23" s="134">
        <v>10414798.1</v>
      </c>
      <c r="C23" s="159">
        <v>10324398</v>
      </c>
      <c r="D23" s="159">
        <v>90400</v>
      </c>
      <c r="E23" s="159"/>
      <c r="F23" s="157">
        <f t="shared" si="0"/>
        <v>9.999999962747097E-2</v>
      </c>
    </row>
    <row r="24" spans="1:10">
      <c r="A24" s="74" t="s">
        <v>133</v>
      </c>
      <c r="B24" s="134">
        <v>13638061.59</v>
      </c>
      <c r="C24" s="159">
        <f>2273010.27+2273010.27+2273010.27+2273010.27+2273010.27+2273010.26+220792</f>
        <v>13858853.609999999</v>
      </c>
      <c r="D24" s="159">
        <f>2328695+438036-220792</f>
        <v>2545939</v>
      </c>
      <c r="E24" s="133"/>
      <c r="F24" s="157">
        <f t="shared" si="0"/>
        <v>-2766731.0199999996</v>
      </c>
      <c r="G24" s="112">
        <f>F24*0.7203</f>
        <v>-1992876.3537059999</v>
      </c>
      <c r="J24" s="178"/>
    </row>
    <row r="25" spans="1:10">
      <c r="A25" s="74" t="s">
        <v>83</v>
      </c>
      <c r="B25" s="134">
        <v>1175343.05</v>
      </c>
      <c r="C25" s="159">
        <v>1175343</v>
      </c>
      <c r="D25" s="159"/>
      <c r="E25" s="159"/>
      <c r="F25" s="157">
        <f t="shared" si="0"/>
        <v>5.0000000046566129E-2</v>
      </c>
    </row>
    <row r="26" spans="1:10">
      <c r="A26" s="74" t="s">
        <v>84</v>
      </c>
      <c r="B26" s="134">
        <v>1700.93</v>
      </c>
      <c r="C26" s="134">
        <v>1700.93</v>
      </c>
      <c r="D26" s="159"/>
      <c r="E26" s="159"/>
      <c r="F26" s="157">
        <f t="shared" si="0"/>
        <v>0</v>
      </c>
    </row>
    <row r="27" spans="1:10">
      <c r="A27" s="74" t="s">
        <v>85</v>
      </c>
      <c r="B27" s="134">
        <v>494970.81</v>
      </c>
      <c r="C27" s="134">
        <v>494970.81</v>
      </c>
      <c r="D27" s="159"/>
      <c r="E27" s="159"/>
      <c r="F27" s="157">
        <f t="shared" si="0"/>
        <v>0</v>
      </c>
    </row>
    <row r="28" spans="1:10">
      <c r="A28" s="74" t="s">
        <v>86</v>
      </c>
      <c r="B28" s="134">
        <v>71439.09</v>
      </c>
      <c r="C28" s="134">
        <v>71439.09</v>
      </c>
      <c r="D28" s="159"/>
      <c r="E28" s="159"/>
      <c r="F28" s="157">
        <f t="shared" si="0"/>
        <v>0</v>
      </c>
    </row>
    <row r="29" spans="1:10">
      <c r="A29" s="74" t="s">
        <v>134</v>
      </c>
      <c r="B29" s="134">
        <v>847063.44</v>
      </c>
      <c r="C29" s="134">
        <v>847063.44</v>
      </c>
      <c r="D29" s="159"/>
      <c r="E29" s="159"/>
      <c r="F29" s="157">
        <f t="shared" si="0"/>
        <v>0</v>
      </c>
    </row>
    <row r="30" spans="1:10">
      <c r="A30" s="74" t="s">
        <v>88</v>
      </c>
      <c r="B30" s="134">
        <v>653157.35</v>
      </c>
      <c r="C30" s="159"/>
      <c r="D30" s="159"/>
      <c r="E30" s="159"/>
      <c r="F30" s="157">
        <f t="shared" si="0"/>
        <v>653157.35</v>
      </c>
    </row>
    <row r="31" spans="1:10">
      <c r="A31" s="74" t="s">
        <v>89</v>
      </c>
      <c r="B31" s="134">
        <v>8502952.0999999996</v>
      </c>
      <c r="C31" s="159">
        <f>3260612.78+3105975.89+2136363</f>
        <v>8502951.6699999999</v>
      </c>
      <c r="D31" s="159"/>
      <c r="E31" s="159"/>
      <c r="F31" s="157">
        <f t="shared" si="0"/>
        <v>0.42999999970197678</v>
      </c>
    </row>
    <row r="32" spans="1:10">
      <c r="A32" s="74" t="s">
        <v>135</v>
      </c>
      <c r="B32" s="134">
        <v>21312660.48</v>
      </c>
      <c r="C32" s="134">
        <f>14264339.52+7048320.96</f>
        <v>21312660.48</v>
      </c>
      <c r="D32" s="159"/>
      <c r="E32" s="159"/>
      <c r="F32" s="157">
        <f t="shared" si="0"/>
        <v>0</v>
      </c>
    </row>
    <row r="33" spans="1:10">
      <c r="A33" s="74" t="s">
        <v>91</v>
      </c>
      <c r="B33" s="179">
        <v>0</v>
      </c>
      <c r="C33" s="73">
        <v>0</v>
      </c>
      <c r="D33" s="159"/>
      <c r="E33" s="159"/>
      <c r="F33" s="157">
        <f t="shared" si="0"/>
        <v>0</v>
      </c>
      <c r="H33" s="112"/>
      <c r="I33" s="112"/>
    </row>
    <row r="34" spans="1:10">
      <c r="A34" s="74" t="s">
        <v>93</v>
      </c>
      <c r="B34" s="134">
        <v>64635.360000000001</v>
      </c>
      <c r="C34" s="134">
        <v>64635.360000000001</v>
      </c>
      <c r="D34" s="159"/>
      <c r="E34" s="159"/>
      <c r="F34" s="157">
        <f t="shared" si="0"/>
        <v>0</v>
      </c>
    </row>
    <row r="35" spans="1:10">
      <c r="A35" s="74" t="s">
        <v>94</v>
      </c>
      <c r="B35" s="134">
        <v>15308.38</v>
      </c>
      <c r="C35" s="134">
        <v>15308.38</v>
      </c>
      <c r="D35" s="159"/>
      <c r="E35" s="159"/>
      <c r="F35" s="157">
        <f t="shared" si="0"/>
        <v>0</v>
      </c>
    </row>
    <row r="36" spans="1:10">
      <c r="A36" s="74" t="s">
        <v>95</v>
      </c>
      <c r="B36" s="134">
        <v>110560.49</v>
      </c>
      <c r="C36" s="159">
        <v>110560</v>
      </c>
      <c r="D36" s="159"/>
      <c r="E36" s="159"/>
      <c r="F36" s="157">
        <f t="shared" si="0"/>
        <v>0.49000000000523869</v>
      </c>
    </row>
    <row r="37" spans="1:10">
      <c r="A37" s="74" t="s">
        <v>96</v>
      </c>
      <c r="B37" s="134">
        <v>153083.75</v>
      </c>
      <c r="C37" s="134">
        <v>153083.75</v>
      </c>
      <c r="D37" s="159"/>
      <c r="E37" s="159"/>
      <c r="F37" s="157">
        <f t="shared" si="0"/>
        <v>0</v>
      </c>
    </row>
    <row r="38" spans="1:10">
      <c r="A38" s="74" t="s">
        <v>97</v>
      </c>
      <c r="B38" s="134">
        <v>28915.82</v>
      </c>
      <c r="C38" s="134">
        <v>28915.82</v>
      </c>
      <c r="D38" s="159"/>
      <c r="E38" s="159"/>
      <c r="F38" s="157">
        <f t="shared" si="0"/>
        <v>0</v>
      </c>
      <c r="J38" s="112"/>
    </row>
    <row r="39" spans="1:10">
      <c r="A39" s="74" t="s">
        <v>98</v>
      </c>
      <c r="B39" s="134">
        <v>5102.79</v>
      </c>
      <c r="C39" s="134">
        <v>5102.79</v>
      </c>
      <c r="D39" s="159"/>
      <c r="E39" s="159"/>
      <c r="F39" s="157">
        <f t="shared" si="0"/>
        <v>0</v>
      </c>
    </row>
    <row r="40" spans="1:10">
      <c r="A40" s="74" t="s">
        <v>99</v>
      </c>
      <c r="B40" s="134">
        <v>3155226.27</v>
      </c>
      <c r="C40" s="134">
        <v>3155226.27</v>
      </c>
      <c r="D40" s="159"/>
      <c r="E40" s="159"/>
      <c r="F40" s="157">
        <f t="shared" si="0"/>
        <v>0</v>
      </c>
    </row>
    <row r="41" spans="1:10">
      <c r="A41" s="74" t="s">
        <v>100</v>
      </c>
      <c r="B41" s="134">
        <v>464354.06</v>
      </c>
      <c r="C41" s="134">
        <v>464354.06</v>
      </c>
      <c r="D41" s="159"/>
      <c r="E41" s="159"/>
      <c r="F41" s="157">
        <f t="shared" si="0"/>
        <v>0</v>
      </c>
    </row>
    <row r="42" spans="1:10">
      <c r="A42" s="74" t="s">
        <v>101</v>
      </c>
      <c r="B42" s="134">
        <v>1481510.56</v>
      </c>
      <c r="C42" s="134">
        <v>1481510.56</v>
      </c>
      <c r="D42" s="159"/>
      <c r="E42" s="159"/>
      <c r="F42" s="157">
        <f t="shared" si="0"/>
        <v>0</v>
      </c>
    </row>
    <row r="43" spans="1:10">
      <c r="A43" s="74" t="s">
        <v>103</v>
      </c>
      <c r="B43" s="134">
        <v>1408370.54</v>
      </c>
      <c r="C43" s="134">
        <v>1408370.54</v>
      </c>
      <c r="D43" s="159"/>
      <c r="E43" s="159"/>
      <c r="F43" s="157">
        <f t="shared" si="0"/>
        <v>0</v>
      </c>
    </row>
    <row r="44" spans="1:10">
      <c r="A44" s="74" t="s">
        <v>104</v>
      </c>
      <c r="B44" s="134">
        <v>869175.54</v>
      </c>
      <c r="C44" s="134">
        <v>869176</v>
      </c>
      <c r="D44" s="159"/>
      <c r="E44" s="159"/>
      <c r="F44" s="157">
        <f t="shared" si="0"/>
        <v>-0.4599999999627471</v>
      </c>
    </row>
    <row r="45" spans="1:10">
      <c r="A45" s="74" t="s">
        <v>105</v>
      </c>
      <c r="B45" s="134">
        <v>301064.71999999997</v>
      </c>
      <c r="C45" s="134">
        <v>301064.71999999997</v>
      </c>
      <c r="D45" s="159"/>
      <c r="E45" s="159"/>
      <c r="F45" s="157">
        <f t="shared" si="0"/>
        <v>0</v>
      </c>
    </row>
    <row r="46" spans="1:10">
      <c r="A46" s="74" t="s">
        <v>106</v>
      </c>
      <c r="B46" s="134">
        <v>2724890.83</v>
      </c>
      <c r="C46" s="134">
        <v>2724890.83</v>
      </c>
      <c r="D46" s="159"/>
      <c r="E46" s="159"/>
      <c r="F46" s="157">
        <f t="shared" si="0"/>
        <v>0</v>
      </c>
    </row>
    <row r="47" spans="1:10">
      <c r="A47" s="72" t="s">
        <v>107</v>
      </c>
      <c r="B47" s="134">
        <v>5102.79</v>
      </c>
      <c r="C47" s="134">
        <v>5102.79</v>
      </c>
      <c r="D47" s="159"/>
      <c r="E47" s="159"/>
      <c r="F47" s="157">
        <f t="shared" si="0"/>
        <v>0</v>
      </c>
    </row>
    <row r="48" spans="1:10">
      <c r="A48" s="72" t="s">
        <v>109</v>
      </c>
      <c r="B48" s="134">
        <v>241532.15</v>
      </c>
      <c r="C48" s="134">
        <v>241532.15</v>
      </c>
      <c r="D48" s="159"/>
      <c r="E48" s="159"/>
      <c r="F48" s="157">
        <f t="shared" si="0"/>
        <v>0</v>
      </c>
    </row>
    <row r="49" spans="1:8">
      <c r="A49" s="74" t="s">
        <v>110</v>
      </c>
      <c r="B49" s="134">
        <v>175195.85</v>
      </c>
      <c r="C49" s="134">
        <v>175195.85</v>
      </c>
      <c r="D49" s="159"/>
      <c r="E49" s="159"/>
      <c r="F49" s="157">
        <f t="shared" si="0"/>
        <v>0</v>
      </c>
    </row>
    <row r="50" spans="1:8">
      <c r="A50" s="74" t="s">
        <v>112</v>
      </c>
      <c r="B50" s="134">
        <v>5403856.5300000003</v>
      </c>
      <c r="C50" s="134">
        <v>5403856.5300000003</v>
      </c>
      <c r="D50" s="159"/>
      <c r="E50" s="159"/>
      <c r="F50" s="157">
        <f t="shared" si="0"/>
        <v>0</v>
      </c>
    </row>
    <row r="51" spans="1:8">
      <c r="A51" s="74" t="s">
        <v>136</v>
      </c>
      <c r="B51" s="134">
        <v>1809790.16</v>
      </c>
      <c r="C51" s="134">
        <v>1809790.16</v>
      </c>
      <c r="D51" s="159"/>
      <c r="E51" s="159"/>
      <c r="F51" s="157">
        <f t="shared" si="0"/>
        <v>0</v>
      </c>
    </row>
    <row r="52" spans="1:8">
      <c r="A52" s="74" t="s">
        <v>114</v>
      </c>
      <c r="B52" s="134">
        <v>1922051.58</v>
      </c>
      <c r="C52" s="134">
        <v>1922051.58</v>
      </c>
      <c r="D52" s="159"/>
      <c r="E52" s="159"/>
      <c r="F52" s="157">
        <f t="shared" si="0"/>
        <v>0</v>
      </c>
    </row>
    <row r="53" spans="1:8">
      <c r="A53" s="74" t="s">
        <v>115</v>
      </c>
      <c r="B53" s="134">
        <v>3401.86</v>
      </c>
      <c r="C53" s="159"/>
      <c r="D53" s="159"/>
      <c r="E53" s="159"/>
      <c r="F53" s="157">
        <f t="shared" si="0"/>
        <v>3401.86</v>
      </c>
    </row>
    <row r="54" spans="1:8">
      <c r="A54" s="74" t="s">
        <v>117</v>
      </c>
      <c r="B54" s="134">
        <v>147980.96</v>
      </c>
      <c r="C54" s="159"/>
      <c r="D54" s="159"/>
      <c r="E54" s="159"/>
      <c r="F54" s="157">
        <f t="shared" si="0"/>
        <v>147980.96</v>
      </c>
    </row>
    <row r="55" spans="1:8">
      <c r="A55" s="74" t="s">
        <v>119</v>
      </c>
      <c r="B55" s="134">
        <v>11232945.720000001</v>
      </c>
      <c r="C55" s="134">
        <v>11232945.720000001</v>
      </c>
      <c r="D55" s="159"/>
      <c r="E55" s="134"/>
      <c r="F55" s="157">
        <f t="shared" si="0"/>
        <v>0</v>
      </c>
      <c r="G55" s="112">
        <v>29333333</v>
      </c>
    </row>
    <row r="56" spans="1:8">
      <c r="A56" s="74" t="s">
        <v>120</v>
      </c>
      <c r="B56" s="134">
        <f>29333333.33-913526-332185+276701</f>
        <v>28364323.329999998</v>
      </c>
      <c r="C56" s="159">
        <f>4250000+1514000+23000000-399677</f>
        <v>28364323</v>
      </c>
      <c r="D56" s="159"/>
      <c r="E56" s="159"/>
      <c r="F56" s="157">
        <f t="shared" si="0"/>
        <v>0.32999999821186066</v>
      </c>
      <c r="G56" s="112">
        <v>-913526</v>
      </c>
    </row>
    <row r="57" spans="1:8" ht="15" thickBot="1">
      <c r="A57" s="77" t="s">
        <v>121</v>
      </c>
      <c r="B57" s="134">
        <v>17009.310000000001</v>
      </c>
      <c r="C57" s="164"/>
      <c r="D57" s="165"/>
      <c r="E57" s="166"/>
      <c r="F57" s="157">
        <f t="shared" si="0"/>
        <v>17009.310000000001</v>
      </c>
      <c r="G57" s="112">
        <v>-332185</v>
      </c>
      <c r="H57" s="112">
        <f>SUM(G56:G57)</f>
        <v>-1245711</v>
      </c>
    </row>
    <row r="58" spans="1:8" ht="15" thickBot="1">
      <c r="A58" s="180" t="s">
        <v>124</v>
      </c>
      <c r="B58" s="181">
        <f>SUM(B9:B57)</f>
        <v>132364323.33</v>
      </c>
      <c r="C58" s="182">
        <f>SUM(C9:C57)</f>
        <v>131576211.88000001</v>
      </c>
      <c r="D58" s="183">
        <f>SUM(D9:D57)</f>
        <v>2636339</v>
      </c>
      <c r="E58" s="184"/>
      <c r="F58" s="185">
        <f>SUM(F9:F57)</f>
        <v>-1848227.5500000021</v>
      </c>
      <c r="G58" s="112">
        <v>276701</v>
      </c>
      <c r="H58">
        <v>1509933</v>
      </c>
    </row>
    <row r="59" spans="1:8" ht="15" thickBot="1">
      <c r="A59" s="97" t="s">
        <v>137</v>
      </c>
      <c r="B59" s="169">
        <f>913526+332185-276701</f>
        <v>969010</v>
      </c>
      <c r="C59" s="169"/>
      <c r="D59" s="169"/>
      <c r="E59" s="169"/>
      <c r="F59" s="170">
        <f>B59-C59-D59-E59</f>
        <v>969010</v>
      </c>
      <c r="G59" s="186">
        <f>SUM(G55:G58)</f>
        <v>28364323</v>
      </c>
    </row>
    <row r="60" spans="1:8" ht="15" thickBot="1">
      <c r="A60" s="98" t="s">
        <v>138</v>
      </c>
      <c r="B60" s="187">
        <f>B58+B59</f>
        <v>133333333.33</v>
      </c>
      <c r="C60" s="187">
        <f>C58+C59</f>
        <v>131576211.88000001</v>
      </c>
      <c r="D60" s="187">
        <f>D58+D59</f>
        <v>2636339</v>
      </c>
      <c r="E60" s="187"/>
      <c r="F60" s="188">
        <f>F58+F59</f>
        <v>-879217.55000000214</v>
      </c>
    </row>
    <row r="61" spans="1:8">
      <c r="A61" s="115" t="s">
        <v>141</v>
      </c>
      <c r="B61" s="110"/>
      <c r="C61" s="110"/>
      <c r="D61" s="110"/>
      <c r="E61" s="110"/>
      <c r="F61" s="110"/>
      <c r="G61" s="112">
        <f>G55-G59</f>
        <v>969010</v>
      </c>
    </row>
    <row r="62" spans="1:8">
      <c r="A62" s="116"/>
      <c r="B62" s="116"/>
      <c r="C62" s="116"/>
      <c r="D62" s="116"/>
      <c r="E62" s="116"/>
      <c r="F62" s="116"/>
    </row>
    <row r="63" spans="1:8" ht="15" thickBot="1">
      <c r="A63" s="110"/>
      <c r="B63" s="110"/>
      <c r="C63" s="110"/>
      <c r="D63" s="110"/>
      <c r="E63" s="110"/>
      <c r="F63" s="110"/>
    </row>
    <row r="64" spans="1:8" ht="15" thickBot="1">
      <c r="A64" s="102" t="s">
        <v>139</v>
      </c>
      <c r="B64" s="189">
        <f>B12+B13+B15+B19+B21+B27+B34+B36+B43+B46+B48+B49+B53+B54+B57</f>
        <v>6211798.5700000003</v>
      </c>
      <c r="C64" s="189">
        <f>C12+C13+C15+C19+C21+C26+C34+C36+C43+C46+C48+C49+C53+C54+C57</f>
        <v>5453183.0199999996</v>
      </c>
      <c r="D64" s="189">
        <f>D12+D13+D15+D19+D21+D26+D34+D36+D43+D46+D48+D49+D53+D54+D57</f>
        <v>0</v>
      </c>
      <c r="E64" s="189">
        <f>E12+E13+E15+E19+E21+E26+E34+E36+E43+E46+E48+E49+E53+E54+E57</f>
        <v>0</v>
      </c>
      <c r="F64" s="190">
        <f>B64-C64-D64-E64</f>
        <v>758615.55000000075</v>
      </c>
    </row>
  </sheetData>
  <mergeCells count="4">
    <mergeCell ref="A1:B1"/>
    <mergeCell ref="A5:F5"/>
    <mergeCell ref="A6:F6"/>
    <mergeCell ref="A7:F7"/>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03AC4-D329-4DE7-8BBE-472CDD901399}">
  <dimension ref="A1:I66"/>
  <sheetViews>
    <sheetView topLeftCell="A34" workbookViewId="0">
      <selection activeCell="C60" sqref="C60:F60"/>
    </sheetView>
  </sheetViews>
  <sheetFormatPr defaultRowHeight="14.5"/>
  <cols>
    <col min="1" max="1" width="23.26953125" customWidth="1"/>
    <col min="2" max="2" width="15.54296875" customWidth="1"/>
    <col min="3" max="3" width="15.453125" customWidth="1"/>
    <col min="4" max="4" width="16" customWidth="1"/>
    <col min="5" max="5" width="12.7265625" customWidth="1"/>
    <col min="6" max="6" width="17.26953125" customWidth="1"/>
    <col min="7" max="7" width="17.54296875" hidden="1" customWidth="1"/>
  </cols>
  <sheetData>
    <row r="1" spans="1:6" ht="15.5">
      <c r="A1" s="744" t="str">
        <f>Status!C1</f>
        <v>UNEP/OzL.Pro/ExCom/94/3</v>
      </c>
      <c r="B1" s="744"/>
      <c r="C1" s="1"/>
      <c r="D1" s="1"/>
      <c r="E1" s="1"/>
      <c r="F1" s="1"/>
    </row>
    <row r="2" spans="1:6" ht="15.5">
      <c r="A2" s="191" t="s">
        <v>0</v>
      </c>
      <c r="B2" s="1"/>
      <c r="C2" s="1"/>
      <c r="D2" s="1"/>
      <c r="E2" s="1"/>
      <c r="F2" s="1"/>
    </row>
    <row r="3" spans="1:6" ht="15.5">
      <c r="A3" s="22" t="s">
        <v>158</v>
      </c>
      <c r="B3" s="1"/>
      <c r="C3" s="1"/>
      <c r="D3" s="1"/>
      <c r="E3" s="1"/>
      <c r="F3" s="1"/>
    </row>
    <row r="4" spans="1:6" ht="15.5">
      <c r="A4" s="1"/>
      <c r="B4" s="1"/>
      <c r="C4" s="1"/>
      <c r="D4" s="1"/>
      <c r="E4" s="1"/>
      <c r="F4" s="1"/>
    </row>
    <row r="5" spans="1:6" ht="16">
      <c r="A5" s="735" t="s">
        <v>2</v>
      </c>
      <c r="B5" s="735"/>
      <c r="C5" s="735"/>
      <c r="D5" s="735"/>
      <c r="E5" s="735"/>
      <c r="F5" s="735"/>
    </row>
    <row r="6" spans="1:6" ht="15.5">
      <c r="A6" s="729" t="s">
        <v>155</v>
      </c>
      <c r="B6" s="729"/>
      <c r="C6" s="729"/>
      <c r="D6" s="729"/>
      <c r="E6" s="729"/>
      <c r="F6" s="729"/>
    </row>
    <row r="7" spans="1:6" ht="16.5" thickBot="1">
      <c r="A7" s="740" t="str">
        <f>Status!A6</f>
        <v>As at 24/05/2024</v>
      </c>
      <c r="B7" s="740"/>
      <c r="C7" s="740"/>
      <c r="D7" s="740"/>
      <c r="E7" s="740"/>
      <c r="F7" s="740"/>
    </row>
    <row r="8" spans="1:6" ht="33" customHeight="1" thickBot="1">
      <c r="A8" s="68" t="s">
        <v>60</v>
      </c>
      <c r="B8" s="154" t="s">
        <v>61</v>
      </c>
      <c r="C8" s="154" t="s">
        <v>62</v>
      </c>
      <c r="D8" s="154" t="s">
        <v>63</v>
      </c>
      <c r="E8" s="154" t="s">
        <v>64</v>
      </c>
      <c r="F8" s="155" t="s">
        <v>65</v>
      </c>
    </row>
    <row r="9" spans="1:6">
      <c r="A9" s="128" t="s">
        <v>67</v>
      </c>
      <c r="B9" s="129">
        <v>11906.51</v>
      </c>
      <c r="C9" s="129">
        <v>11973.51</v>
      </c>
      <c r="D9" s="156"/>
      <c r="E9" s="156"/>
      <c r="F9" s="157">
        <f t="shared" ref="F9:F57" si="0">B9-C9-D9-E9</f>
        <v>-67</v>
      </c>
    </row>
    <row r="10" spans="1:6">
      <c r="A10" s="72" t="s">
        <v>130</v>
      </c>
      <c r="B10" s="131">
        <v>3287898.86</v>
      </c>
      <c r="C10" s="131">
        <f>3284796.48+3102.38</f>
        <v>3287898.86</v>
      </c>
      <c r="D10" s="158"/>
      <c r="E10" s="158"/>
      <c r="F10" s="157">
        <f t="shared" si="0"/>
        <v>0</v>
      </c>
    </row>
    <row r="11" spans="1:6">
      <c r="A11" s="74" t="s">
        <v>69</v>
      </c>
      <c r="B11" s="133">
        <v>1447491.95</v>
      </c>
      <c r="C11" s="133">
        <f>930167.99+517323.96</f>
        <v>1447491.95</v>
      </c>
      <c r="D11" s="159"/>
      <c r="E11" s="159"/>
      <c r="F11" s="157">
        <f t="shared" si="0"/>
        <v>0</v>
      </c>
    </row>
    <row r="12" spans="1:6">
      <c r="A12" s="96" t="s">
        <v>70</v>
      </c>
      <c r="B12" s="133">
        <v>25513.96</v>
      </c>
      <c r="C12" s="159"/>
      <c r="D12" s="159"/>
      <c r="E12" s="159"/>
      <c r="F12" s="157">
        <f t="shared" si="0"/>
        <v>25513.96</v>
      </c>
    </row>
    <row r="13" spans="1:6">
      <c r="A13" s="74" t="s">
        <v>71</v>
      </c>
      <c r="B13" s="133">
        <v>71439.09</v>
      </c>
      <c r="C13" s="159"/>
      <c r="D13" s="159"/>
      <c r="E13" s="159"/>
      <c r="F13" s="157">
        <f t="shared" si="0"/>
        <v>71439.09</v>
      </c>
    </row>
    <row r="14" spans="1:6">
      <c r="A14" s="74" t="s">
        <v>72</v>
      </c>
      <c r="B14" s="133">
        <v>1828500.4</v>
      </c>
      <c r="C14" s="133">
        <v>1828500.4</v>
      </c>
      <c r="D14" s="159"/>
      <c r="E14" s="159"/>
      <c r="F14" s="157">
        <f t="shared" si="0"/>
        <v>0</v>
      </c>
    </row>
    <row r="15" spans="1:6">
      <c r="A15" s="74" t="s">
        <v>73</v>
      </c>
      <c r="B15" s="133">
        <v>64635.360000000001</v>
      </c>
      <c r="C15" s="133">
        <v>64635.360000000001</v>
      </c>
      <c r="D15" s="159"/>
      <c r="E15" s="159"/>
      <c r="F15" s="157">
        <f t="shared" si="0"/>
        <v>0</v>
      </c>
    </row>
    <row r="16" spans="1:6">
      <c r="A16" s="74" t="s">
        <v>131</v>
      </c>
      <c r="B16" s="133">
        <v>5454884.4500000002</v>
      </c>
      <c r="C16" s="159">
        <f>4363907.56+1090976.89</f>
        <v>5454884.4499999993</v>
      </c>
      <c r="D16" s="159"/>
      <c r="E16" s="159"/>
      <c r="F16" s="157">
        <f t="shared" si="0"/>
        <v>9.3132257461547852E-10</v>
      </c>
    </row>
    <row r="17" spans="1:7">
      <c r="A17" s="74" t="s">
        <v>75</v>
      </c>
      <c r="B17" s="133">
        <v>0</v>
      </c>
      <c r="C17" s="161"/>
      <c r="D17" s="159"/>
      <c r="E17" s="159"/>
      <c r="F17" s="157"/>
    </row>
    <row r="18" spans="1:7">
      <c r="A18" s="74" t="s">
        <v>76</v>
      </c>
      <c r="B18" s="133">
        <v>78242.81</v>
      </c>
      <c r="C18" s="133">
        <v>78242.81</v>
      </c>
      <c r="D18" s="159"/>
      <c r="E18" s="159"/>
      <c r="F18" s="157">
        <f t="shared" si="0"/>
        <v>0</v>
      </c>
    </row>
    <row r="19" spans="1:7">
      <c r="A19" s="74" t="s">
        <v>77</v>
      </c>
      <c r="B19" s="133">
        <v>593624.78</v>
      </c>
      <c r="C19" s="133">
        <f>559593.99+34030.79</f>
        <v>593624.78</v>
      </c>
      <c r="D19" s="159"/>
      <c r="E19" s="159"/>
      <c r="F19" s="157">
        <f t="shared" si="0"/>
        <v>0</v>
      </c>
    </row>
    <row r="20" spans="1:7">
      <c r="A20" s="74" t="s">
        <v>78</v>
      </c>
      <c r="B20" s="133">
        <v>1251884.93</v>
      </c>
      <c r="C20" s="133">
        <v>1251884.93</v>
      </c>
      <c r="D20" s="159"/>
      <c r="E20" s="159"/>
      <c r="F20" s="157">
        <f t="shared" si="0"/>
        <v>0</v>
      </c>
    </row>
    <row r="21" spans="1:7">
      <c r="A21" s="74" t="s">
        <v>79</v>
      </c>
      <c r="B21" s="133">
        <v>68037.22</v>
      </c>
      <c r="C21" s="133">
        <v>68037.22</v>
      </c>
      <c r="D21" s="159"/>
      <c r="E21" s="159"/>
      <c r="F21" s="157">
        <f t="shared" si="0"/>
        <v>0</v>
      </c>
    </row>
    <row r="22" spans="1:7">
      <c r="A22" s="74" t="s">
        <v>80</v>
      </c>
      <c r="B22" s="133">
        <v>962726.72</v>
      </c>
      <c r="C22" s="133">
        <v>962726.72</v>
      </c>
      <c r="D22" s="159"/>
      <c r="E22" s="159"/>
      <c r="F22" s="157">
        <f t="shared" si="0"/>
        <v>0</v>
      </c>
    </row>
    <row r="23" spans="1:7" ht="15.75" customHeight="1">
      <c r="A23" s="74" t="s">
        <v>132</v>
      </c>
      <c r="B23" s="133">
        <v>10414798.1</v>
      </c>
      <c r="C23" s="159">
        <f>10126112+14179</f>
        <v>10140291</v>
      </c>
      <c r="D23" s="159">
        <f>288686-14179</f>
        <v>274507</v>
      </c>
      <c r="E23" s="159"/>
      <c r="F23" s="157">
        <f t="shared" si="0"/>
        <v>9.999999962747097E-2</v>
      </c>
    </row>
    <row r="24" spans="1:7">
      <c r="A24" s="74" t="s">
        <v>133</v>
      </c>
      <c r="B24" s="133">
        <v>13638061.59</v>
      </c>
      <c r="C24" s="159">
        <f>2273010.27+2273010.26+2273010.27+2273010.27+2273010.27+2273010.27-1859182</f>
        <v>11778879.609999998</v>
      </c>
      <c r="D24" s="159">
        <f>1501405+1226207+1859182</f>
        <v>4586794</v>
      </c>
      <c r="E24" s="133"/>
      <c r="F24" s="157">
        <f t="shared" si="0"/>
        <v>-2727612.0199999977</v>
      </c>
      <c r="G24" s="112">
        <f>F24*0.7203</f>
        <v>-1964698.9380059985</v>
      </c>
    </row>
    <row r="25" spans="1:7">
      <c r="A25" s="74" t="s">
        <v>83</v>
      </c>
      <c r="B25" s="133">
        <v>1175343.05</v>
      </c>
      <c r="C25" s="159">
        <f>80000+200000+300000+595343</f>
        <v>1175343</v>
      </c>
      <c r="D25" s="159"/>
      <c r="E25" s="159"/>
      <c r="F25" s="157">
        <f t="shared" si="0"/>
        <v>5.0000000046566129E-2</v>
      </c>
    </row>
    <row r="26" spans="1:7">
      <c r="A26" s="74" t="s">
        <v>84</v>
      </c>
      <c r="B26" s="133">
        <v>1700.93</v>
      </c>
      <c r="C26" s="133">
        <v>1700.93</v>
      </c>
      <c r="D26" s="159"/>
      <c r="E26" s="159"/>
      <c r="F26" s="157">
        <f t="shared" si="0"/>
        <v>0</v>
      </c>
    </row>
    <row r="27" spans="1:7">
      <c r="A27" s="74" t="s">
        <v>85</v>
      </c>
      <c r="B27" s="133">
        <v>494970.81</v>
      </c>
      <c r="C27" s="133">
        <v>494970.81</v>
      </c>
      <c r="D27" s="159"/>
      <c r="E27" s="159"/>
      <c r="F27" s="157">
        <f t="shared" si="0"/>
        <v>0</v>
      </c>
    </row>
    <row r="28" spans="1:7">
      <c r="A28" s="74" t="s">
        <v>86</v>
      </c>
      <c r="B28" s="133">
        <v>71439.09</v>
      </c>
      <c r="C28" s="133">
        <f>35864.25+35574.83</f>
        <v>71439.08</v>
      </c>
      <c r="D28" s="159"/>
      <c r="E28" s="159"/>
      <c r="F28" s="157">
        <f t="shared" si="0"/>
        <v>9.9999999947613105E-3</v>
      </c>
    </row>
    <row r="29" spans="1:7">
      <c r="A29" s="74" t="s">
        <v>134</v>
      </c>
      <c r="B29" s="133">
        <v>847063.44</v>
      </c>
      <c r="C29" s="133">
        <v>847063.44</v>
      </c>
      <c r="D29" s="159"/>
      <c r="E29" s="159"/>
      <c r="F29" s="157">
        <f t="shared" si="0"/>
        <v>0</v>
      </c>
    </row>
    <row r="30" spans="1:7">
      <c r="A30" s="74" t="s">
        <v>88</v>
      </c>
      <c r="B30" s="133">
        <v>653157.35</v>
      </c>
      <c r="C30" s="159"/>
      <c r="D30" s="159"/>
      <c r="E30" s="159"/>
      <c r="F30" s="157">
        <f t="shared" si="0"/>
        <v>653157.35</v>
      </c>
    </row>
    <row r="31" spans="1:7">
      <c r="A31" s="74" t="s">
        <v>89</v>
      </c>
      <c r="B31" s="133">
        <v>8502952.0999999996</v>
      </c>
      <c r="C31" s="159">
        <f>3782130.85+883093.41+228179+3541748.9</f>
        <v>8435152.1600000001</v>
      </c>
      <c r="D31" s="159">
        <v>67800</v>
      </c>
      <c r="E31" s="159"/>
      <c r="F31" s="157">
        <f t="shared" si="0"/>
        <v>-6.0000000521540642E-2</v>
      </c>
    </row>
    <row r="32" spans="1:7">
      <c r="A32" s="74" t="s">
        <v>135</v>
      </c>
      <c r="B32" s="133">
        <v>21312660.48</v>
      </c>
      <c r="C32" s="133">
        <f>21312660.48-1009000-90400-342350+1785.09+16986.36</f>
        <v>19889681.93</v>
      </c>
      <c r="D32" s="159">
        <f>1009000+432750-1785.09-16986.36</f>
        <v>1422978.5499999998</v>
      </c>
      <c r="E32" s="159"/>
      <c r="F32" s="157">
        <f t="shared" si="0"/>
        <v>9.3132257461547852E-10</v>
      </c>
    </row>
    <row r="33" spans="1:9">
      <c r="A33" s="74" t="s">
        <v>91</v>
      </c>
      <c r="B33" s="179">
        <v>0</v>
      </c>
      <c r="C33" s="105">
        <v>0</v>
      </c>
      <c r="D33" s="159"/>
      <c r="E33" s="159"/>
      <c r="F33" s="157">
        <f t="shared" si="0"/>
        <v>0</v>
      </c>
      <c r="H33" s="112"/>
      <c r="I33" s="112"/>
    </row>
    <row r="34" spans="1:9">
      <c r="A34" s="74" t="s">
        <v>93</v>
      </c>
      <c r="B34" s="133">
        <v>64635.360000000001</v>
      </c>
      <c r="C34" s="133">
        <v>64635.360000000001</v>
      </c>
      <c r="D34" s="159"/>
      <c r="E34" s="159"/>
      <c r="F34" s="157">
        <f t="shared" si="0"/>
        <v>0</v>
      </c>
    </row>
    <row r="35" spans="1:9">
      <c r="A35" s="74" t="s">
        <v>94</v>
      </c>
      <c r="B35" s="133">
        <v>15308.38</v>
      </c>
      <c r="C35" s="133">
        <v>15308.38</v>
      </c>
      <c r="D35" s="159"/>
      <c r="E35" s="159"/>
      <c r="F35" s="157">
        <f t="shared" si="0"/>
        <v>0</v>
      </c>
    </row>
    <row r="36" spans="1:9">
      <c r="A36" s="74" t="s">
        <v>95</v>
      </c>
      <c r="B36" s="133">
        <v>110560.49</v>
      </c>
      <c r="C36" s="159">
        <v>110560</v>
      </c>
      <c r="D36" s="159"/>
      <c r="E36" s="159"/>
      <c r="F36" s="157">
        <f t="shared" si="0"/>
        <v>0.49000000000523869</v>
      </c>
    </row>
    <row r="37" spans="1:9">
      <c r="A37" s="74" t="s">
        <v>96</v>
      </c>
      <c r="B37" s="133">
        <v>153083.75</v>
      </c>
      <c r="C37" s="133">
        <v>153083.75</v>
      </c>
      <c r="D37" s="159"/>
      <c r="E37" s="159"/>
      <c r="F37" s="157">
        <f t="shared" si="0"/>
        <v>0</v>
      </c>
    </row>
    <row r="38" spans="1:9">
      <c r="A38" s="74" t="s">
        <v>97</v>
      </c>
      <c r="B38" s="133">
        <v>28915.82</v>
      </c>
      <c r="C38" s="133">
        <v>28915.82</v>
      </c>
      <c r="D38" s="159"/>
      <c r="E38" s="159"/>
      <c r="F38" s="157">
        <f t="shared" si="0"/>
        <v>0</v>
      </c>
    </row>
    <row r="39" spans="1:9">
      <c r="A39" s="74" t="s">
        <v>98</v>
      </c>
      <c r="B39" s="133">
        <v>5102.79</v>
      </c>
      <c r="C39" s="133">
        <v>5102.79</v>
      </c>
      <c r="D39" s="159"/>
      <c r="E39" s="159"/>
      <c r="F39" s="157">
        <f t="shared" si="0"/>
        <v>0</v>
      </c>
    </row>
    <row r="40" spans="1:9">
      <c r="A40" s="74" t="s">
        <v>99</v>
      </c>
      <c r="B40" s="133">
        <v>3155226.27</v>
      </c>
      <c r="C40" s="133">
        <v>3155226.27</v>
      </c>
      <c r="D40" s="159"/>
      <c r="E40" s="159"/>
      <c r="F40" s="157">
        <f t="shared" si="0"/>
        <v>0</v>
      </c>
    </row>
    <row r="41" spans="1:9">
      <c r="A41" s="74" t="s">
        <v>100</v>
      </c>
      <c r="B41" s="133">
        <v>464354.06</v>
      </c>
      <c r="C41" s="133">
        <v>464354.06</v>
      </c>
      <c r="D41" s="159"/>
      <c r="E41" s="159"/>
      <c r="F41" s="157">
        <f t="shared" si="0"/>
        <v>0</v>
      </c>
    </row>
    <row r="42" spans="1:9">
      <c r="A42" s="74" t="s">
        <v>101</v>
      </c>
      <c r="B42" s="133">
        <v>1481510.56</v>
      </c>
      <c r="C42" s="133">
        <v>1481510.56</v>
      </c>
      <c r="D42" s="159"/>
      <c r="E42" s="159"/>
      <c r="F42" s="157">
        <f t="shared" si="0"/>
        <v>0</v>
      </c>
    </row>
    <row r="43" spans="1:9">
      <c r="A43" s="74" t="s">
        <v>103</v>
      </c>
      <c r="B43" s="133">
        <v>1408370.54</v>
      </c>
      <c r="C43" s="133">
        <v>1408370.54</v>
      </c>
      <c r="D43" s="159"/>
      <c r="E43" s="159"/>
      <c r="F43" s="157">
        <f t="shared" si="0"/>
        <v>0</v>
      </c>
    </row>
    <row r="44" spans="1:9">
      <c r="A44" s="74" t="s">
        <v>104</v>
      </c>
      <c r="B44" s="133">
        <v>869175.54</v>
      </c>
      <c r="C44" s="133">
        <v>869176</v>
      </c>
      <c r="D44" s="159"/>
      <c r="E44" s="159"/>
      <c r="F44" s="157">
        <f t="shared" si="0"/>
        <v>-0.4599999999627471</v>
      </c>
    </row>
    <row r="45" spans="1:9">
      <c r="A45" s="74" t="s">
        <v>105</v>
      </c>
      <c r="B45" s="133">
        <v>301064.71999999997</v>
      </c>
      <c r="C45" s="133">
        <v>301064.71999999997</v>
      </c>
      <c r="D45" s="159"/>
      <c r="E45" s="159"/>
      <c r="F45" s="157">
        <f t="shared" si="0"/>
        <v>0</v>
      </c>
    </row>
    <row r="46" spans="1:9">
      <c r="A46" s="74" t="s">
        <v>106</v>
      </c>
      <c r="B46" s="133">
        <v>2724890.83</v>
      </c>
      <c r="C46" s="159"/>
      <c r="D46" s="159"/>
      <c r="E46" s="159"/>
      <c r="F46" s="157">
        <f t="shared" si="0"/>
        <v>2724890.83</v>
      </c>
    </row>
    <row r="47" spans="1:9">
      <c r="A47" s="72" t="s">
        <v>107</v>
      </c>
      <c r="B47" s="133">
        <v>5102.79</v>
      </c>
      <c r="C47" s="133">
        <v>5102.79</v>
      </c>
      <c r="D47" s="159"/>
      <c r="E47" s="159"/>
      <c r="F47" s="157">
        <f t="shared" si="0"/>
        <v>0</v>
      </c>
    </row>
    <row r="48" spans="1:9">
      <c r="A48" s="72" t="s">
        <v>109</v>
      </c>
      <c r="B48" s="133">
        <v>241532.15</v>
      </c>
      <c r="C48" s="133">
        <v>241532.15</v>
      </c>
      <c r="D48" s="159"/>
      <c r="E48" s="159"/>
      <c r="F48" s="157">
        <f t="shared" si="0"/>
        <v>0</v>
      </c>
    </row>
    <row r="49" spans="1:6">
      <c r="A49" s="74" t="s">
        <v>110</v>
      </c>
      <c r="B49" s="133">
        <v>175195.85</v>
      </c>
      <c r="C49" s="133">
        <v>175195.85</v>
      </c>
      <c r="D49" s="159"/>
      <c r="E49" s="159"/>
      <c r="F49" s="157">
        <f t="shared" si="0"/>
        <v>0</v>
      </c>
    </row>
    <row r="50" spans="1:6">
      <c r="A50" s="74" t="s">
        <v>112</v>
      </c>
      <c r="B50" s="133">
        <v>5403856.5300000003</v>
      </c>
      <c r="C50" s="133">
        <f>5403856.53-893000+2050.1</f>
        <v>4512906.63</v>
      </c>
      <c r="D50" s="159">
        <f>893000-2050.1</f>
        <v>890949.9</v>
      </c>
      <c r="E50" s="159"/>
      <c r="F50" s="157">
        <f t="shared" si="0"/>
        <v>3.4924596548080444E-10</v>
      </c>
    </row>
    <row r="51" spans="1:6">
      <c r="A51" s="74" t="s">
        <v>136</v>
      </c>
      <c r="B51" s="133">
        <v>1809790.16</v>
      </c>
      <c r="C51" s="133">
        <v>1809790.16</v>
      </c>
      <c r="D51" s="159"/>
      <c r="E51" s="159"/>
      <c r="F51" s="157">
        <f t="shared" si="0"/>
        <v>0</v>
      </c>
    </row>
    <row r="52" spans="1:6">
      <c r="A52" s="74" t="s">
        <v>114</v>
      </c>
      <c r="B52" s="133">
        <v>1922051.58</v>
      </c>
      <c r="C52" s="133">
        <v>1922051.58</v>
      </c>
      <c r="D52" s="159"/>
      <c r="E52" s="159"/>
      <c r="F52" s="157">
        <f t="shared" si="0"/>
        <v>0</v>
      </c>
    </row>
    <row r="53" spans="1:6">
      <c r="A53" s="74" t="s">
        <v>115</v>
      </c>
      <c r="B53" s="133">
        <v>3401.86</v>
      </c>
      <c r="C53" s="159"/>
      <c r="D53" s="159"/>
      <c r="E53" s="159"/>
      <c r="F53" s="157">
        <f t="shared" si="0"/>
        <v>3401.86</v>
      </c>
    </row>
    <row r="54" spans="1:6">
      <c r="A54" s="74" t="s">
        <v>117</v>
      </c>
      <c r="B54" s="133">
        <v>147980.96</v>
      </c>
      <c r="C54" s="159"/>
      <c r="D54" s="159"/>
      <c r="E54" s="159"/>
      <c r="F54" s="157">
        <f t="shared" si="0"/>
        <v>147980.96</v>
      </c>
    </row>
    <row r="55" spans="1:6">
      <c r="A55" s="74" t="s">
        <v>119</v>
      </c>
      <c r="B55" s="133">
        <v>11232945.720000001</v>
      </c>
      <c r="C55" s="134">
        <v>11232945.720000001</v>
      </c>
      <c r="D55" s="159"/>
      <c r="E55" s="133"/>
      <c r="F55" s="157">
        <f t="shared" si="0"/>
        <v>0</v>
      </c>
    </row>
    <row r="56" spans="1:6">
      <c r="A56" s="74" t="s">
        <v>120</v>
      </c>
      <c r="B56" s="133">
        <f>29333333.33-1794577</f>
        <v>27538756.329999998</v>
      </c>
      <c r="C56" s="159">
        <f>4451000+24500000+1666667+1666667+1666666-6412244</f>
        <v>27538756</v>
      </c>
      <c r="D56" s="159"/>
      <c r="E56" s="159"/>
      <c r="F56" s="157">
        <f t="shared" si="0"/>
        <v>0.32999999821186066</v>
      </c>
    </row>
    <row r="57" spans="1:6" ht="15" thickBot="1">
      <c r="A57" s="77" t="s">
        <v>121</v>
      </c>
      <c r="B57" s="133">
        <v>17009.310000000001</v>
      </c>
      <c r="C57" s="164"/>
      <c r="D57" s="165"/>
      <c r="E57" s="166"/>
      <c r="F57" s="157">
        <f t="shared" si="0"/>
        <v>17009.310000000001</v>
      </c>
    </row>
    <row r="58" spans="1:6" ht="15" thickBot="1">
      <c r="A58" s="180" t="s">
        <v>124</v>
      </c>
      <c r="B58" s="181">
        <f>SUM(B9:B57)</f>
        <v>131538756.33</v>
      </c>
      <c r="C58" s="182">
        <f>SUM(C9:C57)</f>
        <v>123380012.07999998</v>
      </c>
      <c r="D58" s="183">
        <f>SUM(D9:D57)</f>
        <v>7243029.4500000002</v>
      </c>
      <c r="E58" s="184"/>
      <c r="F58" s="168">
        <f>SUM(F9:F57)</f>
        <v>915714.80000000144</v>
      </c>
    </row>
    <row r="59" spans="1:6" ht="15" thickBot="1">
      <c r="A59" s="97" t="s">
        <v>137</v>
      </c>
      <c r="B59" s="169">
        <v>1794577</v>
      </c>
      <c r="C59" s="169"/>
      <c r="D59" s="169"/>
      <c r="E59" s="169"/>
      <c r="F59" s="170">
        <f>B59-C59-D59-E59</f>
        <v>1794577</v>
      </c>
    </row>
    <row r="60" spans="1:6" ht="15" thickBot="1">
      <c r="A60" s="98" t="s">
        <v>138</v>
      </c>
      <c r="B60" s="192">
        <f>B58+B59</f>
        <v>133333333.33</v>
      </c>
      <c r="C60" s="192">
        <f>C58+C59</f>
        <v>123380012.07999998</v>
      </c>
      <c r="D60" s="192">
        <f>D58+D59</f>
        <v>7243029.4500000002</v>
      </c>
      <c r="E60" s="192"/>
      <c r="F60" s="193">
        <f>F58+F59</f>
        <v>2710291.8000000017</v>
      </c>
    </row>
    <row r="61" spans="1:6">
      <c r="A61" s="115" t="s">
        <v>141</v>
      </c>
      <c r="B61" s="110"/>
      <c r="C61" s="110"/>
      <c r="D61" s="110"/>
      <c r="E61" s="110"/>
      <c r="F61" s="110"/>
    </row>
    <row r="62" spans="1:6">
      <c r="A62" s="116"/>
      <c r="B62" s="116"/>
      <c r="C62" s="116"/>
      <c r="D62" s="116"/>
      <c r="E62" s="116"/>
      <c r="F62" s="116"/>
    </row>
    <row r="63" spans="1:6" ht="15" thickBot="1">
      <c r="A63" s="110"/>
      <c r="B63" s="110"/>
      <c r="C63" s="110"/>
      <c r="D63" s="110"/>
      <c r="E63" s="110"/>
      <c r="F63" s="110"/>
    </row>
    <row r="64" spans="1:6" ht="15" thickBot="1">
      <c r="A64" s="102" t="s">
        <v>139</v>
      </c>
      <c r="B64" s="172">
        <f>B12+B13+B15+B19+B21+B27+B34+B36+B43+B46+B48+B49+B53+B54+B57</f>
        <v>6211798.5700000003</v>
      </c>
      <c r="C64" s="172">
        <f>C12+C13+C15+C19+C21+C26+C34+C36+C43+C46+C48+C49+C53+C54+C57</f>
        <v>2728292.19</v>
      </c>
      <c r="D64" s="172">
        <f>D12+D13+D15+D19+D21+D26+D34+D36+D43+D46+D48+D49+D53+D54+D57</f>
        <v>0</v>
      </c>
      <c r="E64" s="172">
        <f>E12+E13+E15+E19+E21+E26+E34+E36+E43+E46+E48+E49+E53+E54+E57</f>
        <v>0</v>
      </c>
      <c r="F64" s="173">
        <f>B64-C64-D64-E64</f>
        <v>3483506.3800000004</v>
      </c>
    </row>
    <row r="66" spans="4:4">
      <c r="D66" s="111"/>
    </row>
  </sheetData>
  <mergeCells count="4">
    <mergeCell ref="A1:B1"/>
    <mergeCell ref="A5:F5"/>
    <mergeCell ref="A6:F6"/>
    <mergeCell ref="A7:F7"/>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8BD6B-557C-4436-BDB6-BDC05C724A19}">
  <sheetPr>
    <tabColor rgb="FFC00000"/>
  </sheetPr>
  <dimension ref="A1:F62"/>
  <sheetViews>
    <sheetView topLeftCell="A26" workbookViewId="0">
      <selection activeCell="B62" sqref="B62"/>
    </sheetView>
  </sheetViews>
  <sheetFormatPr defaultRowHeight="14.5"/>
  <cols>
    <col min="1" max="1" width="20.7265625" customWidth="1"/>
    <col min="2" max="2" width="16.54296875" customWidth="1"/>
    <col min="3" max="4" width="15.54296875" customWidth="1"/>
    <col min="5" max="6" width="16.453125" customWidth="1"/>
  </cols>
  <sheetData>
    <row r="1" spans="1:6" ht="18">
      <c r="C1" s="1"/>
      <c r="D1" s="1"/>
      <c r="E1" s="741" t="str">
        <f>Status!C1</f>
        <v>UNEP/OzL.Pro/ExCom/94/3</v>
      </c>
      <c r="F1" s="741"/>
    </row>
    <row r="2" spans="1:6" ht="18">
      <c r="B2" s="1"/>
      <c r="C2" s="1"/>
      <c r="D2" s="1"/>
      <c r="E2" s="1"/>
      <c r="F2" s="194" t="s">
        <v>0</v>
      </c>
    </row>
    <row r="3" spans="1:6" ht="18">
      <c r="B3" s="1"/>
      <c r="C3" s="1"/>
      <c r="D3" s="1"/>
      <c r="E3" s="1"/>
      <c r="F3" s="195" t="s">
        <v>160</v>
      </c>
    </row>
    <row r="4" spans="1:6" ht="15.5">
      <c r="A4" s="1"/>
      <c r="B4" s="1"/>
      <c r="C4" s="1"/>
      <c r="D4" s="1"/>
      <c r="E4" s="1"/>
      <c r="F4" s="1"/>
    </row>
    <row r="5" spans="1:6" ht="16">
      <c r="A5" s="735" t="s">
        <v>2</v>
      </c>
      <c r="B5" s="735"/>
      <c r="C5" s="735"/>
      <c r="D5" s="735"/>
      <c r="E5" s="735"/>
      <c r="F5" s="735"/>
    </row>
    <row r="6" spans="1:6" ht="15.5">
      <c r="A6" s="729" t="s">
        <v>157</v>
      </c>
      <c r="B6" s="729"/>
      <c r="C6" s="729"/>
      <c r="D6" s="729"/>
      <c r="E6" s="729"/>
      <c r="F6" s="729"/>
    </row>
    <row r="7" spans="1:6" ht="16.5" thickBot="1">
      <c r="A7" s="740" t="str">
        <f>Status!A6</f>
        <v>As at 24/05/2024</v>
      </c>
      <c r="B7" s="740"/>
      <c r="C7" s="740"/>
      <c r="D7" s="740"/>
      <c r="E7" s="740"/>
      <c r="F7" s="740"/>
    </row>
    <row r="8" spans="1:6" ht="33" customHeight="1" thickBot="1">
      <c r="A8" s="68" t="s">
        <v>60</v>
      </c>
      <c r="B8" s="154" t="s">
        <v>61</v>
      </c>
      <c r="C8" s="154" t="s">
        <v>62</v>
      </c>
      <c r="D8" s="154" t="s">
        <v>63</v>
      </c>
      <c r="E8" s="154" t="s">
        <v>64</v>
      </c>
      <c r="F8" s="155" t="s">
        <v>65</v>
      </c>
    </row>
    <row r="9" spans="1:6" ht="15" thickBot="1">
      <c r="A9" s="128" t="s">
        <v>67</v>
      </c>
      <c r="B9" s="129">
        <f>'YR2009'!B9+'YR2010'!B9+'YR2011'!B9</f>
        <v>34763.96</v>
      </c>
      <c r="C9" s="129">
        <f>'YR2009'!C9+'YR2010'!C9+'YR2011'!C9</f>
        <v>34696.959999999999</v>
      </c>
      <c r="D9" s="129">
        <f>'YR2009'!D9+'YR2010'!D9+'YR2011'!D9</f>
        <v>0</v>
      </c>
      <c r="E9" s="129">
        <f>'YR2009'!E9+'YR2010'!E9+'YR2011'!E9</f>
        <v>0</v>
      </c>
      <c r="F9" s="157">
        <f t="shared" ref="F9:F55" si="0">B9-C9-D9-E9</f>
        <v>67</v>
      </c>
    </row>
    <row r="10" spans="1:6" ht="15" thickBot="1">
      <c r="A10" s="72" t="s">
        <v>130</v>
      </c>
      <c r="B10" s="129">
        <f>'YR2009'!B10+'YR2010'!B10+'YR2011'!B10</f>
        <v>8678132.8200000003</v>
      </c>
      <c r="C10" s="129">
        <f>'YR2009'!C10+'YR2010'!C10+'YR2011'!C10</f>
        <v>8339132.8200000003</v>
      </c>
      <c r="D10" s="129">
        <f>'YR2009'!D10+'YR2010'!D10+'YR2011'!D10</f>
        <v>339000</v>
      </c>
      <c r="E10" s="129">
        <f>'YR2009'!E10+'YR2010'!E10+'YR2011'!E10</f>
        <v>0</v>
      </c>
      <c r="F10" s="157">
        <f t="shared" si="0"/>
        <v>0</v>
      </c>
    </row>
    <row r="11" spans="1:6" ht="15" thickBot="1">
      <c r="A11" s="74" t="s">
        <v>69</v>
      </c>
      <c r="B11" s="129">
        <f>'YR2009'!B11+'YR2010'!B11+'YR2011'!B11</f>
        <v>4307500.74</v>
      </c>
      <c r="C11" s="129">
        <f>'YR2009'!C11+'YR2010'!C11+'YR2011'!C11</f>
        <v>4307500.74</v>
      </c>
      <c r="D11" s="129">
        <f>'YR2009'!D11+'YR2010'!D11+'YR2011'!D11</f>
        <v>0</v>
      </c>
      <c r="E11" s="129">
        <f>'YR2009'!E11+'YR2010'!E11+'YR2011'!E11</f>
        <v>0</v>
      </c>
      <c r="F11" s="157">
        <f t="shared" si="0"/>
        <v>0</v>
      </c>
    </row>
    <row r="12" spans="1:6" ht="15" thickBot="1">
      <c r="A12" s="96" t="s">
        <v>70</v>
      </c>
      <c r="B12" s="129">
        <f>'YR2009'!B12+'YR2010'!B12+'YR2011'!B12</f>
        <v>24281.279999999999</v>
      </c>
      <c r="C12" s="129">
        <f>'YR2009'!C12+'YR2010'!C12+'YR2011'!C12</f>
        <v>0</v>
      </c>
      <c r="D12" s="129">
        <f>'YR2009'!D12+'YR2010'!D12+'YR2011'!D12</f>
        <v>0</v>
      </c>
      <c r="E12" s="129">
        <f>'YR2009'!E12+'YR2010'!E12+'YR2011'!E12</f>
        <v>0</v>
      </c>
      <c r="F12" s="157">
        <f t="shared" si="0"/>
        <v>24281.279999999999</v>
      </c>
    </row>
    <row r="13" spans="1:6" ht="15" thickBot="1">
      <c r="A13" s="74" t="s">
        <v>71</v>
      </c>
      <c r="B13" s="129">
        <f>'YR2009'!B13+'YR2010'!B13+'YR2011'!B13</f>
        <v>97125.15</v>
      </c>
      <c r="C13" s="129">
        <f>'YR2009'!C13+'YR2010'!C13+'YR2011'!C13</f>
        <v>0</v>
      </c>
      <c r="D13" s="129">
        <f>'YR2009'!D13+'YR2010'!D13+'YR2011'!D13</f>
        <v>0</v>
      </c>
      <c r="E13" s="129">
        <f>'YR2009'!E13+'YR2010'!E13+'YR2011'!E13</f>
        <v>0</v>
      </c>
      <c r="F13" s="157">
        <f t="shared" si="0"/>
        <v>97125.15</v>
      </c>
    </row>
    <row r="14" spans="1:6" ht="15" thickBot="1">
      <c r="A14" s="74" t="s">
        <v>72</v>
      </c>
      <c r="B14" s="129">
        <f>'YR2009'!B14+'YR2010'!B14+'YR2011'!B14</f>
        <v>5351596.17</v>
      </c>
      <c r="C14" s="129">
        <f>'YR2009'!C14+'YR2010'!C14+'YR2011'!C14</f>
        <v>5351596.17</v>
      </c>
      <c r="D14" s="129">
        <f>'YR2009'!D14+'YR2010'!D14+'YR2011'!D14</f>
        <v>0</v>
      </c>
      <c r="E14" s="129">
        <f>'YR2009'!E14+'YR2010'!E14+'YR2011'!E14</f>
        <v>0</v>
      </c>
      <c r="F14" s="157">
        <f t="shared" si="0"/>
        <v>0</v>
      </c>
    </row>
    <row r="15" spans="1:6" ht="15" thickBot="1">
      <c r="A15" s="74" t="s">
        <v>73</v>
      </c>
      <c r="B15" s="129">
        <f>'YR2009'!B15+'YR2010'!B15+'YR2011'!B15</f>
        <v>97125.15</v>
      </c>
      <c r="C15" s="129">
        <f>'YR2009'!C15+'YR2010'!C15+'YR2011'!C15</f>
        <v>97125.15</v>
      </c>
      <c r="D15" s="129">
        <f>'YR2009'!D15+'YR2010'!D15+'YR2011'!D15</f>
        <v>0</v>
      </c>
      <c r="E15" s="129">
        <f>'YR2009'!E15+'YR2010'!E15+'YR2011'!E15</f>
        <v>0</v>
      </c>
      <c r="F15" s="157">
        <f t="shared" si="0"/>
        <v>0</v>
      </c>
    </row>
    <row r="16" spans="1:6" ht="15" thickBot="1">
      <c r="A16" s="74" t="s">
        <v>131</v>
      </c>
      <c r="B16" s="129">
        <f>'YR2009'!B16+'YR2010'!B16+'YR2011'!B16</f>
        <v>14457079.710000001</v>
      </c>
      <c r="C16" s="129">
        <f>'YR2009'!C16+'YR2010'!C16+'YR2011'!C16</f>
        <v>14033894.510000002</v>
      </c>
      <c r="D16" s="129">
        <f>'YR2009'!D16+'YR2010'!D16+'YR2011'!D16</f>
        <v>423185</v>
      </c>
      <c r="E16" s="129">
        <f>'YR2009'!E16+'YR2010'!E16+'YR2011'!E16</f>
        <v>0</v>
      </c>
      <c r="F16" s="157">
        <f t="shared" si="0"/>
        <v>0.19999999925494194</v>
      </c>
    </row>
    <row r="17" spans="1:6" ht="15" thickBot="1">
      <c r="A17" s="74" t="s">
        <v>76</v>
      </c>
      <c r="B17" s="129">
        <f>'YR2009'!B17+'YR2010'!B17+'YR2011'!B17</f>
        <v>213675.36</v>
      </c>
      <c r="C17" s="129">
        <f>'YR2009'!C17+'YR2010'!C17+'YR2011'!C17</f>
        <v>213675.36</v>
      </c>
      <c r="D17" s="129">
        <f>'YR2009'!D17+'YR2010'!D17+'YR2011'!D17</f>
        <v>0</v>
      </c>
      <c r="E17" s="129">
        <f>'YR2009'!E17+'YR2010'!E17+'YR2011'!E17</f>
        <v>0</v>
      </c>
      <c r="F17" s="157">
        <f t="shared" si="0"/>
        <v>0</v>
      </c>
    </row>
    <row r="18" spans="1:6" ht="15" thickBot="1">
      <c r="A18" s="74" t="s">
        <v>77</v>
      </c>
      <c r="B18" s="129">
        <f>'YR2009'!B18+'YR2010'!B18+'YR2011'!B18</f>
        <v>1364608.47</v>
      </c>
      <c r="C18" s="129">
        <f>'YR2009'!C18+'YR2010'!C18+'YR2011'!C18</f>
        <v>1153765.47</v>
      </c>
      <c r="D18" s="129">
        <f>'YR2009'!D18+'YR2010'!D18+'YR2011'!D18</f>
        <v>210843</v>
      </c>
      <c r="E18" s="129">
        <f>'YR2009'!E18+'YR2010'!E18+'YR2011'!E18</f>
        <v>0</v>
      </c>
      <c r="F18" s="157">
        <f t="shared" si="0"/>
        <v>0</v>
      </c>
    </row>
    <row r="19" spans="1:6" ht="15" thickBot="1">
      <c r="A19" s="74" t="s">
        <v>78</v>
      </c>
      <c r="B19" s="129">
        <f>'YR2009'!B19+'YR2010'!B19+'YR2011'!B19</f>
        <v>3588774.57</v>
      </c>
      <c r="C19" s="129">
        <f>'YR2009'!C19+'YR2010'!C19+'YR2011'!C19</f>
        <v>3588774.57</v>
      </c>
      <c r="D19" s="129">
        <f>'YR2009'!D19+'YR2010'!D19+'YR2011'!D19</f>
        <v>0</v>
      </c>
      <c r="E19" s="129">
        <f>'YR2009'!E19+'YR2010'!E19+'YR2011'!E19</f>
        <v>0</v>
      </c>
      <c r="F19" s="157">
        <f t="shared" si="0"/>
        <v>0</v>
      </c>
    </row>
    <row r="20" spans="1:6" ht="15" thickBot="1">
      <c r="A20" s="74" t="s">
        <v>79</v>
      </c>
      <c r="B20" s="129">
        <f>'YR2009'!B20+'YR2010'!B20+'YR2011'!B20</f>
        <v>77700.12</v>
      </c>
      <c r="C20" s="129">
        <f>'YR2009'!C20+'YR2010'!C20+'YR2011'!C20</f>
        <v>77700.12</v>
      </c>
      <c r="D20" s="129">
        <f>'YR2009'!D20+'YR2010'!D20+'YR2011'!D20</f>
        <v>0</v>
      </c>
      <c r="E20" s="129">
        <f>'YR2009'!E20+'YR2010'!E20+'YR2011'!E20</f>
        <v>0</v>
      </c>
      <c r="F20" s="157">
        <f t="shared" si="0"/>
        <v>0</v>
      </c>
    </row>
    <row r="21" spans="1:6" ht="15" thickBot="1">
      <c r="A21" s="74" t="s">
        <v>80</v>
      </c>
      <c r="B21" s="129">
        <f>'YR2009'!B21+'YR2010'!B21+'YR2011'!B21</f>
        <v>2738929.44</v>
      </c>
      <c r="C21" s="129">
        <f>'YR2009'!C21+'YR2010'!C21+'YR2011'!C21</f>
        <v>2738929.44</v>
      </c>
      <c r="D21" s="129">
        <f>'YR2009'!D21+'YR2010'!D21+'YR2011'!D21</f>
        <v>0</v>
      </c>
      <c r="E21" s="129">
        <f>'YR2009'!E21+'YR2010'!E21+'YR2011'!E21</f>
        <v>0</v>
      </c>
      <c r="F21" s="157">
        <f t="shared" si="0"/>
        <v>0</v>
      </c>
    </row>
    <row r="22" spans="1:6" ht="15" thickBot="1">
      <c r="A22" s="74" t="s">
        <v>132</v>
      </c>
      <c r="B22" s="129">
        <f>'YR2009'!B22+'YR2010'!B22+'YR2011'!B22</f>
        <v>30599280.900000002</v>
      </c>
      <c r="C22" s="129">
        <f>'YR2009'!C22+'YR2010'!C22+'YR2011'!C22</f>
        <v>29546763.860000003</v>
      </c>
      <c r="D22" s="129">
        <f>'YR2009'!D22+'YR2010'!D22+'YR2011'!D22</f>
        <v>1052517.04</v>
      </c>
      <c r="E22" s="129">
        <f>'YR2009'!E22+'YR2010'!E22+'YR2011'!E22</f>
        <v>0</v>
      </c>
      <c r="F22" s="157">
        <f t="shared" si="0"/>
        <v>-9.3132257461547852E-10</v>
      </c>
    </row>
    <row r="23" spans="1:6" ht="15" thickBot="1">
      <c r="A23" s="74" t="s">
        <v>133</v>
      </c>
      <c r="B23" s="129">
        <f>'YR2009'!B23+'YR2010'!B23+'YR2011'!B23</f>
        <v>41652123.839999996</v>
      </c>
      <c r="C23" s="129">
        <f>'YR2009'!C23+'YR2010'!C23+'YR2011'!C23</f>
        <v>32842934.659999996</v>
      </c>
      <c r="D23" s="129">
        <f>'YR2009'!D23+'YR2010'!D23+'YR2011'!D23</f>
        <v>8809188</v>
      </c>
      <c r="E23" s="129">
        <f>'YR2009'!E23+'YR2010'!E23+'YR2011'!E23</f>
        <v>0.40999999875202775</v>
      </c>
      <c r="F23" s="157">
        <f t="shared" si="0"/>
        <v>0.77000000094994903</v>
      </c>
    </row>
    <row r="24" spans="1:6" ht="15" thickBot="1">
      <c r="A24" s="74" t="s">
        <v>83</v>
      </c>
      <c r="B24" s="129">
        <f>'YR2009'!B24+'YR2010'!B24+'YR2011'!B24</f>
        <v>2894329.71</v>
      </c>
      <c r="C24" s="129">
        <f>'YR2009'!C24+'YR2010'!C24+'YR2011'!C24</f>
        <v>2894329.7199999997</v>
      </c>
      <c r="D24" s="129">
        <f>'YR2009'!D24+'YR2010'!D24+'YR2011'!D24</f>
        <v>0</v>
      </c>
      <c r="E24" s="129">
        <f>'YR2009'!E24+'YR2010'!E24+'YR2011'!E24</f>
        <v>0</v>
      </c>
      <c r="F24" s="157">
        <f t="shared" si="0"/>
        <v>-9.9999997764825821E-3</v>
      </c>
    </row>
    <row r="25" spans="1:6" ht="15" thickBot="1">
      <c r="A25" s="74" t="s">
        <v>85</v>
      </c>
      <c r="B25" s="129">
        <f>'YR2009'!B25+'YR2010'!B25+'YR2011'!B25</f>
        <v>1184926.92</v>
      </c>
      <c r="C25" s="129">
        <f>'YR2009'!C25+'YR2010'!C25+'YR2011'!C25</f>
        <v>1184926.92</v>
      </c>
      <c r="D25" s="129">
        <f>'YR2009'!D25+'YR2010'!D25+'YR2011'!D25</f>
        <v>0</v>
      </c>
      <c r="E25" s="129">
        <f>'YR2009'!E25+'YR2010'!E25+'YR2011'!E25</f>
        <v>0</v>
      </c>
      <c r="F25" s="157">
        <f t="shared" si="0"/>
        <v>0</v>
      </c>
    </row>
    <row r="26" spans="1:6" ht="15" thickBot="1">
      <c r="A26" s="74" t="s">
        <v>86</v>
      </c>
      <c r="B26" s="129">
        <f>'YR2009'!B26+'YR2010'!B26+'YR2011'!B26</f>
        <v>179681.55</v>
      </c>
      <c r="C26" s="129">
        <f>'YR2009'!C26+'YR2010'!C26+'YR2011'!C26</f>
        <v>179681.55</v>
      </c>
      <c r="D26" s="129">
        <f>'YR2009'!D26+'YR2010'!D26+'YR2011'!D26</f>
        <v>0</v>
      </c>
      <c r="E26" s="129">
        <f>'YR2009'!E26+'YR2010'!E26+'YR2011'!E26</f>
        <v>0</v>
      </c>
      <c r="F26" s="157">
        <f t="shared" si="0"/>
        <v>0</v>
      </c>
    </row>
    <row r="27" spans="1:6" ht="15" thickBot="1">
      <c r="A27" s="74" t="s">
        <v>134</v>
      </c>
      <c r="B27" s="129">
        <f>'YR2009'!B27+'YR2010'!B27+'YR2011'!B27</f>
        <v>2161034.7600000002</v>
      </c>
      <c r="C27" s="129">
        <f>'YR2009'!C27+'YR2010'!C27+'YR2011'!C27</f>
        <v>2161034.7600000002</v>
      </c>
      <c r="D27" s="129">
        <f>'YR2009'!D27+'YR2010'!D27+'YR2011'!D27</f>
        <v>0</v>
      </c>
      <c r="E27" s="129">
        <f>'YR2009'!E27+'YR2010'!E27+'YR2011'!E27</f>
        <v>0</v>
      </c>
      <c r="F27" s="157">
        <f t="shared" si="0"/>
        <v>0</v>
      </c>
    </row>
    <row r="28" spans="1:6" ht="15" thickBot="1">
      <c r="A28" s="74" t="s">
        <v>88</v>
      </c>
      <c r="B28" s="129">
        <f>'YR2009'!B28+'YR2010'!B28+'YR2011'!B28</f>
        <v>2034772.0499999998</v>
      </c>
      <c r="C28" s="129">
        <f>'YR2009'!C28+'YR2010'!C28+'YR2011'!C28</f>
        <v>0</v>
      </c>
      <c r="D28" s="129">
        <f>'YR2009'!D28+'YR2010'!D28+'YR2011'!D28</f>
        <v>0</v>
      </c>
      <c r="E28" s="129">
        <f>'YR2009'!E28+'YR2010'!E28+'YR2011'!E28</f>
        <v>0</v>
      </c>
      <c r="F28" s="157">
        <f t="shared" si="0"/>
        <v>2034772.0499999998</v>
      </c>
    </row>
    <row r="29" spans="1:6" ht="15" thickBot="1">
      <c r="A29" s="74" t="s">
        <v>89</v>
      </c>
      <c r="B29" s="129">
        <f>'YR2009'!B29+'YR2010'!B29+'YR2011'!B29</f>
        <v>24664933.77</v>
      </c>
      <c r="C29" s="129">
        <f>'YR2009'!C29+'YR2010'!C29+'YR2011'!C29</f>
        <v>24067480.759999998</v>
      </c>
      <c r="D29" s="129">
        <f>'YR2009'!D29+'YR2010'!D29+'YR2011'!D29</f>
        <v>597452.79999999993</v>
      </c>
      <c r="E29" s="129">
        <f>'YR2009'!E29+'YR2010'!E29+'YR2011'!E29</f>
        <v>0</v>
      </c>
      <c r="F29" s="157">
        <f t="shared" si="0"/>
        <v>0.21000000170897692</v>
      </c>
    </row>
    <row r="30" spans="1:6" ht="15" thickBot="1">
      <c r="A30" s="74" t="s">
        <v>135</v>
      </c>
      <c r="B30" s="129">
        <f>'YR2009'!B30+'YR2010'!B30+'YR2011'!B30</f>
        <v>80730430.980000004</v>
      </c>
      <c r="C30" s="129">
        <f>'YR2009'!C30+'YR2010'!C30+'YR2011'!C30</f>
        <v>78903944.75999999</v>
      </c>
      <c r="D30" s="129">
        <f>'YR2009'!D30+'YR2010'!D30+'YR2011'!D30</f>
        <v>1826486.2199999997</v>
      </c>
      <c r="E30" s="129">
        <f>'YR2009'!E30+'YR2010'!E30+'YR2011'!E30</f>
        <v>0</v>
      </c>
      <c r="F30" s="157">
        <f t="shared" si="0"/>
        <v>1.3969838619232178E-8</v>
      </c>
    </row>
    <row r="31" spans="1:6" ht="15" thickBot="1">
      <c r="A31" s="74" t="s">
        <v>91</v>
      </c>
      <c r="B31" s="129">
        <f>'YR2009'!B31+'YR2010'!B31+'YR2011'!B31</f>
        <v>0</v>
      </c>
      <c r="C31" s="129">
        <f>'YR2009'!C31+'YR2010'!C31+'YR2011'!C31</f>
        <v>0</v>
      </c>
      <c r="D31" s="129">
        <f>'YR2009'!D31+'YR2010'!D31+'YR2011'!D31</f>
        <v>0</v>
      </c>
      <c r="E31" s="129">
        <f>'YR2009'!E31+'YR2010'!E31+'YR2011'!E31</f>
        <v>0</v>
      </c>
      <c r="F31" s="157">
        <f t="shared" si="0"/>
        <v>0</v>
      </c>
    </row>
    <row r="32" spans="1:6" ht="15" thickBot="1">
      <c r="A32" s="74" t="s">
        <v>93</v>
      </c>
      <c r="B32" s="129">
        <f>'YR2009'!B32+'YR2010'!B32+'YR2011'!B32</f>
        <v>87412.65</v>
      </c>
      <c r="C32" s="129">
        <f>'YR2009'!C32+'YR2010'!C32+'YR2011'!C32</f>
        <v>87412.65</v>
      </c>
      <c r="D32" s="129">
        <f>'YR2009'!D32+'YR2010'!D32+'YR2011'!D32</f>
        <v>0</v>
      </c>
      <c r="E32" s="129">
        <f>'YR2009'!E32+'YR2010'!E32+'YR2011'!E32</f>
        <v>0</v>
      </c>
      <c r="F32" s="157">
        <f t="shared" si="0"/>
        <v>0</v>
      </c>
    </row>
    <row r="33" spans="1:6" ht="15" thickBot="1">
      <c r="A33" s="74" t="s">
        <v>94</v>
      </c>
      <c r="B33" s="129">
        <f>'YR2009'!B33+'YR2010'!B33+'YR2011'!B33</f>
        <v>48562.590000000004</v>
      </c>
      <c r="C33" s="129">
        <f>'YR2009'!C33+'YR2010'!C33+'YR2011'!C33</f>
        <v>48562.590000000004</v>
      </c>
      <c r="D33" s="129">
        <f>'YR2009'!D33+'YR2010'!D33+'YR2011'!D33</f>
        <v>0</v>
      </c>
      <c r="E33" s="129">
        <f>'YR2009'!E33+'YR2010'!E33+'YR2011'!E33</f>
        <v>0</v>
      </c>
      <c r="F33" s="157">
        <f t="shared" si="0"/>
        <v>0</v>
      </c>
    </row>
    <row r="34" spans="1:6" ht="15" thickBot="1">
      <c r="A34" s="74" t="s">
        <v>95</v>
      </c>
      <c r="B34" s="129">
        <f>'YR2009'!B34+'YR2010'!B34+'YR2011'!B34</f>
        <v>150543.99</v>
      </c>
      <c r="C34" s="129">
        <f>'YR2009'!C34+'YR2010'!C34+'YR2011'!C34</f>
        <v>150543.99</v>
      </c>
      <c r="D34" s="129">
        <f>'YR2009'!D34+'YR2010'!D34+'YR2011'!D34</f>
        <v>0</v>
      </c>
      <c r="E34" s="129">
        <f>'YR2009'!E34+'YR2010'!E34+'YR2011'!E34</f>
        <v>0</v>
      </c>
      <c r="F34" s="157">
        <f t="shared" si="0"/>
        <v>0</v>
      </c>
    </row>
    <row r="35" spans="1:6" ht="15" thickBot="1">
      <c r="A35" s="74" t="s">
        <v>96</v>
      </c>
      <c r="B35" s="129">
        <f>'YR2009'!B35+'YR2010'!B35+'YR2011'!B35</f>
        <v>412781.91000000003</v>
      </c>
      <c r="C35" s="129">
        <f>'YR2009'!C35+'YR2010'!C35+'YR2011'!C35</f>
        <v>412781.91000000003</v>
      </c>
      <c r="D35" s="129">
        <f>'YR2009'!D35+'YR2010'!D35+'YR2011'!D35</f>
        <v>0</v>
      </c>
      <c r="E35" s="129">
        <f>'YR2009'!E35+'YR2010'!E35+'YR2011'!E35</f>
        <v>0</v>
      </c>
      <c r="F35" s="157">
        <f t="shared" si="0"/>
        <v>0</v>
      </c>
    </row>
    <row r="36" spans="1:6" ht="15" thickBot="1">
      <c r="A36" s="74" t="s">
        <v>97</v>
      </c>
      <c r="B36" s="129">
        <f>'YR2009'!B36+'YR2010'!B36+'YR2011'!B36</f>
        <v>82556.37</v>
      </c>
      <c r="C36" s="129">
        <f>'YR2009'!C36+'YR2010'!C36+'YR2011'!C36</f>
        <v>82556.37</v>
      </c>
      <c r="D36" s="129">
        <f>'YR2009'!D36+'YR2010'!D36+'YR2011'!D36</f>
        <v>0</v>
      </c>
      <c r="E36" s="129">
        <f>'YR2009'!E36+'YR2010'!E36+'YR2011'!E36</f>
        <v>0</v>
      </c>
      <c r="F36" s="157">
        <f t="shared" si="0"/>
        <v>0</v>
      </c>
    </row>
    <row r="37" spans="1:6" ht="15" thickBot="1">
      <c r="A37" s="74" t="s">
        <v>98</v>
      </c>
      <c r="B37" s="129">
        <f>'YR2009'!B37+'YR2010'!B37+'YR2011'!B37</f>
        <v>14568.78</v>
      </c>
      <c r="C37" s="129">
        <f>'YR2009'!C37+'YR2010'!C37+'YR2011'!C37</f>
        <v>14568.78</v>
      </c>
      <c r="D37" s="129">
        <f>'YR2009'!D37+'YR2010'!D37+'YR2011'!D37</f>
        <v>0</v>
      </c>
      <c r="E37" s="129">
        <f>'YR2009'!E37+'YR2010'!E37+'YR2011'!E37</f>
        <v>0</v>
      </c>
      <c r="F37" s="157">
        <f t="shared" si="0"/>
        <v>0</v>
      </c>
    </row>
    <row r="38" spans="1:6" ht="15" thickBot="1">
      <c r="A38" s="74" t="s">
        <v>99</v>
      </c>
      <c r="B38" s="129">
        <f>'YR2009'!B38+'YR2010'!B38+'YR2011'!B38</f>
        <v>9095771.0099999998</v>
      </c>
      <c r="C38" s="129">
        <f>'YR2009'!C38+'YR2010'!C38+'YR2011'!C38</f>
        <v>9095770.6500000004</v>
      </c>
      <c r="D38" s="129">
        <f>'YR2009'!D38+'YR2010'!D38+'YR2011'!D38</f>
        <v>0</v>
      </c>
      <c r="E38" s="129">
        <f>'YR2009'!E38+'YR2010'!E38+'YR2011'!E38</f>
        <v>0</v>
      </c>
      <c r="F38" s="157">
        <f t="shared" si="0"/>
        <v>0.35999999940395355</v>
      </c>
    </row>
    <row r="39" spans="1:6" ht="15" thickBot="1">
      <c r="A39" s="74" t="s">
        <v>100</v>
      </c>
      <c r="B39" s="129">
        <f>'YR2009'!B39+'YR2010'!B39+'YR2011'!B39</f>
        <v>1243202.01</v>
      </c>
      <c r="C39" s="129">
        <f>'YR2009'!C39+'YR2010'!C39+'YR2011'!C39</f>
        <v>1243202.01</v>
      </c>
      <c r="D39" s="129">
        <f>'YR2009'!D39+'YR2010'!D39+'YR2011'!D39</f>
        <v>0</v>
      </c>
      <c r="E39" s="129">
        <f>'YR2009'!E39+'YR2010'!E39+'YR2011'!E39</f>
        <v>0</v>
      </c>
      <c r="F39" s="157">
        <f t="shared" si="0"/>
        <v>0</v>
      </c>
    </row>
    <row r="40" spans="1:6" ht="15" thickBot="1">
      <c r="A40" s="74" t="s">
        <v>101</v>
      </c>
      <c r="B40" s="129">
        <f>'YR2009'!B40+'YR2010'!B40+'YR2011'!B40</f>
        <v>3797593.6500000004</v>
      </c>
      <c r="C40" s="129">
        <f>'YR2009'!C40+'YR2010'!C40+'YR2011'!C40</f>
        <v>3797593.6500000004</v>
      </c>
      <c r="D40" s="129">
        <f>'YR2009'!D40+'YR2010'!D40+'YR2011'!D40</f>
        <v>0</v>
      </c>
      <c r="E40" s="129">
        <f>'YR2009'!E40+'YR2010'!E40+'YR2011'!E40</f>
        <v>0</v>
      </c>
      <c r="F40" s="157">
        <f t="shared" si="0"/>
        <v>0</v>
      </c>
    </row>
    <row r="41" spans="1:6" ht="15" thickBot="1">
      <c r="A41" s="74" t="s">
        <v>103</v>
      </c>
      <c r="B41" s="129">
        <f>'YR2009'!B41+'YR2010'!B41+'YR2011'!B41</f>
        <v>2432985.21</v>
      </c>
      <c r="C41" s="129">
        <f>'YR2009'!C41+'YR2010'!C41+'YR2011'!C41</f>
        <v>2432985.21</v>
      </c>
      <c r="D41" s="129">
        <f>'YR2009'!D41+'YR2010'!D41+'YR2011'!D41</f>
        <v>0</v>
      </c>
      <c r="E41" s="129">
        <f>'YR2009'!E41+'YR2010'!E41+'YR2011'!E41</f>
        <v>0</v>
      </c>
      <c r="F41" s="157">
        <f t="shared" si="0"/>
        <v>0</v>
      </c>
    </row>
    <row r="42" spans="1:6" ht="15" thickBot="1">
      <c r="A42" s="74" t="s">
        <v>104</v>
      </c>
      <c r="B42" s="129">
        <f>'YR2009'!B42+'YR2010'!B42+'YR2011'!B42</f>
        <v>2559247.89</v>
      </c>
      <c r="C42" s="129">
        <f>'YR2009'!C42+'YR2010'!C42+'YR2011'!C42</f>
        <v>2559248.2599999998</v>
      </c>
      <c r="D42" s="129">
        <f>'YR2009'!D42+'YR2010'!D42+'YR2011'!D42</f>
        <v>0</v>
      </c>
      <c r="E42" s="129">
        <f>'YR2009'!E42+'YR2010'!E42+'YR2011'!E42</f>
        <v>0</v>
      </c>
      <c r="F42" s="157">
        <f t="shared" si="0"/>
        <v>-0.36999999964609742</v>
      </c>
    </row>
    <row r="43" spans="1:6" ht="15" thickBot="1">
      <c r="A43" s="74" t="s">
        <v>105</v>
      </c>
      <c r="B43" s="129">
        <f>'YR2009'!B43+'YR2010'!B43+'YR2011'!B43</f>
        <v>339938.04</v>
      </c>
      <c r="C43" s="129">
        <f>'YR2009'!C43+'YR2010'!C43+'YR2011'!C43</f>
        <v>339938.04</v>
      </c>
      <c r="D43" s="129">
        <f>'YR2009'!D43+'YR2010'!D43+'YR2011'!D43</f>
        <v>0</v>
      </c>
      <c r="E43" s="129">
        <f>'YR2009'!E43+'YR2010'!E43+'YR2011'!E43</f>
        <v>0</v>
      </c>
      <c r="F43" s="157">
        <f t="shared" si="0"/>
        <v>0</v>
      </c>
    </row>
    <row r="44" spans="1:6" ht="15" thickBot="1">
      <c r="A44" s="74" t="s">
        <v>106</v>
      </c>
      <c r="B44" s="129">
        <f>'YR2009'!B44+'YR2010'!B44+'YR2011'!B44</f>
        <v>5827509.4499999993</v>
      </c>
      <c r="C44" s="129">
        <f>'YR2009'!C44+'YR2010'!C44+'YR2011'!C44</f>
        <v>0</v>
      </c>
      <c r="D44" s="129">
        <f>'YR2009'!D44+'YR2010'!D44+'YR2011'!D44</f>
        <v>0</v>
      </c>
      <c r="E44" s="129">
        <f>'YR2009'!E44+'YR2010'!E44+'YR2011'!E44</f>
        <v>0</v>
      </c>
      <c r="F44" s="157">
        <f t="shared" si="0"/>
        <v>5827509.4499999993</v>
      </c>
    </row>
    <row r="45" spans="1:6" ht="15" thickBot="1">
      <c r="A45" s="72" t="s">
        <v>107</v>
      </c>
      <c r="B45" s="129">
        <f>'YR2009'!B45+'YR2010'!B45+'YR2011'!B45</f>
        <v>11733.76</v>
      </c>
      <c r="C45" s="129">
        <f>'YR2009'!C45+'YR2010'!C45+'YR2011'!C45</f>
        <v>11733.76</v>
      </c>
      <c r="D45" s="129">
        <f>'YR2009'!D45+'YR2010'!D45+'YR2011'!D45</f>
        <v>0</v>
      </c>
      <c r="E45" s="129">
        <f>'YR2009'!E45+'YR2010'!E45+'YR2011'!E45</f>
        <v>0</v>
      </c>
      <c r="F45" s="157">
        <f t="shared" si="0"/>
        <v>0</v>
      </c>
    </row>
    <row r="46" spans="1:6" ht="15" thickBot="1">
      <c r="A46" s="72" t="s">
        <v>109</v>
      </c>
      <c r="B46" s="129">
        <f>'YR2009'!B46+'YR2010'!B46+'YR2011'!B46</f>
        <v>305944.26</v>
      </c>
      <c r="C46" s="129">
        <f>'YR2009'!C46+'YR2010'!C46+'YR2011'!C46</f>
        <v>305944.26</v>
      </c>
      <c r="D46" s="129">
        <f>'YR2009'!D46+'YR2010'!D46+'YR2011'!D46</f>
        <v>0</v>
      </c>
      <c r="E46" s="129">
        <f>'YR2009'!E46+'YR2010'!E46+'YR2011'!E46</f>
        <v>0</v>
      </c>
      <c r="F46" s="157">
        <f t="shared" si="0"/>
        <v>0</v>
      </c>
    </row>
    <row r="47" spans="1:6" ht="15" thickBot="1">
      <c r="A47" s="74" t="s">
        <v>110</v>
      </c>
      <c r="B47" s="129">
        <f>'YR2009'!B47+'YR2010'!B47+'YR2011'!B47</f>
        <v>466200.75</v>
      </c>
      <c r="C47" s="129">
        <f>'YR2009'!C47+'YR2010'!C47+'YR2011'!C47</f>
        <v>466200.75</v>
      </c>
      <c r="D47" s="129">
        <f>'YR2009'!D47+'YR2010'!D47+'YR2011'!D47</f>
        <v>0</v>
      </c>
      <c r="E47" s="129">
        <f>'YR2009'!E47+'YR2010'!E47+'YR2011'!E47</f>
        <v>0</v>
      </c>
      <c r="F47" s="157">
        <f t="shared" si="0"/>
        <v>0</v>
      </c>
    </row>
    <row r="48" spans="1:6" ht="15" thickBot="1">
      <c r="A48" s="74" t="s">
        <v>112</v>
      </c>
      <c r="B48" s="129">
        <f>'YR2009'!B48+'YR2010'!B48+'YR2011'!B48</f>
        <v>14413373.399999999</v>
      </c>
      <c r="C48" s="129">
        <f>'YR2009'!C48+'YR2010'!C48+'YR2011'!C48</f>
        <v>12955409.34</v>
      </c>
      <c r="D48" s="129">
        <f>'YR2009'!D48+'YR2010'!D48+'YR2011'!D48</f>
        <v>892964</v>
      </c>
      <c r="E48" s="129">
        <f>'YR2009'!E48+'YR2010'!E48+'YR2011'!E48</f>
        <v>0</v>
      </c>
      <c r="F48" s="157">
        <f t="shared" si="0"/>
        <v>565000.05999999866</v>
      </c>
    </row>
    <row r="49" spans="1:6" ht="15" thickBot="1">
      <c r="A49" s="74" t="s">
        <v>136</v>
      </c>
      <c r="B49" s="129">
        <f>'YR2009'!B49+'YR2010'!B49+'YR2011'!B49</f>
        <v>5201052.18</v>
      </c>
      <c r="C49" s="129">
        <f>'YR2009'!C49+'YR2010'!C49+'YR2011'!C49</f>
        <v>5201052.18</v>
      </c>
      <c r="D49" s="129">
        <f>'YR2009'!D49+'YR2010'!D49+'YR2011'!D49</f>
        <v>0</v>
      </c>
      <c r="E49" s="129">
        <f>'YR2009'!E49+'YR2010'!E49+'YR2011'!E49</f>
        <v>0</v>
      </c>
      <c r="F49" s="157">
        <f t="shared" si="0"/>
        <v>0</v>
      </c>
    </row>
    <row r="50" spans="1:6" ht="15" thickBot="1">
      <c r="A50" s="74" t="s">
        <v>114</v>
      </c>
      <c r="B50" s="129">
        <f>'YR2009'!B50+'YR2010'!B50+'YR2011'!B50</f>
        <v>5905209.5700000003</v>
      </c>
      <c r="C50" s="129">
        <f>'YR2009'!C50+'YR2010'!C50+'YR2011'!C50</f>
        <v>5905209.5700000003</v>
      </c>
      <c r="D50" s="129">
        <f>'YR2009'!D50+'YR2010'!D50+'YR2011'!D50</f>
        <v>0</v>
      </c>
      <c r="E50" s="129">
        <f>'YR2009'!E50+'YR2010'!E50+'YR2011'!E50</f>
        <v>0</v>
      </c>
      <c r="F50" s="157">
        <f t="shared" si="0"/>
        <v>0</v>
      </c>
    </row>
    <row r="51" spans="1:6" ht="15" thickBot="1">
      <c r="A51" s="74" t="s">
        <v>115</v>
      </c>
      <c r="B51" s="129">
        <f>'YR2009'!B51+'YR2010'!B51+'YR2011'!B51</f>
        <v>4857</v>
      </c>
      <c r="C51" s="129">
        <f>'YR2009'!C51+'YR2010'!C51+'YR2011'!C51</f>
        <v>0</v>
      </c>
      <c r="D51" s="129">
        <f>'YR2009'!D51+'YR2010'!D51+'YR2011'!D51</f>
        <v>0</v>
      </c>
      <c r="E51" s="129">
        <f>'YR2009'!E51+'YR2010'!E51+'YR2011'!E51</f>
        <v>0</v>
      </c>
      <c r="F51" s="157">
        <f t="shared" si="0"/>
        <v>4857</v>
      </c>
    </row>
    <row r="52" spans="1:6" ht="15" thickBot="1">
      <c r="A52" s="74" t="s">
        <v>117</v>
      </c>
      <c r="B52" s="129">
        <f>'YR2009'!B52+'YR2010'!B52+'YR2011'!B52</f>
        <v>218531.61</v>
      </c>
      <c r="C52" s="129">
        <f>'YR2009'!C52+'YR2010'!C52+'YR2011'!C52</f>
        <v>0</v>
      </c>
      <c r="D52" s="129">
        <f>'YR2009'!D52+'YR2010'!D52+'YR2011'!D52</f>
        <v>0</v>
      </c>
      <c r="E52" s="129">
        <f>'YR2009'!E52+'YR2010'!E52+'YR2011'!E52</f>
        <v>0</v>
      </c>
      <c r="F52" s="157">
        <f t="shared" si="0"/>
        <v>218531.61</v>
      </c>
    </row>
    <row r="53" spans="1:6" ht="15" thickBot="1">
      <c r="A53" s="74" t="s">
        <v>119</v>
      </c>
      <c r="B53" s="129">
        <f>'YR2009'!B53+'YR2010'!B53+'YR2011'!B53</f>
        <v>32255264.849999998</v>
      </c>
      <c r="C53" s="129">
        <f>'YR2009'!C53+'YR2010'!C53+'YR2011'!C53</f>
        <v>32255264.849999998</v>
      </c>
      <c r="D53" s="129">
        <f>'YR2009'!D53+'YR2010'!D53+'YR2011'!D53</f>
        <v>0</v>
      </c>
      <c r="E53" s="129">
        <f>'YR2009'!E53+'YR2010'!E53+'YR2011'!E53</f>
        <v>0</v>
      </c>
      <c r="F53" s="157">
        <f t="shared" si="0"/>
        <v>0</v>
      </c>
    </row>
    <row r="54" spans="1:6" ht="15" thickBot="1">
      <c r="A54" s="74" t="s">
        <v>120</v>
      </c>
      <c r="B54" s="129">
        <f>'YR2009'!B54+'YR2010'!B54+'YR2011'!B54</f>
        <v>87594207.989999995</v>
      </c>
      <c r="C54" s="129">
        <f>'YR2009'!C54+'YR2010'!C54+'YR2011'!C54+1</f>
        <v>87594208</v>
      </c>
      <c r="D54" s="129">
        <f>'YR2009'!D54+'YR2010'!D54+'YR2011'!D54</f>
        <v>0</v>
      </c>
      <c r="E54" s="129">
        <f>'YR2009'!E54+'YR2010'!E54+'YR2011'!E54</f>
        <v>0</v>
      </c>
      <c r="F54" s="157">
        <f t="shared" si="0"/>
        <v>-1.000000536441803E-2</v>
      </c>
    </row>
    <row r="55" spans="1:6" ht="15" thickBot="1">
      <c r="A55" s="77" t="s">
        <v>121</v>
      </c>
      <c r="B55" s="129">
        <f>'YR2009'!B55+'YR2010'!B55+'YR2011'!B55</f>
        <v>38850.06</v>
      </c>
      <c r="C55" s="129">
        <f>'YR2009'!C55+'YR2010'!C55+'YR2011'!C55</f>
        <v>0</v>
      </c>
      <c r="D55" s="129">
        <f>'YR2009'!D55+'YR2010'!D55+'YR2011'!D55</f>
        <v>0</v>
      </c>
      <c r="E55" s="129">
        <f>'YR2009'!E55+'YR2010'!E55+'YR2011'!E55</f>
        <v>0</v>
      </c>
      <c r="F55" s="157">
        <f t="shared" si="0"/>
        <v>38850.06</v>
      </c>
    </row>
    <row r="56" spans="1:6" ht="15" thickBot="1">
      <c r="A56" s="81" t="s">
        <v>122</v>
      </c>
      <c r="B56" s="196">
        <f>SUM(B9:B55)</f>
        <v>399640706.40000004</v>
      </c>
      <c r="C56" s="197">
        <f>SUM(C9:C55)</f>
        <v>376678075.12</v>
      </c>
      <c r="D56" s="198">
        <f>SUM(D9:D55)</f>
        <v>14151636.059999999</v>
      </c>
      <c r="E56" s="167">
        <f>SUM(E9:E55)</f>
        <v>0.40999999875202775</v>
      </c>
      <c r="F56" s="168">
        <f>SUM(F9:F55)</f>
        <v>8810994.810000008</v>
      </c>
    </row>
    <row r="57" spans="1:6" ht="15" thickBot="1">
      <c r="A57" s="97" t="s">
        <v>137</v>
      </c>
      <c r="B57" s="199">
        <f>216320+67907+121565</f>
        <v>405792</v>
      </c>
      <c r="C57" s="199">
        <v>0</v>
      </c>
      <c r="D57" s="199">
        <v>0</v>
      </c>
      <c r="E57" s="199">
        <v>0</v>
      </c>
      <c r="F57" s="200">
        <f>B57-C57-D57-E57</f>
        <v>405792</v>
      </c>
    </row>
    <row r="58" spans="1:6" ht="15" thickBot="1">
      <c r="A58" s="98" t="s">
        <v>138</v>
      </c>
      <c r="B58" s="83">
        <f>SUM(B56:B57)</f>
        <v>400046498.40000004</v>
      </c>
      <c r="C58" s="83">
        <f>SUM(C56:C57)</f>
        <v>376678075.12</v>
      </c>
      <c r="D58" s="83">
        <f>SUM(D56:D57)</f>
        <v>14151636.059999999</v>
      </c>
      <c r="E58" s="83">
        <f>SUM(E56:E57)</f>
        <v>0.40999999875202775</v>
      </c>
      <c r="F58" s="171">
        <f>SUM(F56:F57)</f>
        <v>9216786.810000008</v>
      </c>
    </row>
    <row r="59" spans="1:6">
      <c r="A59" s="115" t="s">
        <v>141</v>
      </c>
      <c r="B59" s="85"/>
      <c r="C59" s="85"/>
      <c r="D59" s="85"/>
      <c r="E59" s="85"/>
      <c r="F59" s="85"/>
    </row>
    <row r="60" spans="1:6">
      <c r="A60" s="116"/>
      <c r="B60" s="116"/>
      <c r="C60" s="116"/>
      <c r="D60" s="116"/>
      <c r="E60" s="116"/>
      <c r="F60" s="116"/>
    </row>
    <row r="61" spans="1:6" ht="15" thickBot="1">
      <c r="A61" s="110"/>
      <c r="B61" s="110"/>
      <c r="C61" s="110"/>
      <c r="D61" s="110"/>
      <c r="E61" s="110"/>
      <c r="F61" s="110"/>
    </row>
    <row r="62" spans="1:6" ht="15" thickBot="1">
      <c r="A62" s="102" t="s">
        <v>139</v>
      </c>
      <c r="B62" s="172">
        <f>B12+B13+B15+B18+B20+B25+B32+B34+B41+B44+B46+B47+B51+B52+B55</f>
        <v>12378602.069999998</v>
      </c>
      <c r="C62" s="172">
        <f>C12+C13+C15+C18+C20+C25+C32+C34+C41+C44+C46+C47+C51+C52+C55</f>
        <v>5956604.5199999996</v>
      </c>
      <c r="D62" s="172">
        <f>D12+D13+D15+D18+D20+D25+D32+D34+D41+D44+D46+D47+D51+D52+D55</f>
        <v>210843</v>
      </c>
      <c r="E62" s="172">
        <f>E12+E13+E15+E18+E20+E25+E32+E34+E41+E44+E46+E47+E51+E52+E55</f>
        <v>0</v>
      </c>
      <c r="F62" s="173">
        <f>B62-C62-D62-E62</f>
        <v>6211154.5499999989</v>
      </c>
    </row>
  </sheetData>
  <mergeCells count="4">
    <mergeCell ref="E1:F1"/>
    <mergeCell ref="A5:F5"/>
    <mergeCell ref="A6:F6"/>
    <mergeCell ref="A7:F7"/>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5D96C-A8DC-4AEA-AD16-F27D0FD01626}">
  <dimension ref="A1:I59"/>
  <sheetViews>
    <sheetView topLeftCell="A28" workbookViewId="0">
      <selection activeCell="C56" sqref="C56:F56"/>
    </sheetView>
  </sheetViews>
  <sheetFormatPr defaultRowHeight="14.5"/>
  <cols>
    <col min="1" max="1" width="24.453125" customWidth="1"/>
    <col min="2" max="2" width="17.26953125" customWidth="1"/>
    <col min="3" max="3" width="15.26953125" customWidth="1"/>
    <col min="4" max="4" width="15.7265625" customWidth="1"/>
    <col min="5" max="5" width="16" customWidth="1"/>
    <col min="6" max="6" width="20.453125" customWidth="1"/>
    <col min="8" max="8" width="17.54296875" style="112" hidden="1" customWidth="1"/>
    <col min="9" max="9" width="16.453125" style="112" bestFit="1" customWidth="1"/>
  </cols>
  <sheetData>
    <row r="1" spans="1:6" ht="18">
      <c r="A1" s="738" t="str">
        <f>Status!C1</f>
        <v>UNEP/OzL.Pro/ExCom/94/3</v>
      </c>
      <c r="B1" s="738"/>
      <c r="C1" s="1"/>
      <c r="D1" s="1"/>
      <c r="E1" s="1"/>
      <c r="F1" s="1"/>
    </row>
    <row r="2" spans="1:6" ht="18">
      <c r="A2" s="25" t="s">
        <v>0</v>
      </c>
      <c r="B2" s="25"/>
      <c r="C2" s="1"/>
      <c r="D2" s="1"/>
      <c r="E2" s="1"/>
      <c r="F2" s="1"/>
    </row>
    <row r="3" spans="1:6" ht="18">
      <c r="A3" s="23" t="s">
        <v>163</v>
      </c>
      <c r="B3" s="25"/>
      <c r="C3" s="1"/>
      <c r="D3" s="1"/>
      <c r="E3" s="1"/>
      <c r="F3" s="1"/>
    </row>
    <row r="4" spans="1:6" ht="15.5">
      <c r="A4" s="1"/>
      <c r="B4" s="1"/>
      <c r="C4" s="1"/>
      <c r="D4" s="1"/>
      <c r="E4" s="1"/>
      <c r="F4" s="1"/>
    </row>
    <row r="5" spans="1:6" ht="16">
      <c r="A5" s="735" t="s">
        <v>2</v>
      </c>
      <c r="B5" s="735"/>
      <c r="C5" s="735"/>
      <c r="D5" s="735"/>
      <c r="E5" s="735"/>
      <c r="F5" s="735"/>
    </row>
    <row r="6" spans="1:6" ht="15.5">
      <c r="A6" s="729" t="s">
        <v>159</v>
      </c>
      <c r="B6" s="729"/>
      <c r="C6" s="729"/>
      <c r="D6" s="729"/>
      <c r="E6" s="729"/>
      <c r="F6" s="729"/>
    </row>
    <row r="7" spans="1:6" ht="16.5" thickBot="1">
      <c r="A7" s="728" t="str">
        <f>Status!A6</f>
        <v>As at 24/05/2024</v>
      </c>
      <c r="B7" s="728"/>
      <c r="C7" s="728"/>
      <c r="D7" s="728"/>
      <c r="E7" s="728"/>
      <c r="F7" s="728"/>
    </row>
    <row r="8" spans="1:6" ht="30" customHeight="1">
      <c r="A8" s="201" t="s">
        <v>60</v>
      </c>
      <c r="B8" s="202" t="s">
        <v>61</v>
      </c>
      <c r="C8" s="202" t="s">
        <v>62</v>
      </c>
      <c r="D8" s="202" t="s">
        <v>63</v>
      </c>
      <c r="E8" s="203" t="s">
        <v>64</v>
      </c>
      <c r="F8" s="204" t="s">
        <v>65</v>
      </c>
    </row>
    <row r="9" spans="1:6">
      <c r="A9" s="74" t="s">
        <v>67</v>
      </c>
      <c r="B9" s="162">
        <v>12947.8</v>
      </c>
      <c r="C9" s="105">
        <v>12880.8</v>
      </c>
      <c r="D9" s="205"/>
      <c r="E9" s="205"/>
      <c r="F9" s="157">
        <f t="shared" ref="F9:F55" si="0">B9-C9-D9-E9</f>
        <v>67</v>
      </c>
    </row>
    <row r="10" spans="1:6">
      <c r="A10" s="74" t="s">
        <v>130</v>
      </c>
      <c r="B10" s="105">
        <v>2892710.94</v>
      </c>
      <c r="C10" s="105">
        <f>2892710.94-339000</f>
        <v>2553710.94</v>
      </c>
      <c r="D10" s="159">
        <v>339000</v>
      </c>
      <c r="E10" s="159"/>
      <c r="F10" s="157">
        <f t="shared" si="0"/>
        <v>0</v>
      </c>
    </row>
    <row r="11" spans="1:6">
      <c r="A11" s="74" t="s">
        <v>69</v>
      </c>
      <c r="B11" s="105">
        <v>1435833.58</v>
      </c>
      <c r="C11" s="105">
        <f>456621+979212.58</f>
        <v>1435833.58</v>
      </c>
      <c r="D11" s="159"/>
      <c r="E11" s="159"/>
      <c r="F11" s="157">
        <f t="shared" si="0"/>
        <v>0</v>
      </c>
    </row>
    <row r="12" spans="1:6">
      <c r="A12" s="96" t="s">
        <v>70</v>
      </c>
      <c r="B12" s="105">
        <v>8093.76</v>
      </c>
      <c r="C12" s="159"/>
      <c r="D12" s="159"/>
      <c r="E12" s="159"/>
      <c r="F12" s="157">
        <f t="shared" si="0"/>
        <v>8093.76</v>
      </c>
    </row>
    <row r="13" spans="1:6">
      <c r="A13" s="74" t="s">
        <v>71</v>
      </c>
      <c r="B13" s="105">
        <v>32375.05</v>
      </c>
      <c r="C13" s="159"/>
      <c r="D13" s="159"/>
      <c r="E13" s="159"/>
      <c r="F13" s="157">
        <f t="shared" si="0"/>
        <v>32375.05</v>
      </c>
    </row>
    <row r="14" spans="1:6">
      <c r="A14" s="74" t="s">
        <v>72</v>
      </c>
      <c r="B14" s="105">
        <v>1783865.39</v>
      </c>
      <c r="C14" s="105">
        <v>1783865.39</v>
      </c>
      <c r="D14" s="159"/>
      <c r="E14" s="159"/>
      <c r="F14" s="157">
        <f t="shared" si="0"/>
        <v>0</v>
      </c>
    </row>
    <row r="15" spans="1:6">
      <c r="A15" s="74" t="s">
        <v>73</v>
      </c>
      <c r="B15" s="105">
        <v>32375.05</v>
      </c>
      <c r="C15" s="105">
        <v>32375.05</v>
      </c>
      <c r="D15" s="159"/>
      <c r="E15" s="159"/>
      <c r="F15" s="157">
        <f t="shared" si="0"/>
        <v>0</v>
      </c>
    </row>
    <row r="16" spans="1:6">
      <c r="A16" s="74" t="s">
        <v>131</v>
      </c>
      <c r="B16" s="105">
        <v>4819026.57</v>
      </c>
      <c r="C16" s="159">
        <f>110311.17+3855221.72+830429.14+23064.54</f>
        <v>4819026.57</v>
      </c>
      <c r="D16" s="159"/>
      <c r="E16" s="159"/>
      <c r="F16" s="157">
        <f t="shared" si="0"/>
        <v>0</v>
      </c>
    </row>
    <row r="17" spans="1:9">
      <c r="A17" s="74" t="s">
        <v>76</v>
      </c>
      <c r="B17" s="105">
        <v>71225.119999999995</v>
      </c>
      <c r="C17" s="105">
        <v>71225.119999999995</v>
      </c>
      <c r="D17" s="159"/>
      <c r="E17" s="159"/>
      <c r="F17" s="157">
        <f t="shared" si="0"/>
        <v>0</v>
      </c>
    </row>
    <row r="18" spans="1:9">
      <c r="A18" s="74" t="s">
        <v>77</v>
      </c>
      <c r="B18" s="105">
        <v>454869.49</v>
      </c>
      <c r="C18" s="105">
        <f>454869.49-39550+6316</f>
        <v>421635.49</v>
      </c>
      <c r="D18" s="159">
        <f>39550-6316</f>
        <v>33234</v>
      </c>
      <c r="E18" s="159"/>
      <c r="F18" s="157">
        <f t="shared" si="0"/>
        <v>0</v>
      </c>
    </row>
    <row r="19" spans="1:9">
      <c r="A19" s="74" t="s">
        <v>78</v>
      </c>
      <c r="B19" s="105">
        <v>1196258.19</v>
      </c>
      <c r="C19" s="105">
        <v>1196258.19</v>
      </c>
      <c r="D19" s="159"/>
      <c r="E19" s="159"/>
      <c r="F19" s="157">
        <f t="shared" si="0"/>
        <v>0</v>
      </c>
    </row>
    <row r="20" spans="1:9">
      <c r="A20" s="74" t="s">
        <v>79</v>
      </c>
      <c r="B20" s="105">
        <v>25900.04</v>
      </c>
      <c r="C20" s="105">
        <v>25900.04</v>
      </c>
      <c r="D20" s="159"/>
      <c r="E20" s="159"/>
      <c r="F20" s="157">
        <f t="shared" si="0"/>
        <v>0</v>
      </c>
    </row>
    <row r="21" spans="1:9">
      <c r="A21" s="74" t="s">
        <v>80</v>
      </c>
      <c r="B21" s="105">
        <v>912976.48</v>
      </c>
      <c r="C21" s="105">
        <v>912976.48</v>
      </c>
      <c r="D21" s="159"/>
      <c r="E21" s="159"/>
      <c r="F21" s="157">
        <f t="shared" si="0"/>
        <v>0</v>
      </c>
    </row>
    <row r="22" spans="1:9">
      <c r="A22" s="74" t="s">
        <v>132</v>
      </c>
      <c r="B22" s="105">
        <v>10199760.300000001</v>
      </c>
      <c r="C22" s="159">
        <v>9634760.3000000007</v>
      </c>
      <c r="D22" s="159">
        <v>565000</v>
      </c>
      <c r="E22" s="159"/>
      <c r="F22" s="157">
        <f t="shared" si="0"/>
        <v>0</v>
      </c>
    </row>
    <row r="23" spans="1:9">
      <c r="A23" s="74" t="s">
        <v>133</v>
      </c>
      <c r="B23" s="105">
        <v>13884041.279999999</v>
      </c>
      <c r="C23" s="159">
        <f>925602.75+925602.75+925602.75+925602.75+925602.75+925602.75-3467107</f>
        <v>2086509.5</v>
      </c>
      <c r="D23" s="159">
        <f>2776808+3467107</f>
        <v>6243915</v>
      </c>
      <c r="E23" s="159">
        <f>5553616.51-925602.75-925602.75-925602.75-925602.75-1-925602.75-925601.75</f>
        <v>9.9999997764825821E-3</v>
      </c>
      <c r="F23" s="157">
        <f t="shared" si="0"/>
        <v>5553616.7699999996</v>
      </c>
      <c r="H23" s="112">
        <f>9823495.77</f>
        <v>9823495.7699999996</v>
      </c>
    </row>
    <row r="24" spans="1:9">
      <c r="A24" s="74" t="s">
        <v>83</v>
      </c>
      <c r="B24" s="105">
        <v>964776.57</v>
      </c>
      <c r="C24" s="105">
        <v>964776.57</v>
      </c>
      <c r="D24" s="159"/>
      <c r="E24" s="159"/>
      <c r="F24" s="157">
        <f t="shared" si="0"/>
        <v>0</v>
      </c>
      <c r="H24" s="112">
        <f>H23*3</f>
        <v>29470487.309999999</v>
      </c>
    </row>
    <row r="25" spans="1:9">
      <c r="A25" s="74" t="s">
        <v>85</v>
      </c>
      <c r="B25" s="105">
        <v>394975.64</v>
      </c>
      <c r="C25" s="105">
        <f>321022.08+43.5-42858.54+116768.6</f>
        <v>394975.64</v>
      </c>
      <c r="D25" s="159"/>
      <c r="E25" s="159"/>
      <c r="F25" s="206">
        <f t="shared" si="0"/>
        <v>0</v>
      </c>
      <c r="H25" s="112">
        <f>H24*20%</f>
        <v>5894097.4620000003</v>
      </c>
      <c r="I25" s="112">
        <v>1601681.03</v>
      </c>
    </row>
    <row r="26" spans="1:9">
      <c r="A26" s="74" t="s">
        <v>86</v>
      </c>
      <c r="B26" s="105">
        <v>59893.85</v>
      </c>
      <c r="C26" s="105">
        <v>59893.85</v>
      </c>
      <c r="D26" s="159"/>
      <c r="E26" s="159"/>
      <c r="F26" s="157">
        <f t="shared" si="0"/>
        <v>0</v>
      </c>
      <c r="H26" s="112">
        <f>H24-H25</f>
        <v>23576389.847999997</v>
      </c>
      <c r="I26" s="112">
        <f>116769-0.4</f>
        <v>116768.6</v>
      </c>
    </row>
    <row r="27" spans="1:9">
      <c r="A27" s="74" t="s">
        <v>134</v>
      </c>
      <c r="B27" s="105">
        <v>720344.92</v>
      </c>
      <c r="C27" s="105">
        <v>720344.92</v>
      </c>
      <c r="D27" s="159"/>
      <c r="E27" s="159"/>
      <c r="F27" s="157">
        <f t="shared" si="0"/>
        <v>0</v>
      </c>
      <c r="I27" s="112">
        <v>494970.81</v>
      </c>
    </row>
    <row r="28" spans="1:9">
      <c r="A28" s="74" t="s">
        <v>88</v>
      </c>
      <c r="B28" s="105">
        <v>678257.35</v>
      </c>
      <c r="C28" s="159"/>
      <c r="D28" s="159"/>
      <c r="E28" s="159"/>
      <c r="F28" s="157">
        <f t="shared" si="0"/>
        <v>678257.35</v>
      </c>
      <c r="H28" s="112">
        <f>B23-D23</f>
        <v>7640126.2799999993</v>
      </c>
      <c r="I28" s="112">
        <v>494970.81</v>
      </c>
    </row>
    <row r="29" spans="1:9">
      <c r="A29" s="74" t="s">
        <v>89</v>
      </c>
      <c r="B29" s="105">
        <v>8221644.5899999999</v>
      </c>
      <c r="C29" s="159">
        <f>5455622.67+2766022</f>
        <v>8221644.6699999999</v>
      </c>
      <c r="D29" s="159"/>
      <c r="E29" s="159"/>
      <c r="F29" s="157">
        <f t="shared" si="0"/>
        <v>-8.0000000074505806E-2</v>
      </c>
      <c r="H29" s="112">
        <f>H28/6</f>
        <v>1273354.3799999999</v>
      </c>
      <c r="I29" s="112">
        <v>494970.81</v>
      </c>
    </row>
    <row r="30" spans="1:9">
      <c r="A30" s="74" t="s">
        <v>135</v>
      </c>
      <c r="B30" s="105">
        <v>26910143.66</v>
      </c>
      <c r="C30" s="105">
        <f>26910143.66-146900-322746</f>
        <v>26440497.66</v>
      </c>
      <c r="D30" s="159">
        <f>146900+322746</f>
        <v>469646</v>
      </c>
      <c r="E30" s="159"/>
      <c r="F30" s="157">
        <f t="shared" si="0"/>
        <v>0</v>
      </c>
    </row>
    <row r="31" spans="1:9">
      <c r="A31" s="74" t="s">
        <v>91</v>
      </c>
      <c r="B31" s="179">
        <v>0</v>
      </c>
      <c r="C31" s="105">
        <v>0</v>
      </c>
      <c r="D31" s="159"/>
      <c r="E31" s="159"/>
      <c r="F31" s="157">
        <f t="shared" si="0"/>
        <v>0</v>
      </c>
    </row>
    <row r="32" spans="1:9">
      <c r="A32" s="74" t="s">
        <v>93</v>
      </c>
      <c r="B32" s="105">
        <v>29137.55</v>
      </c>
      <c r="C32" s="105">
        <v>29137.55</v>
      </c>
      <c r="D32" s="159"/>
      <c r="E32" s="159"/>
      <c r="F32" s="157">
        <f t="shared" si="0"/>
        <v>0</v>
      </c>
    </row>
    <row r="33" spans="1:6">
      <c r="A33" s="74" t="s">
        <v>94</v>
      </c>
      <c r="B33" s="105">
        <v>16187.53</v>
      </c>
      <c r="C33" s="105">
        <v>16187.53</v>
      </c>
      <c r="D33" s="159"/>
      <c r="E33" s="159"/>
      <c r="F33" s="157">
        <f t="shared" si="0"/>
        <v>0</v>
      </c>
    </row>
    <row r="34" spans="1:6">
      <c r="A34" s="74" t="s">
        <v>95</v>
      </c>
      <c r="B34" s="105">
        <v>50181.33</v>
      </c>
      <c r="C34" s="159">
        <v>50181.33</v>
      </c>
      <c r="D34" s="159"/>
      <c r="E34" s="159"/>
      <c r="F34" s="157">
        <f t="shared" si="0"/>
        <v>0</v>
      </c>
    </row>
    <row r="35" spans="1:6">
      <c r="A35" s="74" t="s">
        <v>96</v>
      </c>
      <c r="B35" s="105">
        <v>137593.97</v>
      </c>
      <c r="C35" s="105">
        <v>137593.97</v>
      </c>
      <c r="D35" s="159"/>
      <c r="E35" s="159"/>
      <c r="F35" s="157">
        <f t="shared" si="0"/>
        <v>0</v>
      </c>
    </row>
    <row r="36" spans="1:6">
      <c r="A36" s="74" t="s">
        <v>97</v>
      </c>
      <c r="B36" s="105">
        <v>27518.79</v>
      </c>
      <c r="C36" s="105">
        <v>27518.79</v>
      </c>
      <c r="D36" s="159"/>
      <c r="E36" s="159"/>
      <c r="F36" s="157">
        <f t="shared" si="0"/>
        <v>0</v>
      </c>
    </row>
    <row r="37" spans="1:6">
      <c r="A37" s="74" t="s">
        <v>98</v>
      </c>
      <c r="B37" s="105">
        <v>4856.26</v>
      </c>
      <c r="C37" s="105">
        <v>4856.26</v>
      </c>
      <c r="D37" s="159"/>
      <c r="E37" s="159"/>
      <c r="F37" s="157">
        <f t="shared" si="0"/>
        <v>0</v>
      </c>
    </row>
    <row r="38" spans="1:6">
      <c r="A38" s="74" t="s">
        <v>99</v>
      </c>
      <c r="B38" s="105">
        <v>3031923.67</v>
      </c>
      <c r="C38" s="105">
        <f>1515961.84+1515961.83</f>
        <v>3031923.67</v>
      </c>
      <c r="D38" s="159"/>
      <c r="E38" s="159"/>
      <c r="F38" s="157">
        <f t="shared" si="0"/>
        <v>0</v>
      </c>
    </row>
    <row r="39" spans="1:6">
      <c r="A39" s="74" t="s">
        <v>100</v>
      </c>
      <c r="B39" s="105">
        <v>414400.67</v>
      </c>
      <c r="C39" s="105">
        <v>414400.67</v>
      </c>
      <c r="D39" s="159"/>
      <c r="E39" s="159"/>
      <c r="F39" s="157">
        <f t="shared" si="0"/>
        <v>0</v>
      </c>
    </row>
    <row r="40" spans="1:6">
      <c r="A40" s="74" t="s">
        <v>101</v>
      </c>
      <c r="B40" s="105">
        <v>1265864.55</v>
      </c>
      <c r="C40" s="105">
        <v>1265864.55</v>
      </c>
      <c r="D40" s="159"/>
      <c r="E40" s="159"/>
      <c r="F40" s="157">
        <f t="shared" si="0"/>
        <v>0</v>
      </c>
    </row>
    <row r="41" spans="1:6">
      <c r="A41" s="74" t="s">
        <v>103</v>
      </c>
      <c r="B41" s="105">
        <v>810995.07</v>
      </c>
      <c r="C41" s="105">
        <v>810995.07</v>
      </c>
      <c r="D41" s="159"/>
      <c r="E41" s="159"/>
      <c r="F41" s="157">
        <f t="shared" si="0"/>
        <v>0</v>
      </c>
    </row>
    <row r="42" spans="1:6">
      <c r="A42" s="74" t="s">
        <v>104</v>
      </c>
      <c r="B42" s="105">
        <v>853082.63</v>
      </c>
      <c r="C42" s="105">
        <v>853083</v>
      </c>
      <c r="D42" s="159"/>
      <c r="E42" s="159"/>
      <c r="F42" s="157">
        <f t="shared" si="0"/>
        <v>-0.36999999999534339</v>
      </c>
    </row>
    <row r="43" spans="1:6">
      <c r="A43" s="74" t="s">
        <v>105</v>
      </c>
      <c r="B43" s="105">
        <v>113312.68</v>
      </c>
      <c r="C43" s="105">
        <v>113312.68</v>
      </c>
      <c r="D43" s="159"/>
      <c r="E43" s="159"/>
      <c r="F43" s="157">
        <f t="shared" si="0"/>
        <v>0</v>
      </c>
    </row>
    <row r="44" spans="1:6">
      <c r="A44" s="74" t="s">
        <v>106</v>
      </c>
      <c r="B44" s="105">
        <v>1942503.15</v>
      </c>
      <c r="C44" s="159"/>
      <c r="D44" s="159"/>
      <c r="E44" s="159"/>
      <c r="F44" s="157">
        <f t="shared" si="0"/>
        <v>1942503.15</v>
      </c>
    </row>
    <row r="45" spans="1:6">
      <c r="A45" s="74" t="s">
        <v>107</v>
      </c>
      <c r="B45" s="162">
        <v>4855.3500000000004</v>
      </c>
      <c r="C45" s="159">
        <v>4855.3500000000004</v>
      </c>
      <c r="D45" s="159"/>
      <c r="E45" s="159"/>
      <c r="F45" s="157">
        <f t="shared" si="0"/>
        <v>0</v>
      </c>
    </row>
    <row r="46" spans="1:6">
      <c r="A46" s="74" t="s">
        <v>109</v>
      </c>
      <c r="B46" s="105">
        <v>101981.42</v>
      </c>
      <c r="C46" s="105">
        <v>101981.42</v>
      </c>
      <c r="D46" s="159"/>
      <c r="E46" s="159"/>
      <c r="F46" s="157">
        <f t="shared" si="0"/>
        <v>0</v>
      </c>
    </row>
    <row r="47" spans="1:6">
      <c r="A47" s="74" t="s">
        <v>110</v>
      </c>
      <c r="B47" s="105">
        <v>155400.25</v>
      </c>
      <c r="C47" s="105">
        <v>155400.25</v>
      </c>
      <c r="D47" s="159"/>
      <c r="E47" s="159"/>
      <c r="F47" s="157">
        <f t="shared" si="0"/>
        <v>0</v>
      </c>
    </row>
    <row r="48" spans="1:6">
      <c r="A48" s="74" t="s">
        <v>112</v>
      </c>
      <c r="B48" s="105">
        <v>4804457.8</v>
      </c>
      <c r="C48" s="159">
        <f>929159.06+3875298.74</f>
        <v>4804457.8000000007</v>
      </c>
      <c r="D48" s="159"/>
      <c r="E48" s="159"/>
      <c r="F48" s="157">
        <f t="shared" si="0"/>
        <v>-9.3132257461547852E-10</v>
      </c>
    </row>
    <row r="49" spans="1:6">
      <c r="A49" s="74" t="s">
        <v>136</v>
      </c>
      <c r="B49" s="105">
        <v>1733684.06</v>
      </c>
      <c r="C49" s="105">
        <v>1733684.06</v>
      </c>
      <c r="D49" s="159"/>
      <c r="E49" s="159"/>
      <c r="F49" s="157">
        <f t="shared" si="0"/>
        <v>0</v>
      </c>
    </row>
    <row r="50" spans="1:6">
      <c r="A50" s="74" t="s">
        <v>114</v>
      </c>
      <c r="B50" s="105">
        <v>1968403.19</v>
      </c>
      <c r="C50" s="105">
        <v>1968403.19</v>
      </c>
      <c r="D50" s="159"/>
      <c r="E50" s="159"/>
      <c r="F50" s="157">
        <f t="shared" si="0"/>
        <v>0</v>
      </c>
    </row>
    <row r="51" spans="1:6">
      <c r="A51" s="74" t="s">
        <v>115</v>
      </c>
      <c r="B51" s="105">
        <v>1619</v>
      </c>
      <c r="C51" s="159"/>
      <c r="D51" s="159"/>
      <c r="E51" s="159"/>
      <c r="F51" s="157">
        <f t="shared" si="0"/>
        <v>1619</v>
      </c>
    </row>
    <row r="52" spans="1:6">
      <c r="A52" s="74" t="s">
        <v>117</v>
      </c>
      <c r="B52" s="105">
        <v>72843.87</v>
      </c>
      <c r="C52" s="159"/>
      <c r="D52" s="159"/>
      <c r="E52" s="159"/>
      <c r="F52" s="157">
        <f t="shared" si="0"/>
        <v>72843.87</v>
      </c>
    </row>
    <row r="53" spans="1:6">
      <c r="A53" s="74" t="s">
        <v>119</v>
      </c>
      <c r="B53" s="105">
        <v>10751754.949999999</v>
      </c>
      <c r="C53" s="105">
        <v>10751754.949999999</v>
      </c>
      <c r="D53" s="159"/>
      <c r="E53" s="105"/>
      <c r="F53" s="157">
        <f t="shared" si="0"/>
        <v>0</v>
      </c>
    </row>
    <row r="54" spans="1:6">
      <c r="A54" s="74" t="s">
        <v>120</v>
      </c>
      <c r="B54" s="105">
        <f>29333333.33</f>
        <v>29333333.329999998</v>
      </c>
      <c r="C54" s="207">
        <f>2445747+310527+25000000+1730000+3460000-3612941</f>
        <v>29333333</v>
      </c>
      <c r="D54" s="159"/>
      <c r="E54" s="159"/>
      <c r="F54" s="157">
        <f t="shared" si="0"/>
        <v>0.32999999821186066</v>
      </c>
    </row>
    <row r="55" spans="1:6" ht="15" thickBot="1">
      <c r="A55" s="77" t="s">
        <v>121</v>
      </c>
      <c r="B55" s="208">
        <v>12950.02</v>
      </c>
      <c r="C55" s="164"/>
      <c r="D55" s="164"/>
      <c r="E55" s="164"/>
      <c r="F55" s="209">
        <f t="shared" si="0"/>
        <v>12950.02</v>
      </c>
    </row>
    <row r="56" spans="1:6" ht="15" thickBot="1">
      <c r="A56" s="81" t="s">
        <v>124</v>
      </c>
      <c r="B56" s="79">
        <f>SUM(B9:B55)</f>
        <v>133351136.71000001</v>
      </c>
      <c r="C56" s="167">
        <f>SUM(C9:C55)</f>
        <v>117398015.84999999</v>
      </c>
      <c r="D56" s="167">
        <f>SUM(D9:D55)</f>
        <v>7650795</v>
      </c>
      <c r="E56" s="167">
        <f>SUM(E9:E55)</f>
        <v>9.9999997764825821E-3</v>
      </c>
      <c r="F56" s="168">
        <f>SUM(F9:F55)</f>
        <v>8302325.8499999959</v>
      </c>
    </row>
    <row r="57" spans="1:6">
      <c r="A57" s="210"/>
      <c r="B57" s="110"/>
      <c r="C57" s="110"/>
      <c r="D57" s="110"/>
      <c r="E57" s="110"/>
      <c r="F57" s="110"/>
    </row>
    <row r="58" spans="1:6" ht="15" thickBot="1">
      <c r="A58" s="110"/>
      <c r="B58" s="110"/>
      <c r="C58" s="110"/>
      <c r="D58" s="110"/>
      <c r="E58" s="110"/>
      <c r="F58" s="110"/>
    </row>
    <row r="59" spans="1:6" ht="15" thickBot="1">
      <c r="A59" s="102" t="s">
        <v>139</v>
      </c>
      <c r="B59" s="172">
        <f>B12+B13+B15+B18+B20+B25+B32+B34+B41+B44+B46+B47+B51+B52+B55</f>
        <v>4126200.69</v>
      </c>
      <c r="C59" s="172">
        <f>C12+C13+C15+C18+C20+C25+C32+C34+C41+C44+C46+C47+C51+C52+C55</f>
        <v>2022581.8399999999</v>
      </c>
      <c r="D59" s="172">
        <f>D12+D13+D15+D18+D20+D25+D32+D34+D41+D44+D46+D47+D51+D52+D55</f>
        <v>33234</v>
      </c>
      <c r="E59" s="172">
        <f>E12+E13+E15+E18+E20+E25+E32+E34+E41+E44+E46+E47+E51+E52+E55</f>
        <v>0</v>
      </c>
      <c r="F59" s="173">
        <f>B59-C59-D59-E59</f>
        <v>2070384.85</v>
      </c>
    </row>
  </sheetData>
  <mergeCells count="4">
    <mergeCell ref="A1:B1"/>
    <mergeCell ref="A5:F5"/>
    <mergeCell ref="A6:F6"/>
    <mergeCell ref="A7:F7"/>
  </mergeCell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AFCE1-D8CF-4683-BD14-B4DBFC03CF7C}">
  <dimension ref="A1:I62"/>
  <sheetViews>
    <sheetView topLeftCell="A22" workbookViewId="0">
      <selection activeCell="C58" sqref="C58:F58"/>
    </sheetView>
  </sheetViews>
  <sheetFormatPr defaultRowHeight="14.5"/>
  <cols>
    <col min="1" max="1" width="24" customWidth="1"/>
    <col min="2" max="2" width="14.26953125" customWidth="1"/>
    <col min="3" max="4" width="12.54296875" customWidth="1"/>
    <col min="5" max="5" width="12.7265625" customWidth="1"/>
    <col min="6" max="6" width="15.7265625" customWidth="1"/>
  </cols>
  <sheetData>
    <row r="1" spans="1:7" ht="16.5">
      <c r="A1" s="1"/>
      <c r="B1" s="1"/>
      <c r="C1" s="1"/>
      <c r="D1" s="1"/>
      <c r="E1" s="1"/>
      <c r="F1" s="218" t="str">
        <f>Status!C1</f>
        <v>UNEP/OzL.Pro/ExCom/94/3</v>
      </c>
    </row>
    <row r="2" spans="1:7" ht="16.5">
      <c r="A2" s="1"/>
      <c r="B2" s="1"/>
      <c r="C2" s="1"/>
      <c r="D2" s="1"/>
      <c r="E2" s="1"/>
      <c r="F2" s="212" t="s">
        <v>0</v>
      </c>
      <c r="G2" s="212"/>
    </row>
    <row r="3" spans="1:7" ht="16.5">
      <c r="A3" s="1"/>
      <c r="B3" s="1"/>
      <c r="C3" s="1"/>
      <c r="D3" s="1"/>
      <c r="E3" s="1"/>
      <c r="F3" s="212" t="s">
        <v>165</v>
      </c>
      <c r="G3" s="212"/>
    </row>
    <row r="4" spans="1:7" ht="15.5">
      <c r="A4" s="1"/>
      <c r="B4" s="1"/>
      <c r="C4" s="1"/>
      <c r="D4" s="1"/>
      <c r="E4" s="1"/>
      <c r="F4" s="1"/>
    </row>
    <row r="5" spans="1:7">
      <c r="A5" s="745" t="s">
        <v>2</v>
      </c>
      <c r="B5" s="745"/>
      <c r="C5" s="745"/>
      <c r="D5" s="745"/>
      <c r="E5" s="745"/>
      <c r="F5" s="745"/>
    </row>
    <row r="6" spans="1:7">
      <c r="A6" s="746" t="s">
        <v>161</v>
      </c>
      <c r="B6" s="746"/>
      <c r="C6" s="746"/>
      <c r="D6" s="746"/>
      <c r="E6" s="746"/>
      <c r="F6" s="746"/>
    </row>
    <row r="7" spans="1:7" ht="15" thickBot="1">
      <c r="A7" s="747" t="str">
        <f>Status!A6</f>
        <v>As at 24/05/2024</v>
      </c>
      <c r="B7" s="747"/>
      <c r="C7" s="747"/>
      <c r="D7" s="747"/>
      <c r="E7" s="747"/>
      <c r="F7" s="747"/>
    </row>
    <row r="8" spans="1:7" ht="26">
      <c r="A8" s="213" t="s">
        <v>60</v>
      </c>
      <c r="B8" s="214" t="s">
        <v>61</v>
      </c>
      <c r="C8" s="214" t="s">
        <v>62</v>
      </c>
      <c r="D8" s="214" t="s">
        <v>63</v>
      </c>
      <c r="E8" s="214" t="s">
        <v>64</v>
      </c>
      <c r="F8" s="215" t="s">
        <v>65</v>
      </c>
    </row>
    <row r="9" spans="1:7">
      <c r="A9" s="74" t="s">
        <v>67</v>
      </c>
      <c r="B9" s="73">
        <v>12947.8</v>
      </c>
      <c r="C9" s="105">
        <f>12910.8+37</f>
        <v>12947.8</v>
      </c>
      <c r="D9" s="205"/>
      <c r="E9" s="205"/>
      <c r="F9" s="157">
        <f t="shared" ref="F9:F57" si="0">B9-C9-D9-E9</f>
        <v>0</v>
      </c>
    </row>
    <row r="10" spans="1:7">
      <c r="A10" s="74" t="s">
        <v>130</v>
      </c>
      <c r="B10" s="105">
        <v>2892710.94</v>
      </c>
      <c r="C10" s="105">
        <v>2892710.94</v>
      </c>
      <c r="D10" s="159"/>
      <c r="E10" s="159"/>
      <c r="F10" s="157">
        <f t="shared" si="0"/>
        <v>0</v>
      </c>
    </row>
    <row r="11" spans="1:7">
      <c r="A11" s="74" t="s">
        <v>69</v>
      </c>
      <c r="B11" s="105">
        <v>1435833.58</v>
      </c>
      <c r="C11" s="105">
        <v>1435833.58</v>
      </c>
      <c r="D11" s="159"/>
      <c r="E11" s="159"/>
      <c r="F11" s="157">
        <f t="shared" si="0"/>
        <v>0</v>
      </c>
    </row>
    <row r="12" spans="1:7">
      <c r="A12" s="96" t="s">
        <v>70</v>
      </c>
      <c r="B12" s="105">
        <v>8093.76</v>
      </c>
      <c r="C12" s="159"/>
      <c r="D12" s="159"/>
      <c r="E12" s="159"/>
      <c r="F12" s="157">
        <f t="shared" si="0"/>
        <v>8093.76</v>
      </c>
    </row>
    <row r="13" spans="1:7">
      <c r="A13" s="74" t="s">
        <v>71</v>
      </c>
      <c r="B13" s="105">
        <v>32375.05</v>
      </c>
      <c r="C13" s="159"/>
      <c r="D13" s="159"/>
      <c r="E13" s="159"/>
      <c r="F13" s="157">
        <f t="shared" si="0"/>
        <v>32375.05</v>
      </c>
    </row>
    <row r="14" spans="1:7">
      <c r="A14" s="74" t="s">
        <v>72</v>
      </c>
      <c r="B14" s="105">
        <v>1783865.39</v>
      </c>
      <c r="C14" s="105">
        <v>1783865.39</v>
      </c>
      <c r="D14" s="159"/>
      <c r="E14" s="159"/>
      <c r="F14" s="157">
        <f t="shared" si="0"/>
        <v>0</v>
      </c>
    </row>
    <row r="15" spans="1:7">
      <c r="A15" s="74" t="s">
        <v>73</v>
      </c>
      <c r="B15" s="105">
        <v>32375.05</v>
      </c>
      <c r="C15" s="105">
        <v>32375.05</v>
      </c>
      <c r="D15" s="159"/>
      <c r="E15" s="159"/>
      <c r="F15" s="157">
        <f t="shared" si="0"/>
        <v>0</v>
      </c>
    </row>
    <row r="16" spans="1:7">
      <c r="A16" s="74" t="s">
        <v>131</v>
      </c>
      <c r="B16" s="105">
        <v>4819026.57</v>
      </c>
      <c r="C16" s="159">
        <f>3855221.72+634409.85</f>
        <v>4489631.57</v>
      </c>
      <c r="D16" s="159">
        <f>887922-558527</f>
        <v>329395</v>
      </c>
      <c r="E16" s="159"/>
      <c r="F16" s="157">
        <f t="shared" si="0"/>
        <v>0</v>
      </c>
    </row>
    <row r="17" spans="1:9">
      <c r="A17" s="74" t="s">
        <v>76</v>
      </c>
      <c r="B17" s="105">
        <v>71225.119999999995</v>
      </c>
      <c r="C17" s="105">
        <v>71225.119999999995</v>
      </c>
      <c r="D17" s="159"/>
      <c r="E17" s="159"/>
      <c r="F17" s="157">
        <f t="shared" si="0"/>
        <v>0</v>
      </c>
    </row>
    <row r="18" spans="1:9">
      <c r="A18" s="74" t="s">
        <v>77</v>
      </c>
      <c r="B18" s="105">
        <v>454869.49</v>
      </c>
      <c r="C18" s="105">
        <f>454869.49-90965+454869.49-454869.49+4321</f>
        <v>368225.49</v>
      </c>
      <c r="D18" s="159">
        <f>90965-4321</f>
        <v>86644</v>
      </c>
      <c r="E18" s="159"/>
      <c r="F18" s="157">
        <f t="shared" si="0"/>
        <v>0</v>
      </c>
    </row>
    <row r="19" spans="1:9">
      <c r="A19" s="74" t="s">
        <v>78</v>
      </c>
      <c r="B19" s="105">
        <v>1196258.19</v>
      </c>
      <c r="C19" s="105">
        <v>1196258.19</v>
      </c>
      <c r="D19" s="159"/>
      <c r="E19" s="159"/>
      <c r="F19" s="157">
        <f t="shared" si="0"/>
        <v>0</v>
      </c>
    </row>
    <row r="20" spans="1:9">
      <c r="A20" s="74" t="s">
        <v>79</v>
      </c>
      <c r="B20" s="105">
        <v>25900.04</v>
      </c>
      <c r="C20" s="105">
        <v>25900.04</v>
      </c>
      <c r="D20" s="159"/>
      <c r="E20" s="159"/>
      <c r="F20" s="157">
        <f t="shared" si="0"/>
        <v>0</v>
      </c>
    </row>
    <row r="21" spans="1:9">
      <c r="A21" s="74" t="s">
        <v>80</v>
      </c>
      <c r="B21" s="105">
        <v>912976.48</v>
      </c>
      <c r="C21" s="105">
        <v>912976.48</v>
      </c>
      <c r="D21" s="159"/>
      <c r="E21" s="159"/>
      <c r="F21" s="157">
        <f t="shared" si="0"/>
        <v>0</v>
      </c>
    </row>
    <row r="22" spans="1:9">
      <c r="A22" s="74" t="s">
        <v>132</v>
      </c>
      <c r="B22" s="105">
        <v>10199760.300000001</v>
      </c>
      <c r="C22" s="159">
        <v>9907090.3000000007</v>
      </c>
      <c r="D22" s="159">
        <v>207355</v>
      </c>
      <c r="E22" s="159"/>
      <c r="F22" s="157">
        <f t="shared" si="0"/>
        <v>85315</v>
      </c>
    </row>
    <row r="23" spans="1:9">
      <c r="A23" s="74" t="s">
        <v>133</v>
      </c>
      <c r="B23" s="105">
        <v>13884041.279999999</v>
      </c>
      <c r="C23" s="159">
        <f>2314006.88+2314006.88+2314006.88+2314006.68+2314006.88+2314006.88+2248464</f>
        <v>16132505.079999998</v>
      </c>
      <c r="D23" s="159">
        <f>305008+957058+1514742-2248464</f>
        <v>528344</v>
      </c>
      <c r="E23" s="159">
        <f>13884041.28-2314006.88-2314006.88-2314006.88-2314006.68-2314006.88-2314006.88</f>
        <v>0.19999999925494194</v>
      </c>
      <c r="F23" s="157">
        <f t="shared" si="0"/>
        <v>-2776807.9999999981</v>
      </c>
    </row>
    <row r="24" spans="1:9">
      <c r="A24" s="74" t="s">
        <v>83</v>
      </c>
      <c r="B24" s="105">
        <v>964776.57</v>
      </c>
      <c r="C24" s="159">
        <f>668915.66+295860.91</f>
        <v>964776.57000000007</v>
      </c>
      <c r="D24" s="159"/>
      <c r="E24" s="159"/>
      <c r="F24" s="157">
        <f t="shared" si="0"/>
        <v>-1.1641532182693481E-10</v>
      </c>
    </row>
    <row r="25" spans="1:9">
      <c r="A25" s="74" t="s">
        <v>85</v>
      </c>
      <c r="B25" s="105">
        <v>394975.64</v>
      </c>
      <c r="C25" s="105">
        <f>185024+102333.28+64725.96+33.5+42858.54</f>
        <v>394975.28</v>
      </c>
      <c r="D25" s="159"/>
      <c r="E25" s="159"/>
      <c r="F25" s="157">
        <f t="shared" si="0"/>
        <v>0.35999999998603016</v>
      </c>
    </row>
    <row r="26" spans="1:9">
      <c r="A26" s="74" t="s">
        <v>86</v>
      </c>
      <c r="B26" s="105">
        <v>59893.85</v>
      </c>
      <c r="C26" s="105">
        <v>59893.85</v>
      </c>
      <c r="D26" s="159"/>
      <c r="E26" s="159"/>
      <c r="F26" s="157">
        <f t="shared" si="0"/>
        <v>0</v>
      </c>
    </row>
    <row r="27" spans="1:9">
      <c r="A27" s="74" t="s">
        <v>134</v>
      </c>
      <c r="B27" s="105">
        <v>720344.92</v>
      </c>
      <c r="C27" s="105">
        <v>720344.92</v>
      </c>
      <c r="D27" s="159"/>
      <c r="E27" s="159"/>
      <c r="F27" s="157">
        <f t="shared" si="0"/>
        <v>0</v>
      </c>
    </row>
    <row r="28" spans="1:9">
      <c r="A28" s="74" t="s">
        <v>88</v>
      </c>
      <c r="B28" s="105">
        <v>678257.35</v>
      </c>
      <c r="C28" s="159"/>
      <c r="D28" s="159"/>
      <c r="E28" s="159"/>
      <c r="F28" s="157">
        <f t="shared" si="0"/>
        <v>678257.35</v>
      </c>
    </row>
    <row r="29" spans="1:9">
      <c r="A29" s="74" t="s">
        <v>89</v>
      </c>
      <c r="B29" s="105">
        <v>8221644.5899999999</v>
      </c>
      <c r="C29" s="159">
        <f>6577315.67+988929+9365.8+201131.4</f>
        <v>7776741.8700000001</v>
      </c>
      <c r="D29" s="159">
        <f>237300+418100-9365.8-201131.4</f>
        <v>444902.79999999993</v>
      </c>
      <c r="E29" s="159"/>
      <c r="F29" s="157">
        <f t="shared" si="0"/>
        <v>-8.0000000190921128E-2</v>
      </c>
    </row>
    <row r="30" spans="1:9">
      <c r="A30" s="74" t="s">
        <v>135</v>
      </c>
      <c r="B30" s="105">
        <v>26910143.66</v>
      </c>
      <c r="C30" s="73">
        <f>26910143.66-498443-33900-67800-607206+3028.11+1453.58+5589.87+236.22</f>
        <v>25713102.439999998</v>
      </c>
      <c r="D30" s="159">
        <f>566243+33900+607206-3028.11-1453.58-5589.87-236.22</f>
        <v>1197041.2199999997</v>
      </c>
      <c r="E30" s="159"/>
      <c r="F30" s="157">
        <f t="shared" si="0"/>
        <v>2.7939677238464355E-9</v>
      </c>
    </row>
    <row r="31" spans="1:9">
      <c r="A31" s="74" t="s">
        <v>91</v>
      </c>
      <c r="B31" s="179">
        <v>0</v>
      </c>
      <c r="C31" s="105">
        <v>0</v>
      </c>
      <c r="D31" s="159"/>
      <c r="E31" s="159"/>
      <c r="F31" s="157">
        <f t="shared" si="0"/>
        <v>0</v>
      </c>
      <c r="H31" s="112"/>
      <c r="I31" s="112"/>
    </row>
    <row r="32" spans="1:9">
      <c r="A32" s="74" t="s">
        <v>93</v>
      </c>
      <c r="B32" s="105">
        <v>29137.55</v>
      </c>
      <c r="C32" s="159">
        <f>29085.05+52.5</f>
        <v>29137.55</v>
      </c>
      <c r="D32" s="159"/>
      <c r="E32" s="159"/>
      <c r="F32" s="157">
        <f t="shared" si="0"/>
        <v>0</v>
      </c>
    </row>
    <row r="33" spans="1:6">
      <c r="A33" s="74" t="s">
        <v>94</v>
      </c>
      <c r="B33" s="105">
        <v>16187.53</v>
      </c>
      <c r="C33" s="105">
        <v>16187.53</v>
      </c>
      <c r="D33" s="159"/>
      <c r="E33" s="159"/>
      <c r="F33" s="157">
        <f t="shared" si="0"/>
        <v>0</v>
      </c>
    </row>
    <row r="34" spans="1:6">
      <c r="A34" s="74" t="s">
        <v>95</v>
      </c>
      <c r="B34" s="105">
        <v>50181.33</v>
      </c>
      <c r="C34" s="159">
        <v>50181.33</v>
      </c>
      <c r="D34" s="159"/>
      <c r="E34" s="159"/>
      <c r="F34" s="157">
        <f t="shared" si="0"/>
        <v>0</v>
      </c>
    </row>
    <row r="35" spans="1:6">
      <c r="A35" s="74" t="s">
        <v>96</v>
      </c>
      <c r="B35" s="105">
        <v>137593.97</v>
      </c>
      <c r="C35" s="105">
        <v>137593.97</v>
      </c>
      <c r="D35" s="159"/>
      <c r="E35" s="159"/>
      <c r="F35" s="157">
        <f t="shared" si="0"/>
        <v>0</v>
      </c>
    </row>
    <row r="36" spans="1:6">
      <c r="A36" s="74" t="s">
        <v>97</v>
      </c>
      <c r="B36" s="105">
        <v>27518.79</v>
      </c>
      <c r="C36" s="105">
        <v>27518.79</v>
      </c>
      <c r="D36" s="159"/>
      <c r="E36" s="159"/>
      <c r="F36" s="157">
        <f t="shared" si="0"/>
        <v>0</v>
      </c>
    </row>
    <row r="37" spans="1:6">
      <c r="A37" s="74" t="s">
        <v>98</v>
      </c>
      <c r="B37" s="105">
        <v>4856.26</v>
      </c>
      <c r="C37" s="105">
        <v>4856.26</v>
      </c>
      <c r="D37" s="159"/>
      <c r="E37" s="159"/>
      <c r="F37" s="157">
        <f t="shared" si="0"/>
        <v>0</v>
      </c>
    </row>
    <row r="38" spans="1:6">
      <c r="A38" s="74" t="s">
        <v>99</v>
      </c>
      <c r="B38" s="105">
        <v>3031923.67</v>
      </c>
      <c r="C38" s="105">
        <f>1515961.48+1515961.83</f>
        <v>3031923.31</v>
      </c>
      <c r="D38" s="159"/>
      <c r="E38" s="159"/>
      <c r="F38" s="157">
        <f t="shared" si="0"/>
        <v>0.35999999986961484</v>
      </c>
    </row>
    <row r="39" spans="1:6">
      <c r="A39" s="74" t="s">
        <v>100</v>
      </c>
      <c r="B39" s="105">
        <v>414400.67</v>
      </c>
      <c r="C39" s="105">
        <v>414400.67</v>
      </c>
      <c r="D39" s="159"/>
      <c r="E39" s="159"/>
      <c r="F39" s="157">
        <f t="shared" si="0"/>
        <v>0</v>
      </c>
    </row>
    <row r="40" spans="1:6">
      <c r="A40" s="74" t="s">
        <v>101</v>
      </c>
      <c r="B40" s="105">
        <v>1265864.55</v>
      </c>
      <c r="C40" s="105">
        <v>1265864.55</v>
      </c>
      <c r="D40" s="159"/>
      <c r="E40" s="159"/>
      <c r="F40" s="157">
        <f t="shared" si="0"/>
        <v>0</v>
      </c>
    </row>
    <row r="41" spans="1:6">
      <c r="A41" s="74" t="s">
        <v>103</v>
      </c>
      <c r="B41" s="105">
        <v>810995.07</v>
      </c>
      <c r="C41" s="105">
        <f>793430+17565.07</f>
        <v>810995.07</v>
      </c>
      <c r="D41" s="159"/>
      <c r="E41" s="159"/>
      <c r="F41" s="157">
        <f t="shared" si="0"/>
        <v>0</v>
      </c>
    </row>
    <row r="42" spans="1:6">
      <c r="A42" s="74" t="s">
        <v>104</v>
      </c>
      <c r="B42" s="105">
        <v>853082.63</v>
      </c>
      <c r="C42" s="105">
        <f>13137+66000+773946</f>
        <v>853083</v>
      </c>
      <c r="D42" s="159"/>
      <c r="E42" s="159"/>
      <c r="F42" s="157">
        <f t="shared" si="0"/>
        <v>-0.36999999999534339</v>
      </c>
    </row>
    <row r="43" spans="1:6">
      <c r="A43" s="74" t="s">
        <v>105</v>
      </c>
      <c r="B43" s="105">
        <v>113312.68</v>
      </c>
      <c r="C43" s="105">
        <v>113312.68</v>
      </c>
      <c r="D43" s="159"/>
      <c r="E43" s="159"/>
      <c r="F43" s="157">
        <f t="shared" si="0"/>
        <v>0</v>
      </c>
    </row>
    <row r="44" spans="1:6">
      <c r="A44" s="74" t="s">
        <v>106</v>
      </c>
      <c r="B44" s="105">
        <v>1942503.15</v>
      </c>
      <c r="C44" s="159"/>
      <c r="D44" s="159"/>
      <c r="E44" s="159"/>
      <c r="F44" s="157">
        <f t="shared" si="0"/>
        <v>1942503.15</v>
      </c>
    </row>
    <row r="45" spans="1:6">
      <c r="A45" s="74" t="s">
        <v>107</v>
      </c>
      <c r="B45" s="162">
        <v>4855.3500000000004</v>
      </c>
      <c r="C45" s="159">
        <v>4855.3500000000004</v>
      </c>
      <c r="D45" s="159"/>
      <c r="E45" s="159"/>
      <c r="F45" s="157">
        <f t="shared" si="0"/>
        <v>0</v>
      </c>
    </row>
    <row r="46" spans="1:6">
      <c r="A46" s="74" t="s">
        <v>109</v>
      </c>
      <c r="B46" s="105">
        <v>101981.42</v>
      </c>
      <c r="C46" s="105">
        <v>101981.42</v>
      </c>
      <c r="D46" s="159"/>
      <c r="E46" s="159"/>
      <c r="F46" s="157">
        <f t="shared" si="0"/>
        <v>0</v>
      </c>
    </row>
    <row r="47" spans="1:6">
      <c r="A47" s="74" t="s">
        <v>110</v>
      </c>
      <c r="B47" s="105">
        <v>155400.25</v>
      </c>
      <c r="C47" s="105">
        <v>155400.25</v>
      </c>
      <c r="D47" s="159"/>
      <c r="E47" s="159"/>
      <c r="F47" s="157">
        <f t="shared" si="0"/>
        <v>0</v>
      </c>
    </row>
    <row r="48" spans="1:6">
      <c r="A48" s="74" t="s">
        <v>112</v>
      </c>
      <c r="B48" s="105">
        <v>4804457.8</v>
      </c>
      <c r="C48" s="159">
        <f>4804458-893000+36</f>
        <v>3911494</v>
      </c>
      <c r="D48" s="159">
        <f>893000-36</f>
        <v>892964</v>
      </c>
      <c r="E48" s="159"/>
      <c r="F48" s="157">
        <f t="shared" si="0"/>
        <v>-0.20000000018626451</v>
      </c>
    </row>
    <row r="49" spans="1:6">
      <c r="A49" s="74" t="s">
        <v>136</v>
      </c>
      <c r="B49" s="105">
        <v>1733684.06</v>
      </c>
      <c r="C49" s="105">
        <v>1733684.06</v>
      </c>
      <c r="D49" s="159"/>
      <c r="E49" s="159"/>
      <c r="F49" s="157">
        <f t="shared" si="0"/>
        <v>0</v>
      </c>
    </row>
    <row r="50" spans="1:6">
      <c r="A50" s="74" t="s">
        <v>114</v>
      </c>
      <c r="B50" s="105">
        <v>1968403.19</v>
      </c>
      <c r="C50" s="105">
        <v>1968403.19</v>
      </c>
      <c r="D50" s="159"/>
      <c r="E50" s="159"/>
      <c r="F50" s="157">
        <f t="shared" si="0"/>
        <v>0</v>
      </c>
    </row>
    <row r="51" spans="1:6">
      <c r="A51" s="74" t="s">
        <v>115</v>
      </c>
      <c r="B51" s="105">
        <v>1619</v>
      </c>
      <c r="C51" s="159"/>
      <c r="D51" s="159"/>
      <c r="E51" s="159"/>
      <c r="F51" s="157">
        <f t="shared" si="0"/>
        <v>1619</v>
      </c>
    </row>
    <row r="52" spans="1:6">
      <c r="A52" s="74" t="s">
        <v>117</v>
      </c>
      <c r="B52" s="105">
        <v>72843.87</v>
      </c>
      <c r="C52" s="159"/>
      <c r="D52" s="159"/>
      <c r="E52" s="159"/>
      <c r="F52" s="157">
        <f t="shared" si="0"/>
        <v>72843.87</v>
      </c>
    </row>
    <row r="53" spans="1:6">
      <c r="A53" s="74" t="s">
        <v>119</v>
      </c>
      <c r="B53" s="105">
        <v>10751754.949999999</v>
      </c>
      <c r="C53" s="105">
        <v>10751754.949999999</v>
      </c>
      <c r="D53" s="159"/>
      <c r="E53" s="105"/>
      <c r="F53" s="157">
        <f t="shared" si="0"/>
        <v>0</v>
      </c>
    </row>
    <row r="54" spans="1:6">
      <c r="A54" s="74" t="s">
        <v>120</v>
      </c>
      <c r="B54" s="105">
        <f>29333333.33-216320-67907-121565</f>
        <v>28927541.329999998</v>
      </c>
      <c r="C54" s="159">
        <f>1248140+25000000+625148+2054253</f>
        <v>28927541</v>
      </c>
      <c r="D54" s="159"/>
      <c r="E54" s="159"/>
      <c r="F54" s="157">
        <f t="shared" si="0"/>
        <v>0.32999999821186066</v>
      </c>
    </row>
    <row r="55" spans="1:6" ht="15" thickBot="1">
      <c r="A55" s="77" t="s">
        <v>121</v>
      </c>
      <c r="B55" s="208">
        <v>12950.02</v>
      </c>
      <c r="C55" s="164"/>
      <c r="D55" s="164"/>
      <c r="E55" s="164"/>
      <c r="F55" s="209">
        <f t="shared" si="0"/>
        <v>12950.02</v>
      </c>
    </row>
    <row r="56" spans="1:6" ht="15" thickBot="1">
      <c r="A56" s="81" t="s">
        <v>122</v>
      </c>
      <c r="B56" s="79">
        <f>SUM(B9:B55)</f>
        <v>132945344.71000001</v>
      </c>
      <c r="C56" s="167">
        <f>SUM(C9:C55)</f>
        <v>129201548.89000002</v>
      </c>
      <c r="D56" s="167">
        <f>SUM(D9:D55)</f>
        <v>3686646.0199999996</v>
      </c>
      <c r="E56" s="167">
        <f>SUM(E9:E55)</f>
        <v>0.19999999925494194</v>
      </c>
      <c r="F56" s="168">
        <f>SUM(F9:F55)</f>
        <v>57149.60000000229</v>
      </c>
    </row>
    <row r="57" spans="1:6" ht="15" thickBot="1">
      <c r="A57" s="216" t="s">
        <v>137</v>
      </c>
      <c r="B57" s="199">
        <f>216320+67907+121565</f>
        <v>405792</v>
      </c>
      <c r="C57" s="199">
        <v>0</v>
      </c>
      <c r="D57" s="199">
        <v>0</v>
      </c>
      <c r="E57" s="199">
        <v>0</v>
      </c>
      <c r="F57" s="200">
        <f t="shared" si="0"/>
        <v>405792</v>
      </c>
    </row>
    <row r="58" spans="1:6" ht="15" thickBot="1">
      <c r="A58" s="217" t="s">
        <v>138</v>
      </c>
      <c r="B58" s="83">
        <f>SUM(B56:B57)</f>
        <v>133351136.71000001</v>
      </c>
      <c r="C58" s="83">
        <f>SUM(C56:C57)</f>
        <v>129201548.89000002</v>
      </c>
      <c r="D58" s="83">
        <f>SUM(D56:D57)</f>
        <v>3686646.0199999996</v>
      </c>
      <c r="E58" s="83">
        <f>SUM(E56:E57)</f>
        <v>0.19999999925494194</v>
      </c>
      <c r="F58" s="83">
        <f>SUM(F56:F57)</f>
        <v>462941.60000000231</v>
      </c>
    </row>
    <row r="59" spans="1:6">
      <c r="A59" s="115" t="s">
        <v>162</v>
      </c>
      <c r="B59" s="85"/>
      <c r="C59" s="85"/>
      <c r="D59" s="85"/>
      <c r="E59" s="85"/>
      <c r="F59" s="85"/>
    </row>
    <row r="60" spans="1:6">
      <c r="A60" s="116"/>
      <c r="B60" s="116"/>
      <c r="C60" s="116"/>
      <c r="D60" s="116"/>
      <c r="E60" s="116"/>
      <c r="F60" s="116"/>
    </row>
    <row r="61" spans="1:6" ht="15" thickBot="1">
      <c r="A61" s="110"/>
      <c r="B61" s="110"/>
      <c r="C61" s="110"/>
      <c r="D61" s="110"/>
      <c r="E61" s="110"/>
      <c r="F61" s="110"/>
    </row>
    <row r="62" spans="1:6" ht="15" thickBot="1">
      <c r="A62" s="102" t="s">
        <v>139</v>
      </c>
      <c r="B62" s="172">
        <f>B12+B13+B15+B18+B20+B25+B32+B34+B41+B44+B46+B47+B51+B52+B55</f>
        <v>4126200.69</v>
      </c>
      <c r="C62" s="172">
        <f>C12+C13+C15+C18+C20+C25+C32+C34+C41+C44+C46+C47+C51+C52+C55</f>
        <v>1969171.48</v>
      </c>
      <c r="D62" s="172">
        <f>D12+D13+D15+D18+D20+D25+D32+D34+D41+D44+D46+D47+D51+D52+D55</f>
        <v>86644</v>
      </c>
      <c r="E62" s="172">
        <f>E12+E13+E15+E18+E20+E25+E32+E34+E41+E44+E46+E47+E51+E52+E55</f>
        <v>0</v>
      </c>
      <c r="F62" s="173">
        <f>B62-C62-D62-E62</f>
        <v>2070385.21</v>
      </c>
    </row>
  </sheetData>
  <mergeCells count="3">
    <mergeCell ref="A5:F5"/>
    <mergeCell ref="A6:F6"/>
    <mergeCell ref="A7:F7"/>
  </mergeCell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2EBB2-4D1B-46A9-B3C4-93682CB7189C}">
  <dimension ref="A1:I63"/>
  <sheetViews>
    <sheetView topLeftCell="A13" workbookViewId="0">
      <selection activeCell="C56" sqref="C56:F56"/>
    </sheetView>
  </sheetViews>
  <sheetFormatPr defaultRowHeight="14.5"/>
  <cols>
    <col min="1" max="1" width="22.54296875" customWidth="1"/>
    <col min="2" max="2" width="17.54296875" customWidth="1"/>
    <col min="3" max="3" width="14.26953125" customWidth="1"/>
    <col min="4" max="4" width="16.7265625" customWidth="1"/>
    <col min="5" max="5" width="13.7265625" customWidth="1"/>
    <col min="6" max="6" width="20.7265625" customWidth="1"/>
  </cols>
  <sheetData>
    <row r="1" spans="1:6" ht="20.25" customHeight="1">
      <c r="A1" s="738" t="str">
        <f>Status!C1</f>
        <v>UNEP/OzL.Pro/ExCom/94/3</v>
      </c>
      <c r="B1" s="738"/>
      <c r="C1" s="1"/>
      <c r="D1" s="1"/>
      <c r="E1" s="1"/>
      <c r="F1" s="1"/>
    </row>
    <row r="2" spans="1:6" ht="20.25" customHeight="1">
      <c r="A2" s="95" t="s">
        <v>0</v>
      </c>
      <c r="B2" s="1"/>
      <c r="C2" s="1"/>
      <c r="D2" s="1"/>
      <c r="E2" s="1"/>
      <c r="F2" s="1"/>
    </row>
    <row r="3" spans="1:6" ht="18">
      <c r="A3" s="23" t="s">
        <v>172</v>
      </c>
      <c r="B3" s="1"/>
      <c r="C3" s="1"/>
      <c r="D3" s="1"/>
      <c r="E3" s="1"/>
      <c r="F3" s="1"/>
    </row>
    <row r="4" spans="1:6" ht="15.5">
      <c r="A4" s="1"/>
      <c r="B4" s="1"/>
      <c r="C4" s="1"/>
      <c r="D4" s="1"/>
      <c r="E4" s="1"/>
      <c r="F4" s="1"/>
    </row>
    <row r="5" spans="1:6" ht="20.25" customHeight="1">
      <c r="A5" s="735" t="s">
        <v>2</v>
      </c>
      <c r="B5" s="735"/>
      <c r="C5" s="735"/>
      <c r="D5" s="735"/>
      <c r="E5" s="735"/>
      <c r="F5" s="735"/>
    </row>
    <row r="6" spans="1:6" ht="20.25" customHeight="1">
      <c r="A6" s="729" t="s">
        <v>164</v>
      </c>
      <c r="B6" s="729"/>
      <c r="C6" s="729"/>
      <c r="D6" s="729"/>
      <c r="E6" s="729"/>
      <c r="F6" s="729"/>
    </row>
    <row r="7" spans="1:6" ht="19.5" customHeight="1" thickBot="1">
      <c r="A7" s="740" t="str">
        <f>Status!A6</f>
        <v>As at 24/05/2024</v>
      </c>
      <c r="B7" s="740"/>
      <c r="C7" s="740"/>
      <c r="D7" s="740"/>
      <c r="E7" s="740"/>
      <c r="F7" s="740"/>
    </row>
    <row r="8" spans="1:6" ht="27.75" customHeight="1" thickBot="1">
      <c r="A8" s="68" t="s">
        <v>60</v>
      </c>
      <c r="B8" s="154" t="s">
        <v>61</v>
      </c>
      <c r="C8" s="154" t="s">
        <v>62</v>
      </c>
      <c r="D8" s="154" t="s">
        <v>63</v>
      </c>
      <c r="E8" s="154" t="s">
        <v>64</v>
      </c>
      <c r="F8" s="155" t="s">
        <v>65</v>
      </c>
    </row>
    <row r="9" spans="1:6" ht="18" customHeight="1">
      <c r="A9" s="128" t="s">
        <v>67</v>
      </c>
      <c r="B9" s="220">
        <v>8868.36</v>
      </c>
      <c r="C9" s="129">
        <v>8868.36</v>
      </c>
      <c r="D9" s="156"/>
      <c r="E9" s="156"/>
      <c r="F9" s="157">
        <f t="shared" ref="F9:F55" si="0">B9-C9-D9-E9</f>
        <v>0</v>
      </c>
    </row>
    <row r="10" spans="1:6" ht="18" customHeight="1">
      <c r="A10" s="72" t="s">
        <v>130</v>
      </c>
      <c r="B10" s="131">
        <v>2892710.94</v>
      </c>
      <c r="C10" s="131">
        <v>2892710.94</v>
      </c>
      <c r="D10" s="158"/>
      <c r="E10" s="158"/>
      <c r="F10" s="157">
        <f t="shared" si="0"/>
        <v>0</v>
      </c>
    </row>
    <row r="11" spans="1:6" ht="18" customHeight="1">
      <c r="A11" s="74" t="s">
        <v>69</v>
      </c>
      <c r="B11" s="133">
        <v>1435833.58</v>
      </c>
      <c r="C11" s="133">
        <v>1435833.58</v>
      </c>
      <c r="D11" s="159"/>
      <c r="E11" s="159"/>
      <c r="F11" s="157">
        <f t="shared" si="0"/>
        <v>0</v>
      </c>
    </row>
    <row r="12" spans="1:6" ht="18" customHeight="1">
      <c r="A12" s="96" t="s">
        <v>70</v>
      </c>
      <c r="B12" s="133">
        <v>8093.76</v>
      </c>
      <c r="C12" s="159"/>
      <c r="D12" s="159"/>
      <c r="E12" s="159"/>
      <c r="F12" s="157">
        <f t="shared" si="0"/>
        <v>8093.76</v>
      </c>
    </row>
    <row r="13" spans="1:6" ht="18" customHeight="1">
      <c r="A13" s="74" t="s">
        <v>71</v>
      </c>
      <c r="B13" s="133">
        <v>32375.05</v>
      </c>
      <c r="C13" s="159"/>
      <c r="D13" s="159"/>
      <c r="E13" s="159"/>
      <c r="F13" s="157">
        <f t="shared" si="0"/>
        <v>32375.05</v>
      </c>
    </row>
    <row r="14" spans="1:6" ht="18" customHeight="1">
      <c r="A14" s="74" t="s">
        <v>72</v>
      </c>
      <c r="B14" s="133">
        <v>1783865.39</v>
      </c>
      <c r="C14" s="133">
        <v>1783865.39</v>
      </c>
      <c r="D14" s="159"/>
      <c r="E14" s="159"/>
      <c r="F14" s="157">
        <f t="shared" si="0"/>
        <v>0</v>
      </c>
    </row>
    <row r="15" spans="1:6" ht="18" customHeight="1">
      <c r="A15" s="74" t="s">
        <v>73</v>
      </c>
      <c r="B15" s="133">
        <v>32375.05</v>
      </c>
      <c r="C15" s="133">
        <v>32375.05</v>
      </c>
      <c r="D15" s="159"/>
      <c r="E15" s="159"/>
      <c r="F15" s="157">
        <f t="shared" si="0"/>
        <v>0</v>
      </c>
    </row>
    <row r="16" spans="1:6" ht="18" customHeight="1">
      <c r="A16" s="74" t="s">
        <v>131</v>
      </c>
      <c r="B16" s="133">
        <v>4819026.57</v>
      </c>
      <c r="C16" s="159">
        <f>178983.65+3855221.72+606897-61250-31+139765+5650</f>
        <v>4725236.37</v>
      </c>
      <c r="D16" s="159">
        <f>99440-5650</f>
        <v>93790</v>
      </c>
      <c r="E16" s="159"/>
      <c r="F16" s="157">
        <f t="shared" si="0"/>
        <v>0.20000000018626451</v>
      </c>
    </row>
    <row r="17" spans="1:9" ht="18" customHeight="1">
      <c r="A17" s="74" t="s">
        <v>76</v>
      </c>
      <c r="B17" s="133">
        <v>71225.119999999995</v>
      </c>
      <c r="C17" s="134">
        <v>71225.119999999995</v>
      </c>
      <c r="D17" s="159"/>
      <c r="E17" s="159"/>
      <c r="F17" s="157">
        <f t="shared" si="0"/>
        <v>0</v>
      </c>
    </row>
    <row r="18" spans="1:9" ht="18" customHeight="1">
      <c r="A18" s="74" t="s">
        <v>77</v>
      </c>
      <c r="B18" s="133">
        <v>454869.49</v>
      </c>
      <c r="C18" s="133">
        <f>454869.49-90965</f>
        <v>363904.49</v>
      </c>
      <c r="D18" s="159">
        <v>90965</v>
      </c>
      <c r="E18" s="159"/>
      <c r="F18" s="157">
        <f t="shared" si="0"/>
        <v>0</v>
      </c>
    </row>
    <row r="19" spans="1:9" ht="18" customHeight="1">
      <c r="A19" s="74" t="s">
        <v>78</v>
      </c>
      <c r="B19" s="133">
        <v>1196258.19</v>
      </c>
      <c r="C19" s="133">
        <v>1196258.19</v>
      </c>
      <c r="D19" s="159"/>
      <c r="E19" s="159"/>
      <c r="F19" s="157">
        <f t="shared" si="0"/>
        <v>0</v>
      </c>
    </row>
    <row r="20" spans="1:9" ht="18" customHeight="1">
      <c r="A20" s="74" t="s">
        <v>79</v>
      </c>
      <c r="B20" s="133">
        <v>25900.04</v>
      </c>
      <c r="C20" s="133">
        <v>25900.04</v>
      </c>
      <c r="D20" s="159"/>
      <c r="E20" s="159"/>
      <c r="F20" s="157">
        <f t="shared" si="0"/>
        <v>0</v>
      </c>
    </row>
    <row r="21" spans="1:9" ht="18" customHeight="1">
      <c r="A21" s="74" t="s">
        <v>80</v>
      </c>
      <c r="B21" s="133">
        <v>912976.48</v>
      </c>
      <c r="C21" s="134">
        <v>912976.48</v>
      </c>
      <c r="D21" s="159"/>
      <c r="E21" s="159"/>
      <c r="F21" s="157">
        <f t="shared" si="0"/>
        <v>0</v>
      </c>
    </row>
    <row r="22" spans="1:9" ht="18" customHeight="1">
      <c r="A22" s="74" t="s">
        <v>132</v>
      </c>
      <c r="B22" s="133">
        <v>10199760.300000001</v>
      </c>
      <c r="C22" s="159">
        <f>9997393.3+6295+1224.96</f>
        <v>10004913.260000002</v>
      </c>
      <c r="D22" s="159">
        <f>202367+85315-6295-1224.96</f>
        <v>280162.03999999998</v>
      </c>
      <c r="E22" s="159"/>
      <c r="F22" s="157">
        <f t="shared" si="0"/>
        <v>-85315.000000000873</v>
      </c>
    </row>
    <row r="23" spans="1:9" ht="18" customHeight="1">
      <c r="A23" s="74" t="s">
        <v>133</v>
      </c>
      <c r="B23" s="133">
        <v>13884041.279999999</v>
      </c>
      <c r="C23" s="159">
        <f>2314006.88+2314006.88+2314006.88+2314006.88+2314006.88+2314006.68+739879</f>
        <v>14623920.079999998</v>
      </c>
      <c r="D23" s="159">
        <f>1748779+129238+96050+225325+577416-739879</f>
        <v>2036929</v>
      </c>
      <c r="E23" s="133">
        <f>13884041.28-2314006.88-2314006.88-2314006.88-2314006.88-2314006.88-2314006.68</f>
        <v>0.19999999972060323</v>
      </c>
      <c r="F23" s="157">
        <f t="shared" si="0"/>
        <v>-2776807.9999999986</v>
      </c>
    </row>
    <row r="24" spans="1:9" ht="18" customHeight="1">
      <c r="A24" s="74" t="s">
        <v>83</v>
      </c>
      <c r="B24" s="133">
        <v>964776.57</v>
      </c>
      <c r="C24" s="159">
        <f>103448.4+475700.55+385627.63</f>
        <v>964776.58</v>
      </c>
      <c r="D24" s="159"/>
      <c r="E24" s="159"/>
      <c r="F24" s="157">
        <f t="shared" si="0"/>
        <v>-1.0000000009313226E-2</v>
      </c>
    </row>
    <row r="25" spans="1:9" ht="18" customHeight="1">
      <c r="A25" s="74" t="s">
        <v>85</v>
      </c>
      <c r="B25" s="133">
        <v>394975.64</v>
      </c>
      <c r="C25" s="133">
        <f>150000+230000+14976</f>
        <v>394976</v>
      </c>
      <c r="D25" s="159"/>
      <c r="E25" s="159"/>
      <c r="F25" s="157">
        <f t="shared" si="0"/>
        <v>-0.35999999998603016</v>
      </c>
    </row>
    <row r="26" spans="1:9" ht="18" customHeight="1">
      <c r="A26" s="74" t="s">
        <v>86</v>
      </c>
      <c r="B26" s="133">
        <v>59893.85</v>
      </c>
      <c r="C26" s="133">
        <v>59893.85</v>
      </c>
      <c r="D26" s="159"/>
      <c r="E26" s="159"/>
      <c r="F26" s="157">
        <f t="shared" si="0"/>
        <v>0</v>
      </c>
    </row>
    <row r="27" spans="1:9" ht="18" customHeight="1">
      <c r="A27" s="74" t="s">
        <v>134</v>
      </c>
      <c r="B27" s="133">
        <v>720344.92</v>
      </c>
      <c r="C27" s="134">
        <v>720344.92</v>
      </c>
      <c r="D27" s="159"/>
      <c r="E27" s="159"/>
      <c r="F27" s="157">
        <f t="shared" si="0"/>
        <v>0</v>
      </c>
    </row>
    <row r="28" spans="1:9" ht="18" customHeight="1">
      <c r="A28" s="74" t="s">
        <v>88</v>
      </c>
      <c r="B28" s="133">
        <v>678257.35</v>
      </c>
      <c r="C28" s="159"/>
      <c r="D28" s="159"/>
      <c r="E28" s="159"/>
      <c r="F28" s="157">
        <f t="shared" si="0"/>
        <v>678257.35</v>
      </c>
    </row>
    <row r="29" spans="1:9" ht="18" customHeight="1">
      <c r="A29" s="74" t="s">
        <v>89</v>
      </c>
      <c r="B29" s="133">
        <v>8221644.5899999999</v>
      </c>
      <c r="C29" s="159">
        <f>6687842.22+1381252</f>
        <v>8069094.2199999997</v>
      </c>
      <c r="D29" s="159">
        <v>152550</v>
      </c>
      <c r="E29" s="159"/>
      <c r="F29" s="157">
        <f t="shared" si="0"/>
        <v>0.37000000011175871</v>
      </c>
    </row>
    <row r="30" spans="1:9" ht="18" customHeight="1">
      <c r="A30" s="74" t="s">
        <v>135</v>
      </c>
      <c r="B30" s="133">
        <v>26910143.66</v>
      </c>
      <c r="C30" s="160">
        <f>26910143.66-160178+379</f>
        <v>26750344.66</v>
      </c>
      <c r="D30" s="219">
        <f>160178-379</f>
        <v>159799</v>
      </c>
      <c r="E30" s="159"/>
      <c r="F30" s="157">
        <f t="shared" si="0"/>
        <v>0</v>
      </c>
    </row>
    <row r="31" spans="1:9">
      <c r="A31" s="74" t="s">
        <v>91</v>
      </c>
      <c r="B31" s="179">
        <v>0</v>
      </c>
      <c r="C31" s="105">
        <v>0</v>
      </c>
      <c r="D31" s="159"/>
      <c r="E31" s="159"/>
      <c r="F31" s="157">
        <f t="shared" si="0"/>
        <v>0</v>
      </c>
      <c r="H31" s="112"/>
      <c r="I31" s="112"/>
    </row>
    <row r="32" spans="1:9" ht="18" customHeight="1">
      <c r="A32" s="74" t="s">
        <v>93</v>
      </c>
      <c r="B32" s="133">
        <v>29137.55</v>
      </c>
      <c r="C32" s="159">
        <f>17395.21+10305.91+1436.43</f>
        <v>29137.55</v>
      </c>
      <c r="D32" s="159"/>
      <c r="E32" s="159"/>
      <c r="F32" s="157">
        <f t="shared" si="0"/>
        <v>0</v>
      </c>
    </row>
    <row r="33" spans="1:6" ht="18" customHeight="1">
      <c r="A33" s="74" t="s">
        <v>94</v>
      </c>
      <c r="B33" s="133">
        <v>16187.53</v>
      </c>
      <c r="C33" s="134">
        <v>16187.53</v>
      </c>
      <c r="D33" s="159"/>
      <c r="E33" s="159"/>
      <c r="F33" s="157">
        <f t="shared" si="0"/>
        <v>0</v>
      </c>
    </row>
    <row r="34" spans="1:6" ht="18" customHeight="1">
      <c r="A34" s="74" t="s">
        <v>95</v>
      </c>
      <c r="B34" s="133">
        <v>50181.33</v>
      </c>
      <c r="C34" s="159">
        <v>50181.33</v>
      </c>
      <c r="D34" s="159"/>
      <c r="E34" s="159"/>
      <c r="F34" s="157">
        <f t="shared" si="0"/>
        <v>0</v>
      </c>
    </row>
    <row r="35" spans="1:6" ht="18" customHeight="1">
      <c r="A35" s="74" t="s">
        <v>96</v>
      </c>
      <c r="B35" s="133">
        <v>137593.97</v>
      </c>
      <c r="C35" s="133">
        <v>137593.97</v>
      </c>
      <c r="D35" s="159"/>
      <c r="E35" s="159"/>
      <c r="F35" s="157">
        <f t="shared" si="0"/>
        <v>0</v>
      </c>
    </row>
    <row r="36" spans="1:6" ht="18" customHeight="1">
      <c r="A36" s="74" t="s">
        <v>97</v>
      </c>
      <c r="B36" s="133">
        <v>27518.79</v>
      </c>
      <c r="C36" s="133">
        <v>27518.79</v>
      </c>
      <c r="D36" s="159"/>
      <c r="E36" s="159"/>
      <c r="F36" s="157">
        <f t="shared" si="0"/>
        <v>0</v>
      </c>
    </row>
    <row r="37" spans="1:6" ht="18" customHeight="1">
      <c r="A37" s="74" t="s">
        <v>98</v>
      </c>
      <c r="B37" s="133">
        <v>4856.26</v>
      </c>
      <c r="C37" s="134">
        <v>4856.26</v>
      </c>
      <c r="D37" s="159"/>
      <c r="E37" s="159"/>
      <c r="F37" s="157">
        <f t="shared" si="0"/>
        <v>0</v>
      </c>
    </row>
    <row r="38" spans="1:6" ht="18" customHeight="1">
      <c r="A38" s="74" t="s">
        <v>99</v>
      </c>
      <c r="B38" s="133">
        <v>3031923.67</v>
      </c>
      <c r="C38" s="133">
        <v>3031923.67</v>
      </c>
      <c r="D38" s="159"/>
      <c r="E38" s="159"/>
      <c r="F38" s="157">
        <f t="shared" si="0"/>
        <v>0</v>
      </c>
    </row>
    <row r="39" spans="1:6" ht="18" customHeight="1">
      <c r="A39" s="74" t="s">
        <v>100</v>
      </c>
      <c r="B39" s="133">
        <v>414400.67</v>
      </c>
      <c r="C39" s="133">
        <v>414400.67</v>
      </c>
      <c r="D39" s="159"/>
      <c r="E39" s="159"/>
      <c r="F39" s="157">
        <f t="shared" si="0"/>
        <v>0</v>
      </c>
    </row>
    <row r="40" spans="1:6" ht="18" customHeight="1">
      <c r="A40" s="74" t="s">
        <v>101</v>
      </c>
      <c r="B40" s="133">
        <v>1265864.55</v>
      </c>
      <c r="C40" s="134">
        <v>1265864.55</v>
      </c>
      <c r="D40" s="159"/>
      <c r="E40" s="159"/>
      <c r="F40" s="157">
        <f t="shared" si="0"/>
        <v>0</v>
      </c>
    </row>
    <row r="41" spans="1:6" ht="18" customHeight="1">
      <c r="A41" s="74" t="s">
        <v>103</v>
      </c>
      <c r="B41" s="133">
        <v>810995.07</v>
      </c>
      <c r="C41" s="133">
        <f>53940+6290+200765.07+550000</f>
        <v>810995.07000000007</v>
      </c>
      <c r="D41" s="159"/>
      <c r="E41" s="159"/>
      <c r="F41" s="157">
        <f t="shared" si="0"/>
        <v>-1.1641532182693481E-10</v>
      </c>
    </row>
    <row r="42" spans="1:6" ht="18" customHeight="1">
      <c r="A42" s="74" t="s">
        <v>104</v>
      </c>
      <c r="B42" s="133">
        <v>853082.63</v>
      </c>
      <c r="C42" s="133">
        <f>13136.63+333082.63+506863</f>
        <v>853082.26</v>
      </c>
      <c r="D42" s="159"/>
      <c r="E42" s="159"/>
      <c r="F42" s="157">
        <f t="shared" si="0"/>
        <v>0.36999999999534339</v>
      </c>
    </row>
    <row r="43" spans="1:6" ht="18" customHeight="1">
      <c r="A43" s="74" t="s">
        <v>105</v>
      </c>
      <c r="B43" s="133">
        <v>113312.68</v>
      </c>
      <c r="C43" s="133">
        <v>113312.68</v>
      </c>
      <c r="D43" s="159"/>
      <c r="E43" s="159"/>
      <c r="F43" s="157">
        <f t="shared" si="0"/>
        <v>0</v>
      </c>
    </row>
    <row r="44" spans="1:6" ht="18" customHeight="1">
      <c r="A44" s="74" t="s">
        <v>106</v>
      </c>
      <c r="B44" s="133">
        <v>1942503.15</v>
      </c>
      <c r="C44" s="159"/>
      <c r="D44" s="159"/>
      <c r="E44" s="159"/>
      <c r="F44" s="157">
        <f t="shared" si="0"/>
        <v>1942503.15</v>
      </c>
    </row>
    <row r="45" spans="1:6" ht="18" customHeight="1">
      <c r="A45" s="72" t="s">
        <v>107</v>
      </c>
      <c r="B45" s="160">
        <v>2023.06</v>
      </c>
      <c r="C45" s="161">
        <v>2023.06</v>
      </c>
      <c r="D45" s="159"/>
      <c r="E45" s="159"/>
      <c r="F45" s="157">
        <f t="shared" si="0"/>
        <v>0</v>
      </c>
    </row>
    <row r="46" spans="1:6" ht="18" customHeight="1">
      <c r="A46" s="72" t="s">
        <v>109</v>
      </c>
      <c r="B46" s="133">
        <v>101981.42</v>
      </c>
      <c r="C46" s="133">
        <v>101981.42</v>
      </c>
      <c r="D46" s="159"/>
      <c r="E46" s="159"/>
      <c r="F46" s="157">
        <f t="shared" si="0"/>
        <v>0</v>
      </c>
    </row>
    <row r="47" spans="1:6" ht="18" customHeight="1">
      <c r="A47" s="74" t="s">
        <v>110</v>
      </c>
      <c r="B47" s="133">
        <v>155400.25</v>
      </c>
      <c r="C47" s="134">
        <v>155400.25</v>
      </c>
      <c r="D47" s="159"/>
      <c r="E47" s="159"/>
      <c r="F47" s="157">
        <f t="shared" si="0"/>
        <v>0</v>
      </c>
    </row>
    <row r="48" spans="1:6" ht="18" customHeight="1">
      <c r="A48" s="74" t="s">
        <v>112</v>
      </c>
      <c r="B48" s="133">
        <v>4804457.8</v>
      </c>
      <c r="C48" s="159">
        <f>4804302.54-565000+155</f>
        <v>4239457.54</v>
      </c>
      <c r="D48" s="159"/>
      <c r="E48" s="159"/>
      <c r="F48" s="157">
        <f t="shared" si="0"/>
        <v>565000.25999999978</v>
      </c>
    </row>
    <row r="49" spans="1:6" ht="18" customHeight="1">
      <c r="A49" s="74" t="s">
        <v>136</v>
      </c>
      <c r="B49" s="133">
        <v>1733684.06</v>
      </c>
      <c r="C49" s="133">
        <v>1733684.06</v>
      </c>
      <c r="D49" s="159"/>
      <c r="E49" s="159"/>
      <c r="F49" s="157">
        <f t="shared" si="0"/>
        <v>0</v>
      </c>
    </row>
    <row r="50" spans="1:6" ht="18" customHeight="1">
      <c r="A50" s="74" t="s">
        <v>114</v>
      </c>
      <c r="B50" s="133">
        <v>1968403.19</v>
      </c>
      <c r="C50" s="133">
        <v>1968403.19</v>
      </c>
      <c r="D50" s="159"/>
      <c r="E50" s="159"/>
      <c r="F50" s="157">
        <f t="shared" si="0"/>
        <v>0</v>
      </c>
    </row>
    <row r="51" spans="1:6" ht="18" customHeight="1">
      <c r="A51" s="74" t="s">
        <v>115</v>
      </c>
      <c r="B51" s="133">
        <v>1619</v>
      </c>
      <c r="C51" s="159"/>
      <c r="D51" s="159"/>
      <c r="E51" s="159"/>
      <c r="F51" s="157">
        <f t="shared" si="0"/>
        <v>1619</v>
      </c>
    </row>
    <row r="52" spans="1:6" ht="18" customHeight="1">
      <c r="A52" s="74" t="s">
        <v>117</v>
      </c>
      <c r="B52" s="133">
        <v>72843.87</v>
      </c>
      <c r="C52" s="159"/>
      <c r="D52" s="159"/>
      <c r="E52" s="159"/>
      <c r="F52" s="157">
        <f t="shared" si="0"/>
        <v>72843.87</v>
      </c>
    </row>
    <row r="53" spans="1:6" ht="18" customHeight="1">
      <c r="A53" s="74" t="s">
        <v>119</v>
      </c>
      <c r="B53" s="133">
        <v>10751754.949999999</v>
      </c>
      <c r="C53" s="133">
        <v>10751754.949999999</v>
      </c>
      <c r="D53" s="159"/>
      <c r="E53" s="133"/>
      <c r="F53" s="157">
        <f t="shared" si="0"/>
        <v>0</v>
      </c>
    </row>
    <row r="54" spans="1:6" ht="18" customHeight="1">
      <c r="A54" s="74" t="s">
        <v>120</v>
      </c>
      <c r="B54" s="133">
        <v>29333333.329999998</v>
      </c>
      <c r="C54" s="159">
        <f>18142783+210137+2388553+4000000-1248140+1946666+1946667+1946667</f>
        <v>29333333</v>
      </c>
      <c r="D54" s="159"/>
      <c r="E54" s="159"/>
      <c r="F54" s="157">
        <f t="shared" si="0"/>
        <v>0.32999999821186066</v>
      </c>
    </row>
    <row r="55" spans="1:6" ht="18" customHeight="1" thickBot="1">
      <c r="A55" s="77" t="s">
        <v>121</v>
      </c>
      <c r="B55" s="133">
        <v>12950.02</v>
      </c>
      <c r="C55" s="164"/>
      <c r="D55" s="165"/>
      <c r="E55" s="166"/>
      <c r="F55" s="157">
        <f t="shared" si="0"/>
        <v>12950.02</v>
      </c>
    </row>
    <row r="56" spans="1:6" ht="18" customHeight="1" thickBot="1">
      <c r="A56" s="81" t="s">
        <v>124</v>
      </c>
      <c r="B56" s="196">
        <f>SUM(B9:B55)</f>
        <v>133344224.98000002</v>
      </c>
      <c r="C56" s="197">
        <f>SUM(C9:C55)</f>
        <v>130078509.38000003</v>
      </c>
      <c r="D56" s="198">
        <f>SUM(D9:D55)</f>
        <v>2814195.04</v>
      </c>
      <c r="E56" s="167">
        <f>SUM(E9:E55)</f>
        <v>0.19999999972060323</v>
      </c>
      <c r="F56" s="167">
        <f>SUM(F9:F55)</f>
        <v>451520.35999999929</v>
      </c>
    </row>
    <row r="57" spans="1:6">
      <c r="A57" s="210"/>
      <c r="B57" s="110"/>
      <c r="C57" s="110"/>
      <c r="D57" s="110"/>
      <c r="E57" s="110"/>
      <c r="F57" s="110"/>
    </row>
    <row r="58" spans="1:6">
      <c r="A58" s="210"/>
      <c r="B58" s="110"/>
      <c r="C58" s="110"/>
      <c r="D58" s="110"/>
      <c r="E58" s="110"/>
      <c r="F58" s="110"/>
    </row>
    <row r="59" spans="1:6">
      <c r="A59" s="210"/>
      <c r="B59" s="110"/>
      <c r="C59" s="110"/>
      <c r="D59" s="110"/>
      <c r="E59" s="110"/>
      <c r="F59" s="110"/>
    </row>
    <row r="60" spans="1:6">
      <c r="A60" s="116"/>
      <c r="B60" s="116"/>
      <c r="C60" s="116"/>
      <c r="D60" s="116"/>
      <c r="E60" s="116"/>
      <c r="F60" s="116"/>
    </row>
    <row r="61" spans="1:6" ht="15" thickBot="1">
      <c r="A61" s="110"/>
      <c r="B61" s="110"/>
      <c r="C61" s="110"/>
      <c r="D61" s="110"/>
      <c r="E61" s="110"/>
      <c r="F61" s="110"/>
    </row>
    <row r="62" spans="1:6" ht="15" thickBot="1">
      <c r="A62" s="102" t="s">
        <v>139</v>
      </c>
      <c r="B62" s="172">
        <f>B12+B13+B15+B18+B20+B25+B32+B34+B41+B44+B46+B47+B51+B52+B55</f>
        <v>4126200.69</v>
      </c>
      <c r="C62" s="172">
        <f>C12+C13+C15+C18+C20+C25+C32+C34+C41+C44+C46+C47+C51+C52+C55</f>
        <v>1964851.2</v>
      </c>
      <c r="D62" s="172">
        <f>D12+D13+D15+D18+D20+D25+D32+D34+D41+D44+D46+D47+D51+D52+D55</f>
        <v>90965</v>
      </c>
      <c r="E62" s="172">
        <f>E12+E13+E15+E18+E20+E25+E32+E34+E41+E44+E46+E47+E51+E52+E55</f>
        <v>0</v>
      </c>
      <c r="F62" s="173">
        <f>B62-C62-D62-E62</f>
        <v>2070384.4900000002</v>
      </c>
    </row>
    <row r="63" spans="1:6">
      <c r="A63" s="116"/>
      <c r="B63" s="116"/>
      <c r="C63" s="116"/>
      <c r="D63" s="116"/>
      <c r="E63" s="116"/>
      <c r="F63" s="116"/>
    </row>
  </sheetData>
  <mergeCells count="4">
    <mergeCell ref="A1:B1"/>
    <mergeCell ref="A5:F5"/>
    <mergeCell ref="A6:F6"/>
    <mergeCell ref="A7:F7"/>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63A9-9A4B-4B9F-B9C7-CE924E5368E1}">
  <dimension ref="A1:I62"/>
  <sheetViews>
    <sheetView topLeftCell="A42" workbookViewId="0">
      <selection activeCell="B62" sqref="B62"/>
    </sheetView>
  </sheetViews>
  <sheetFormatPr defaultRowHeight="14.5"/>
  <cols>
    <col min="1" max="1" width="22.26953125" customWidth="1"/>
    <col min="2" max="2" width="17" customWidth="1"/>
    <col min="3" max="3" width="13.7265625" customWidth="1"/>
    <col min="4" max="4" width="16.453125" customWidth="1"/>
    <col min="5" max="5" width="13.26953125" customWidth="1"/>
    <col min="6" max="6" width="16" customWidth="1"/>
  </cols>
  <sheetData>
    <row r="1" spans="1:7" ht="16.5">
      <c r="A1" s="750" t="str">
        <f>Status!C1</f>
        <v>UNEP/OzL.Pro/ExCom/94/3</v>
      </c>
      <c r="B1" s="750"/>
      <c r="C1" s="750"/>
      <c r="G1" s="221"/>
    </row>
    <row r="2" spans="1:7" ht="16.5">
      <c r="A2" s="222" t="s">
        <v>0</v>
      </c>
      <c r="D2" s="218"/>
      <c r="G2" s="221"/>
    </row>
    <row r="3" spans="1:7" ht="16.5">
      <c r="A3" s="751" t="s">
        <v>178</v>
      </c>
      <c r="B3" s="751"/>
      <c r="D3" s="223"/>
    </row>
    <row r="5" spans="1:7" ht="15">
      <c r="A5" s="752" t="s">
        <v>2</v>
      </c>
      <c r="B5" s="752"/>
      <c r="C5" s="752"/>
      <c r="D5" s="752"/>
      <c r="E5" s="752"/>
      <c r="F5" s="752"/>
    </row>
    <row r="6" spans="1:7">
      <c r="A6" s="753" t="s">
        <v>166</v>
      </c>
      <c r="B6" s="753"/>
      <c r="C6" s="753"/>
      <c r="D6" s="753"/>
      <c r="E6" s="753"/>
      <c r="F6" s="753"/>
    </row>
    <row r="7" spans="1:7" ht="21" customHeight="1" thickBot="1">
      <c r="A7" s="754" t="str">
        <f>Status!A6</f>
        <v>As at 24/05/2024</v>
      </c>
      <c r="B7" s="754"/>
      <c r="C7" s="754"/>
      <c r="D7" s="754"/>
      <c r="E7" s="754"/>
      <c r="F7" s="754"/>
    </row>
    <row r="8" spans="1:7" ht="29.25" customHeight="1" thickBot="1">
      <c r="A8" s="68" t="s">
        <v>60</v>
      </c>
      <c r="B8" s="154" t="s">
        <v>61</v>
      </c>
      <c r="C8" s="154" t="s">
        <v>62</v>
      </c>
      <c r="D8" s="154" t="s">
        <v>63</v>
      </c>
      <c r="E8" s="154" t="s">
        <v>64</v>
      </c>
      <c r="F8" s="155" t="s">
        <v>65</v>
      </c>
    </row>
    <row r="9" spans="1:7" ht="18" customHeight="1" thickBot="1">
      <c r="A9" s="128" t="s">
        <v>130</v>
      </c>
      <c r="B9" s="224">
        <f>'YR2006'!B8+'YR2007'!B8+'YR2008'!B9</f>
        <v>7980429.4199999999</v>
      </c>
      <c r="C9" s="224">
        <f>'YR2006'!C8+'YR2007'!C8+'YR2008'!C9</f>
        <v>7850479.4199999999</v>
      </c>
      <c r="D9" s="224">
        <f>'YR2006'!D8+'YR2007'!D8+'YR2008'!D9</f>
        <v>129950</v>
      </c>
      <c r="E9" s="224">
        <f>'YR2006'!E8+'YR2007'!E8+'YR2008'!E9</f>
        <v>0</v>
      </c>
      <c r="F9" s="225">
        <f t="shared" ref="F9:F55" si="0">B9-C9-D9-E9</f>
        <v>0</v>
      </c>
    </row>
    <row r="10" spans="1:7" ht="18" customHeight="1" thickBot="1">
      <c r="A10" s="74" t="s">
        <v>69</v>
      </c>
      <c r="B10" s="224">
        <f>'YR2006'!B9+'YR2007'!B9+'YR2008'!B10</f>
        <v>4306023.1500000004</v>
      </c>
      <c r="C10" s="224">
        <f>'YR2006'!C9+'YR2007'!C9+'YR2008'!C10</f>
        <v>4306023.1500000004</v>
      </c>
      <c r="D10" s="224">
        <f>'YR2006'!D9+'YR2007'!D9+'YR2008'!D10</f>
        <v>0</v>
      </c>
      <c r="E10" s="224">
        <f>'YR2006'!E9+'YR2007'!E9+'YR2008'!E10</f>
        <v>0</v>
      </c>
      <c r="F10" s="157">
        <f t="shared" si="0"/>
        <v>0</v>
      </c>
    </row>
    <row r="11" spans="1:7" ht="18" customHeight="1" thickBot="1">
      <c r="A11" s="96" t="s">
        <v>70</v>
      </c>
      <c r="B11" s="224">
        <f>'YR2006'!B10+'YR2007'!B10+'YR2008'!B11</f>
        <v>25064.159999999996</v>
      </c>
      <c r="C11" s="224">
        <f>'YR2006'!C10+'YR2007'!C10+'YR2008'!C11</f>
        <v>0</v>
      </c>
      <c r="D11" s="224">
        <f>'YR2006'!D10+'YR2007'!D10+'YR2008'!D11</f>
        <v>0</v>
      </c>
      <c r="E11" s="224">
        <f>'YR2006'!E10+'YR2007'!E10+'YR2008'!E11</f>
        <v>0</v>
      </c>
      <c r="F11" s="157">
        <f t="shared" si="0"/>
        <v>25064.159999999996</v>
      </c>
    </row>
    <row r="12" spans="1:7" ht="18" customHeight="1" thickBot="1">
      <c r="A12" s="74" t="s">
        <v>71</v>
      </c>
      <c r="B12" s="224">
        <f>'YR2006'!B11+'YR2007'!B11+'YR2008'!B12</f>
        <v>90231</v>
      </c>
      <c r="C12" s="224">
        <f>'YR2006'!C11+'YR2007'!C11+'YR2008'!C12</f>
        <v>0</v>
      </c>
      <c r="D12" s="224">
        <f>'YR2006'!D11+'YR2007'!D11+'YR2008'!D12</f>
        <v>0</v>
      </c>
      <c r="E12" s="224">
        <f>'YR2006'!E11+'YR2007'!E11+'YR2008'!E12</f>
        <v>0</v>
      </c>
      <c r="F12" s="157">
        <f t="shared" si="0"/>
        <v>90231</v>
      </c>
    </row>
    <row r="13" spans="1:7" ht="18" customHeight="1" thickBot="1">
      <c r="A13" s="74" t="s">
        <v>72</v>
      </c>
      <c r="B13" s="224">
        <f>'YR2006'!B12+'YR2007'!B12+'YR2008'!B13</f>
        <v>5358717.99</v>
      </c>
      <c r="C13" s="224">
        <f>'YR2006'!C12+'YR2007'!C12+'YR2008'!C13</f>
        <v>5358717.99</v>
      </c>
      <c r="D13" s="224">
        <f>'YR2006'!D12+'YR2007'!D12+'YR2008'!D13</f>
        <v>0</v>
      </c>
      <c r="E13" s="224">
        <f>'YR2006'!E12+'YR2007'!E12+'YR2008'!E13</f>
        <v>0</v>
      </c>
      <c r="F13" s="157">
        <f t="shared" si="0"/>
        <v>0</v>
      </c>
    </row>
    <row r="14" spans="1:7" ht="18" customHeight="1" thickBot="1">
      <c r="A14" s="74" t="s">
        <v>73</v>
      </c>
      <c r="B14" s="224">
        <f>'YR2006'!B13+'YR2007'!B13+'YR2008'!B14</f>
        <v>85218.15</v>
      </c>
      <c r="C14" s="224">
        <f>'YR2006'!C13+'YR2007'!C13+'YR2008'!C14</f>
        <v>85218.15</v>
      </c>
      <c r="D14" s="224">
        <f>'YR2006'!D13+'YR2007'!D13+'YR2008'!D14</f>
        <v>0</v>
      </c>
      <c r="E14" s="224">
        <f>'YR2006'!E13+'YR2007'!E13+'YR2008'!E14</f>
        <v>0</v>
      </c>
      <c r="F14" s="157">
        <f t="shared" si="0"/>
        <v>0</v>
      </c>
    </row>
    <row r="15" spans="1:7" ht="18" customHeight="1" thickBot="1">
      <c r="A15" s="74" t="s">
        <v>131</v>
      </c>
      <c r="B15" s="224">
        <f>'YR2006'!B14+'YR2007'!B14+'YR2008'!B15</f>
        <v>14101097.970000001</v>
      </c>
      <c r="C15" s="224">
        <f>'YR2006'!C14+'YR2007'!C14+'YR2008'!C15</f>
        <v>12495580.719999999</v>
      </c>
      <c r="D15" s="224">
        <f>'YR2006'!D14+'YR2007'!D14+'YR2008'!D15</f>
        <v>1605517</v>
      </c>
      <c r="E15" s="224">
        <f>'YR2006'!E14+'YR2007'!E14+'YR2008'!E15</f>
        <v>0</v>
      </c>
      <c r="F15" s="157">
        <f t="shared" si="0"/>
        <v>0.25000000186264515</v>
      </c>
    </row>
    <row r="16" spans="1:7" ht="18" customHeight="1" thickBot="1">
      <c r="A16" s="74" t="s">
        <v>76</v>
      </c>
      <c r="B16" s="224">
        <f>'YR2006'!B15+'YR2007'!B15+'YR2008'!B16</f>
        <v>195500.46</v>
      </c>
      <c r="C16" s="224">
        <f>'YR2006'!C15+'YR2007'!C15+'YR2008'!C16</f>
        <v>195500.46</v>
      </c>
      <c r="D16" s="224">
        <f>'YR2006'!D15+'YR2007'!D15+'YR2008'!D16</f>
        <v>0</v>
      </c>
      <c r="E16" s="224">
        <f>'YR2006'!E15+'YR2007'!E15+'YR2008'!E16</f>
        <v>0</v>
      </c>
      <c r="F16" s="157">
        <f t="shared" si="0"/>
        <v>0</v>
      </c>
    </row>
    <row r="17" spans="1:9" ht="18" customHeight="1" thickBot="1">
      <c r="A17" s="74" t="s">
        <v>77</v>
      </c>
      <c r="B17" s="224">
        <f>'YR2006'!B16+'YR2007'!B16+'YR2008'!B17</f>
        <v>917348.36999999988</v>
      </c>
      <c r="C17" s="224">
        <f>'YR2006'!C16+'YR2007'!C16+'YR2008'!C17</f>
        <v>917348.36999999988</v>
      </c>
      <c r="D17" s="224">
        <f>'YR2006'!D16+'YR2007'!D16+'YR2008'!D17</f>
        <v>0</v>
      </c>
      <c r="E17" s="224">
        <f>'YR2006'!E16+'YR2007'!E16+'YR2008'!E17</f>
        <v>0</v>
      </c>
      <c r="F17" s="157">
        <f t="shared" si="0"/>
        <v>0</v>
      </c>
    </row>
    <row r="18" spans="1:9" ht="18" customHeight="1" thickBot="1">
      <c r="A18" s="74" t="s">
        <v>78</v>
      </c>
      <c r="B18" s="224">
        <f>'YR2006'!B17+'YR2007'!B17+'YR2008'!B18</f>
        <v>3599213.76</v>
      </c>
      <c r="C18" s="224">
        <f>'YR2006'!C17+'YR2007'!C17+'YR2008'!C18</f>
        <v>3599213.76</v>
      </c>
      <c r="D18" s="224">
        <f>'YR2006'!D17+'YR2007'!D17+'YR2008'!D18</f>
        <v>0</v>
      </c>
      <c r="E18" s="224">
        <f>'YR2006'!E17+'YR2007'!E17+'YR2008'!E18</f>
        <v>0</v>
      </c>
      <c r="F18" s="157">
        <f t="shared" si="0"/>
        <v>0</v>
      </c>
    </row>
    <row r="19" spans="1:9" ht="18" customHeight="1" thickBot="1">
      <c r="A19" s="74" t="s">
        <v>79</v>
      </c>
      <c r="B19" s="224">
        <f>'YR2006'!B18+'YR2007'!B18+'YR2008'!B19</f>
        <v>60153.990000000005</v>
      </c>
      <c r="C19" s="224">
        <f>'YR2006'!C18+'YR2007'!C18+'YR2008'!C19</f>
        <v>60153.990000000005</v>
      </c>
      <c r="D19" s="224">
        <f>'YR2006'!D18+'YR2007'!D18+'YR2008'!D19</f>
        <v>0</v>
      </c>
      <c r="E19" s="224">
        <f>'YR2006'!E18+'YR2007'!E18+'YR2008'!E19</f>
        <v>0</v>
      </c>
      <c r="F19" s="157">
        <f t="shared" si="0"/>
        <v>0</v>
      </c>
    </row>
    <row r="20" spans="1:9" ht="18" customHeight="1" thickBot="1">
      <c r="A20" s="74" t="s">
        <v>80</v>
      </c>
      <c r="B20" s="224">
        <f>'YR2006'!B19+'YR2007'!B19+'YR2008'!B20</f>
        <v>2671839.75</v>
      </c>
      <c r="C20" s="224">
        <f>'YR2006'!C19+'YR2007'!C19+'YR2008'!C20</f>
        <v>2671839.75</v>
      </c>
      <c r="D20" s="224">
        <f>'YR2006'!D19+'YR2007'!D19+'YR2008'!D20</f>
        <v>0</v>
      </c>
      <c r="E20" s="224">
        <f>'YR2006'!E19+'YR2007'!E19+'YR2008'!E20</f>
        <v>0</v>
      </c>
      <c r="F20" s="157">
        <f t="shared" si="0"/>
        <v>0</v>
      </c>
    </row>
    <row r="21" spans="1:9" ht="18" customHeight="1" thickBot="1">
      <c r="A21" s="74" t="s">
        <v>132</v>
      </c>
      <c r="B21" s="224">
        <f>'YR2006'!B20+'YR2007'!B20+'YR2008'!B21</f>
        <v>30227380.289999999</v>
      </c>
      <c r="C21" s="224">
        <f>'YR2006'!C20+'YR2007'!C20+'YR2008'!C21</f>
        <v>27935225.859999999</v>
      </c>
      <c r="D21" s="224">
        <f>'YR2006'!D20+'YR2007'!D20+'YR2008'!D21</f>
        <v>2200829</v>
      </c>
      <c r="E21" s="224">
        <f>'YR2006'!E20+'YR2007'!E20+'YR2008'!E21</f>
        <v>0</v>
      </c>
      <c r="F21" s="157">
        <f t="shared" si="0"/>
        <v>91325.429999999702</v>
      </c>
    </row>
    <row r="22" spans="1:9" ht="18" customHeight="1" thickBot="1">
      <c r="A22" s="74" t="s">
        <v>167</v>
      </c>
      <c r="B22" s="224">
        <f>'YR2006'!B21+'YR2007'!B21+'YR2008'!B22</f>
        <v>43421155.560000002</v>
      </c>
      <c r="C22" s="224">
        <f>'YR2006'!C21+'YR2007'!C21+'YR2008'!C22</f>
        <v>34578521.890000001</v>
      </c>
      <c r="D22" s="224">
        <f>'YR2006'!D21+'YR2007'!D21+'YR2008'!D22</f>
        <v>8901757</v>
      </c>
      <c r="E22" s="224">
        <f>'YR2006'!E21+'YR2007'!E21+'YR2008'!E22-1</f>
        <v>-0.44000000040978193</v>
      </c>
      <c r="F22" s="157">
        <f t="shared" si="0"/>
        <v>-59122.889999997802</v>
      </c>
    </row>
    <row r="23" spans="1:9" ht="18" customHeight="1" thickBot="1">
      <c r="A23" s="74" t="s">
        <v>83</v>
      </c>
      <c r="B23" s="224">
        <f>'YR2006'!B22+'YR2007'!B22+'YR2008'!B23</f>
        <v>2656801.2600000002</v>
      </c>
      <c r="C23" s="224">
        <f>'YR2006'!C22+'YR2007'!C22+'YR2008'!C23</f>
        <v>1527311.3599999999</v>
      </c>
      <c r="D23" s="224">
        <f>'YR2006'!D22+'YR2007'!D22+'YR2008'!D23</f>
        <v>0</v>
      </c>
      <c r="E23" s="224">
        <f>'YR2006'!E22+'YR2007'!E22+'YR2008'!E23</f>
        <v>0</v>
      </c>
      <c r="F23" s="157">
        <f t="shared" si="0"/>
        <v>1129489.9000000004</v>
      </c>
    </row>
    <row r="24" spans="1:9" ht="18" customHeight="1" thickBot="1">
      <c r="A24" s="74" t="s">
        <v>85</v>
      </c>
      <c r="B24" s="224">
        <f>'YR2006'!B23+'YR2007'!B23+'YR2008'!B24</f>
        <v>631616.91</v>
      </c>
      <c r="C24" s="224">
        <f>'YR2006'!C23+'YR2007'!C23+'YR2008'!C24</f>
        <v>631616.91</v>
      </c>
      <c r="D24" s="224">
        <f>'YR2006'!D23+'YR2007'!D23+'YR2008'!D24</f>
        <v>0</v>
      </c>
      <c r="E24" s="224">
        <f>'YR2006'!E23+'YR2007'!E23+'YR2008'!E24</f>
        <v>0</v>
      </c>
      <c r="F24" s="157">
        <f t="shared" si="0"/>
        <v>0</v>
      </c>
    </row>
    <row r="25" spans="1:9" ht="18" customHeight="1" thickBot="1">
      <c r="A25" s="74" t="s">
        <v>86</v>
      </c>
      <c r="B25" s="224">
        <f>'YR2006'!B24+'YR2007'!B24+'YR2008'!B25</f>
        <v>170436.3</v>
      </c>
      <c r="C25" s="224">
        <f>'YR2006'!C24+'YR2007'!C24+'YR2008'!C25</f>
        <v>170436.3</v>
      </c>
      <c r="D25" s="224">
        <f>'YR2006'!D24+'YR2007'!D24+'YR2008'!D25</f>
        <v>0</v>
      </c>
      <c r="E25" s="224">
        <f>'YR2006'!E24+'YR2007'!E24+'YR2008'!E25</f>
        <v>0</v>
      </c>
      <c r="F25" s="157">
        <f t="shared" si="0"/>
        <v>0</v>
      </c>
    </row>
    <row r="26" spans="1:9" ht="18" customHeight="1" thickBot="1">
      <c r="A26" s="74" t="s">
        <v>134</v>
      </c>
      <c r="B26" s="224">
        <f>'YR2006'!B25+'YR2007'!B25+'YR2008'!B26</f>
        <v>1754491.38</v>
      </c>
      <c r="C26" s="224">
        <f>'YR2006'!C25+'YR2007'!C25+'YR2008'!C26</f>
        <v>1754491.38</v>
      </c>
      <c r="D26" s="224">
        <f>'YR2006'!D25+'YR2007'!D25+'YR2008'!D26</f>
        <v>0</v>
      </c>
      <c r="E26" s="224">
        <f>'YR2006'!E25+'YR2007'!E25+'YR2008'!E26</f>
        <v>0</v>
      </c>
      <c r="F26" s="157">
        <f t="shared" si="0"/>
        <v>0</v>
      </c>
    </row>
    <row r="27" spans="1:9" ht="18" customHeight="1" thickBot="1">
      <c r="A27" s="74" t="s">
        <v>88</v>
      </c>
      <c r="B27" s="224">
        <f>'YR2006'!B26+'YR2007'!B26+'YR2008'!B27</f>
        <v>2340992.79</v>
      </c>
      <c r="C27" s="224">
        <f>'YR2006'!C26+'YR2007'!C26+'YR2008'!C27</f>
        <v>0</v>
      </c>
      <c r="D27" s="159">
        <v>32347</v>
      </c>
      <c r="E27" s="159">
        <v>0</v>
      </c>
      <c r="F27" s="157">
        <f t="shared" si="0"/>
        <v>2308645.79</v>
      </c>
    </row>
    <row r="28" spans="1:9" ht="18" customHeight="1" thickBot="1">
      <c r="A28" s="74" t="s">
        <v>89</v>
      </c>
      <c r="B28" s="224">
        <f>'YR2006'!B27+'YR2007'!B27+'YR2008'!B28</f>
        <v>24487687.02</v>
      </c>
      <c r="C28" s="224">
        <f>'YR2006'!C27+'YR2007'!C27+'YR2008'!C28</f>
        <v>19807792.410000004</v>
      </c>
      <c r="D28" s="224">
        <f>'YR2006'!D27+'YR2007'!D27+'YR2008'!D28</f>
        <v>4679895.0600000005</v>
      </c>
      <c r="E28" s="224">
        <f>'YR2006'!E27+'YR2007'!E27+'YR2008'!E28</f>
        <v>0</v>
      </c>
      <c r="F28" s="157">
        <f t="shared" si="0"/>
        <v>-0.45000000484287739</v>
      </c>
    </row>
    <row r="29" spans="1:9" ht="18" customHeight="1" thickBot="1">
      <c r="A29" s="74" t="s">
        <v>135</v>
      </c>
      <c r="B29" s="224">
        <f>'YR2006'!B28+'YR2007'!B28+'YR2008'!B29</f>
        <v>88088000.010000005</v>
      </c>
      <c r="C29" s="224">
        <f>'YR2006'!C28+'YR2007'!C28+'YR2008'!C29</f>
        <v>87201010.010000005</v>
      </c>
      <c r="D29" s="224">
        <f>'YR2006'!D28+'YR2007'!D28+'YR2008'!D29</f>
        <v>886990</v>
      </c>
      <c r="E29" s="224">
        <f>'YR2006'!E28+'YR2007'!E28+'YR2008'!E29</f>
        <v>0</v>
      </c>
      <c r="F29" s="157">
        <f t="shared" si="0"/>
        <v>0</v>
      </c>
    </row>
    <row r="30" spans="1:9" ht="15" thickBot="1">
      <c r="A30" s="74" t="s">
        <v>91</v>
      </c>
      <c r="B30" s="224">
        <f>'YR2006'!B29+'YR2007'!B29+'YR2008'!B30</f>
        <v>0</v>
      </c>
      <c r="C30" s="224">
        <f>'YR2006'!C29+'YR2007'!C29+'YR2008'!C30</f>
        <v>0</v>
      </c>
      <c r="D30" s="224">
        <f>'YR2006'!D29+'YR2007'!D29+'YR2008'!D30</f>
        <v>0</v>
      </c>
      <c r="E30" s="224">
        <f>'YR2006'!E29+'YR2007'!E29+'YR2008'!E30</f>
        <v>0</v>
      </c>
      <c r="F30" s="157">
        <f t="shared" si="0"/>
        <v>0</v>
      </c>
      <c r="H30" s="112"/>
      <c r="I30" s="112"/>
    </row>
    <row r="31" spans="1:9" ht="18" customHeight="1" thickBot="1">
      <c r="A31" s="74" t="s">
        <v>93</v>
      </c>
      <c r="B31" s="224">
        <f>'YR2006'!B30+'YR2007'!B30+'YR2008'!B31</f>
        <v>75192.479999999996</v>
      </c>
      <c r="C31" s="224">
        <f>'YR2006'!C30+'YR2007'!C30+'YR2008'!C31</f>
        <v>75192.479999999996</v>
      </c>
      <c r="D31" s="224">
        <f>'YR2006'!D30+'YR2007'!D30+'YR2008'!D31</f>
        <v>0</v>
      </c>
      <c r="E31" s="224">
        <f>'YR2006'!E30+'YR2007'!E30+'YR2008'!E31</f>
        <v>0</v>
      </c>
      <c r="F31" s="157">
        <f t="shared" si="0"/>
        <v>0</v>
      </c>
    </row>
    <row r="32" spans="1:9" ht="18" customHeight="1" thickBot="1">
      <c r="A32" s="74" t="s">
        <v>94</v>
      </c>
      <c r="B32" s="224">
        <f>'YR2006'!B31+'YR2007'!B31+'YR2008'!B32</f>
        <v>25064.159999999996</v>
      </c>
      <c r="C32" s="224">
        <f>'YR2006'!C31+'YR2007'!C31+'YR2008'!C32</f>
        <v>25064.159999999996</v>
      </c>
      <c r="D32" s="224">
        <f>'YR2006'!D31+'YR2007'!D31+'YR2008'!D32</f>
        <v>0</v>
      </c>
      <c r="E32" s="224">
        <f>'YR2006'!E31+'YR2007'!E31+'YR2008'!E32</f>
        <v>0</v>
      </c>
      <c r="F32" s="157">
        <f t="shared" si="0"/>
        <v>0</v>
      </c>
    </row>
    <row r="33" spans="1:6" ht="18" customHeight="1" thickBot="1">
      <c r="A33" s="74" t="s">
        <v>95</v>
      </c>
      <c r="B33" s="224">
        <f>'YR2006'!B32+'YR2007'!B32+'YR2008'!B33</f>
        <v>120307.98000000001</v>
      </c>
      <c r="C33" s="224">
        <f>'YR2006'!C32+'YR2007'!C32+'YR2008'!C33</f>
        <v>80205.759999999995</v>
      </c>
      <c r="D33" s="224">
        <f>'YR2006'!D32+'YR2007'!D32+'YR2008'!D33</f>
        <v>0</v>
      </c>
      <c r="E33" s="224">
        <f>'YR2006'!E32+'YR2007'!E32+'YR2008'!E33</f>
        <v>0</v>
      </c>
      <c r="F33" s="157">
        <f t="shared" si="0"/>
        <v>40102.220000000016</v>
      </c>
    </row>
    <row r="34" spans="1:6" ht="18" customHeight="1" thickBot="1">
      <c r="A34" s="74" t="s">
        <v>96</v>
      </c>
      <c r="B34" s="224">
        <f>'YR2006'!B33+'YR2007'!B33+'YR2008'!B34</f>
        <v>385988.1</v>
      </c>
      <c r="C34" s="224">
        <f>'YR2006'!C33+'YR2007'!C33+'YR2008'!C34</f>
        <v>385988.1</v>
      </c>
      <c r="D34" s="224">
        <f>'YR2006'!D33+'YR2007'!D33+'YR2008'!D34</f>
        <v>0</v>
      </c>
      <c r="E34" s="224">
        <f>'YR2006'!E33+'YR2007'!E33+'YR2008'!E34</f>
        <v>0</v>
      </c>
      <c r="F34" s="157">
        <f t="shared" si="0"/>
        <v>0</v>
      </c>
    </row>
    <row r="35" spans="1:6" ht="18" customHeight="1" thickBot="1">
      <c r="A35" s="74" t="s">
        <v>97</v>
      </c>
      <c r="B35" s="224">
        <f>'YR2006'!B34+'YR2007'!B34+'YR2008'!B35</f>
        <v>70179.66</v>
      </c>
      <c r="C35" s="224">
        <f>'YR2006'!C34+'YR2007'!C34+'YR2008'!C35</f>
        <v>70179.66</v>
      </c>
      <c r="D35" s="224">
        <f>'YR2006'!D34+'YR2007'!D34+'YR2008'!D35</f>
        <v>0</v>
      </c>
      <c r="E35" s="224">
        <f>'YR2006'!E34+'YR2007'!E34+'YR2008'!E35</f>
        <v>0</v>
      </c>
      <c r="F35" s="157">
        <f t="shared" si="0"/>
        <v>0</v>
      </c>
    </row>
    <row r="36" spans="1:6" ht="18" customHeight="1" thickBot="1">
      <c r="A36" s="74" t="s">
        <v>98</v>
      </c>
      <c r="B36" s="224">
        <f>'YR2006'!B35+'YR2007'!B35+'YR2008'!B36</f>
        <v>15038.49</v>
      </c>
      <c r="C36" s="224">
        <f>'YR2006'!C35+'YR2007'!C35+'YR2008'!C36</f>
        <v>15038.49</v>
      </c>
      <c r="D36" s="224">
        <f>'YR2006'!D35+'YR2007'!D35+'YR2008'!D36</f>
        <v>0</v>
      </c>
      <c r="E36" s="224">
        <f>'YR2006'!E35+'YR2007'!E35+'YR2008'!E36</f>
        <v>0</v>
      </c>
      <c r="F36" s="157">
        <f t="shared" si="0"/>
        <v>0</v>
      </c>
    </row>
    <row r="37" spans="1:6" ht="18" customHeight="1" thickBot="1">
      <c r="A37" s="74" t="s">
        <v>99</v>
      </c>
      <c r="B37" s="224">
        <f>'YR2006'!B36+'YR2007'!B36+'YR2008'!B37</f>
        <v>8471687.0099999998</v>
      </c>
      <c r="C37" s="224">
        <f>'YR2006'!C36+'YR2007'!C36+'YR2008'!C37</f>
        <v>8471687.0099999998</v>
      </c>
      <c r="D37" s="224">
        <f>'YR2006'!D36+'YR2007'!D36+'YR2008'!D37</f>
        <v>0</v>
      </c>
      <c r="E37" s="224">
        <f>'YR2006'!E36+'YR2007'!E36+'YR2008'!E37</f>
        <v>0</v>
      </c>
      <c r="F37" s="157">
        <f t="shared" si="0"/>
        <v>0</v>
      </c>
    </row>
    <row r="38" spans="1:6" ht="18" customHeight="1" thickBot="1">
      <c r="A38" s="74" t="s">
        <v>100</v>
      </c>
      <c r="B38" s="224">
        <f>'YR2006'!B37+'YR2007'!B37+'YR2008'!B38</f>
        <v>1107835.98</v>
      </c>
      <c r="C38" s="224">
        <f>'YR2006'!C37+'YR2007'!C37+'YR2008'!C38</f>
        <v>1107835.98</v>
      </c>
      <c r="D38" s="224">
        <f>'YR2006'!D37+'YR2007'!D37+'YR2008'!D38</f>
        <v>0</v>
      </c>
      <c r="E38" s="224">
        <f>'YR2006'!E37+'YR2007'!E37+'YR2008'!E38</f>
        <v>0</v>
      </c>
      <c r="F38" s="157">
        <f t="shared" si="0"/>
        <v>0</v>
      </c>
    </row>
    <row r="39" spans="1:6" ht="18" customHeight="1" thickBot="1">
      <c r="A39" s="74" t="s">
        <v>101</v>
      </c>
      <c r="B39" s="224">
        <f>'YR2006'!B38+'YR2007'!B38+'YR2008'!B39</f>
        <v>3403713.3000000003</v>
      </c>
      <c r="C39" s="224">
        <f>'YR2006'!C38+'YR2007'!C38+'YR2008'!C39</f>
        <v>3403713.3000000003</v>
      </c>
      <c r="D39" s="224">
        <f>'YR2006'!D38+'YR2007'!D38+'YR2008'!D39</f>
        <v>0</v>
      </c>
      <c r="E39" s="224">
        <f>'YR2006'!E38+'YR2007'!E38+'YR2008'!E39</f>
        <v>0</v>
      </c>
      <c r="F39" s="157">
        <f t="shared" si="0"/>
        <v>0</v>
      </c>
    </row>
    <row r="40" spans="1:6" ht="18" customHeight="1" thickBot="1">
      <c r="A40" s="74" t="s">
        <v>103</v>
      </c>
      <c r="B40" s="224">
        <f>'YR2006'!B39+'YR2007'!B39+'YR2008'!B40</f>
        <v>2310915.81</v>
      </c>
      <c r="C40" s="224">
        <f>'YR2006'!C39+'YR2007'!C39+'YR2008'!C40</f>
        <v>2310915.54</v>
      </c>
      <c r="D40" s="224">
        <f>'YR2006'!D39+'YR2007'!D39+'YR2008'!D40</f>
        <v>0</v>
      </c>
      <c r="E40" s="224">
        <f>'YR2006'!E39+'YR2007'!E39+'YR2008'!E40</f>
        <v>0</v>
      </c>
      <c r="F40" s="157">
        <f t="shared" si="0"/>
        <v>0.27000000001862645</v>
      </c>
    </row>
    <row r="41" spans="1:6" ht="18" customHeight="1" thickBot="1">
      <c r="A41" s="74" t="s">
        <v>104</v>
      </c>
      <c r="B41" s="224">
        <f>'YR2006'!B40+'YR2007'!B40+'YR2008'!B41</f>
        <v>2356031.31</v>
      </c>
      <c r="C41" s="224">
        <f>'YR2006'!C40+'YR2007'!C40+'YR2008'!C41</f>
        <v>2356031.04</v>
      </c>
      <c r="D41" s="224">
        <f>'YR2006'!D40+'YR2007'!D40+'YR2008'!D41</f>
        <v>0</v>
      </c>
      <c r="E41" s="224">
        <f>'YR2006'!E40+'YR2007'!E40+'YR2008'!E41</f>
        <v>0</v>
      </c>
      <c r="F41" s="157">
        <f t="shared" si="0"/>
        <v>0.27000000001862645</v>
      </c>
    </row>
    <row r="42" spans="1:6" ht="18" customHeight="1" thickBot="1">
      <c r="A42" s="74" t="s">
        <v>105</v>
      </c>
      <c r="B42" s="224">
        <f>'YR2006'!B41+'YR2007'!B41+'YR2008'!B42</f>
        <v>100122.35</v>
      </c>
      <c r="C42" s="224">
        <f>'YR2006'!C41+'YR2007'!C41+'YR2008'!C42</f>
        <v>100122.35</v>
      </c>
      <c r="D42" s="224">
        <f>'YR2006'!D41+'YR2007'!D41+'YR2008'!D42</f>
        <v>0</v>
      </c>
      <c r="E42" s="224">
        <f>'YR2006'!E41+'YR2007'!E41+'YR2008'!E42</f>
        <v>0</v>
      </c>
      <c r="F42" s="157">
        <f t="shared" si="0"/>
        <v>0</v>
      </c>
    </row>
    <row r="43" spans="1:6" ht="18" customHeight="1" thickBot="1">
      <c r="A43" s="74" t="s">
        <v>106</v>
      </c>
      <c r="B43" s="224">
        <f>'YR2006'!B42+'YR2007'!B42+'YR2008'!B43</f>
        <v>5514115.8000000007</v>
      </c>
      <c r="C43" s="224">
        <f>'YR2006'!C42+'YR2007'!C42+'YR2008'!C43</f>
        <v>0</v>
      </c>
      <c r="D43" s="224">
        <f>'YR2006'!D42+'YR2007'!D42+'YR2008'!D43</f>
        <v>0</v>
      </c>
      <c r="E43" s="224">
        <f>'YR2006'!E42+'YR2007'!E42+'YR2008'!E43</f>
        <v>0</v>
      </c>
      <c r="F43" s="157">
        <f t="shared" si="0"/>
        <v>5514115.8000000007</v>
      </c>
    </row>
    <row r="44" spans="1:6" ht="18" customHeight="1" thickBot="1">
      <c r="A44" s="74" t="s">
        <v>109</v>
      </c>
      <c r="B44" s="224">
        <f>'YR2006'!B43+'YR2007'!B43+'YR2008'!B44</f>
        <v>255654.44999999998</v>
      </c>
      <c r="C44" s="224">
        <f>'YR2006'!C43+'YR2007'!C43+'YR2008'!C44</f>
        <v>255654.44999999998</v>
      </c>
      <c r="D44" s="224">
        <f>'YR2006'!D43+'YR2007'!D43+'YR2008'!D44</f>
        <v>0</v>
      </c>
      <c r="E44" s="224">
        <f>'YR2006'!E43+'YR2007'!E43+'YR2008'!E44</f>
        <v>0</v>
      </c>
      <c r="F44" s="157">
        <f t="shared" si="0"/>
        <v>0</v>
      </c>
    </row>
    <row r="45" spans="1:6" ht="18" customHeight="1" thickBot="1">
      <c r="A45" s="74" t="s">
        <v>110</v>
      </c>
      <c r="B45" s="224">
        <f>'YR2006'!B44+'YR2007'!B44+'YR2008'!B45</f>
        <v>411052.26</v>
      </c>
      <c r="C45" s="224">
        <f>'YR2006'!C44+'YR2007'!C44+'YR2008'!C45</f>
        <v>411052.26</v>
      </c>
      <c r="D45" s="224">
        <f>'YR2006'!D44+'YR2007'!D44+'YR2008'!D45</f>
        <v>0</v>
      </c>
      <c r="E45" s="224">
        <f>'YR2006'!E44+'YR2007'!E44+'YR2008'!E45</f>
        <v>0</v>
      </c>
      <c r="F45" s="157">
        <f t="shared" si="0"/>
        <v>0</v>
      </c>
    </row>
    <row r="46" spans="1:6" ht="18" customHeight="1" thickBot="1">
      <c r="A46" s="74" t="s">
        <v>112</v>
      </c>
      <c r="B46" s="224">
        <f>'YR2006'!B45+'YR2007'!B45+'YR2008'!B46</f>
        <v>12632338.02</v>
      </c>
      <c r="C46" s="224">
        <f>'YR2006'!C45+'YR2007'!C45+'YR2008'!C46</f>
        <v>12474061.02</v>
      </c>
      <c r="D46" s="224">
        <f>'YR2006'!D45+'YR2007'!D45+'YR2008'!D46</f>
        <v>727677</v>
      </c>
      <c r="E46" s="224">
        <f>'YR2006'!E45+'YR2007'!E45+'YR2008'!E46</f>
        <v>0</v>
      </c>
      <c r="F46" s="157">
        <f t="shared" si="0"/>
        <v>-569400</v>
      </c>
    </row>
    <row r="47" spans="1:6" ht="18" customHeight="1" thickBot="1">
      <c r="A47" s="74" t="s">
        <v>136</v>
      </c>
      <c r="B47" s="224">
        <f>'YR2006'!B46+'YR2007'!B46+'YR2008'!B47</f>
        <v>5002806.9000000004</v>
      </c>
      <c r="C47" s="224">
        <f>'YR2006'!C46+'YR2007'!C46+'YR2008'!C47</f>
        <v>5002806.9000000004</v>
      </c>
      <c r="D47" s="224">
        <f>'YR2006'!D46+'YR2007'!D46+'YR2008'!D47</f>
        <v>0</v>
      </c>
      <c r="E47" s="224">
        <f>'YR2006'!E46+'YR2007'!E46+'YR2008'!E47</f>
        <v>0</v>
      </c>
      <c r="F47" s="157">
        <f t="shared" si="0"/>
        <v>0</v>
      </c>
    </row>
    <row r="48" spans="1:6" ht="18" customHeight="1" thickBot="1">
      <c r="A48" s="74" t="s">
        <v>114</v>
      </c>
      <c r="B48" s="224">
        <f>'YR2006'!B47+'YR2007'!B47+'YR2008'!B48</f>
        <v>6000360.5700000003</v>
      </c>
      <c r="C48" s="224">
        <f>'YR2006'!C47+'YR2007'!C47+'YR2008'!C48</f>
        <v>5203788.57</v>
      </c>
      <c r="D48" s="224">
        <f>'YR2006'!D47+'YR2007'!D47+'YR2008'!D48</f>
        <v>506557</v>
      </c>
      <c r="E48" s="224">
        <f>'YR2006'!E47+'YR2007'!E47+'YR2008'!E48</f>
        <v>0</v>
      </c>
      <c r="F48" s="157">
        <f t="shared" si="0"/>
        <v>290015</v>
      </c>
    </row>
    <row r="49" spans="1:6" ht="18" customHeight="1" thickBot="1">
      <c r="A49" s="74" t="s">
        <v>115</v>
      </c>
      <c r="B49" s="224">
        <f>'YR2006'!B48+'YR2007'!B48+'YR2008'!B49</f>
        <v>5012.82</v>
      </c>
      <c r="C49" s="224">
        <f>'YR2006'!C48+'YR2007'!C48+'YR2008'!C49</f>
        <v>0</v>
      </c>
      <c r="D49" s="224">
        <f>'YR2006'!D48+'YR2007'!D48+'YR2008'!D49</f>
        <v>0</v>
      </c>
      <c r="E49" s="224">
        <f>'YR2006'!E48+'YR2007'!E48+'YR2008'!E49</f>
        <v>0</v>
      </c>
      <c r="F49" s="157">
        <f t="shared" si="0"/>
        <v>5012.82</v>
      </c>
    </row>
    <row r="50" spans="1:6" ht="18" customHeight="1" thickBot="1">
      <c r="A50" s="74" t="s">
        <v>117</v>
      </c>
      <c r="B50" s="224">
        <f>'YR2006'!B49+'YR2007'!B49+'YR2008'!B50</f>
        <v>195500.46</v>
      </c>
      <c r="C50" s="224">
        <f>'YR2006'!C49+'YR2007'!C49+'YR2008'!C50</f>
        <v>0</v>
      </c>
      <c r="D50" s="224">
        <f>'YR2006'!D49+'YR2007'!D49+'YR2008'!D50</f>
        <v>0</v>
      </c>
      <c r="E50" s="224">
        <f>'YR2006'!E49+'YR2007'!E49+'YR2008'!E50</f>
        <v>0</v>
      </c>
      <c r="F50" s="157">
        <f t="shared" si="0"/>
        <v>195500.46</v>
      </c>
    </row>
    <row r="51" spans="1:6" ht="18" customHeight="1" thickBot="1">
      <c r="A51" s="74" t="s">
        <v>119</v>
      </c>
      <c r="B51" s="224">
        <f>'YR2006'!B50+'YR2007'!B50+'YR2008'!B51</f>
        <v>30713625.030000001</v>
      </c>
      <c r="C51" s="224">
        <f>'YR2006'!C50+'YR2007'!C50+'YR2008'!C51</f>
        <v>30713625.030000001</v>
      </c>
      <c r="D51" s="224">
        <f>'YR2006'!D50+'YR2007'!D50+'YR2008'!D51</f>
        <v>0</v>
      </c>
      <c r="E51" s="224">
        <f>'YR2006'!E50+'YR2007'!E50+'YR2008'!E51</f>
        <v>0</v>
      </c>
      <c r="F51" s="157">
        <f t="shared" si="0"/>
        <v>0</v>
      </c>
    </row>
    <row r="52" spans="1:6" ht="18" customHeight="1" thickBot="1">
      <c r="A52" s="74" t="s">
        <v>168</v>
      </c>
      <c r="B52" s="224">
        <f>'YR2006'!B51+'YR2007'!B51+'YR2008'!B52</f>
        <v>55616358.010000005</v>
      </c>
      <c r="C52" s="224">
        <f>'YR2006'!C51+'YR2007'!C51+'YR2008'!C52</f>
        <v>55616359</v>
      </c>
      <c r="D52" s="224">
        <f>'YR2006'!D51+'YR2007'!D51+'YR2008'!D52</f>
        <v>0</v>
      </c>
      <c r="E52" s="224">
        <f>'YR2006'!E51+'YR2007'!E51+'YR2008'!E52</f>
        <v>0</v>
      </c>
      <c r="F52" s="157">
        <f t="shared" si="0"/>
        <v>-0.98999999463558197</v>
      </c>
    </row>
    <row r="53" spans="1:6" ht="18" customHeight="1" thickBot="1">
      <c r="A53" s="226" t="s">
        <v>121</v>
      </c>
      <c r="B53" s="224">
        <f>'YR2006'!B52+'YR2007'!B52+'YR2008'!B53</f>
        <v>70179.66</v>
      </c>
      <c r="C53" s="224">
        <f>'YR2006'!C52+'YR2007'!C52+'YR2008'!C53</f>
        <v>0</v>
      </c>
      <c r="D53" s="224">
        <f>'YR2006'!D52+'YR2007'!D52+'YR2008'!D53</f>
        <v>0</v>
      </c>
      <c r="E53" s="224">
        <f>'YR2006'!E52+'YR2007'!E52+'YR2008'!E53</f>
        <v>0</v>
      </c>
      <c r="F53" s="227">
        <f t="shared" si="0"/>
        <v>70179.66</v>
      </c>
    </row>
    <row r="54" spans="1:6" ht="15" thickBot="1">
      <c r="A54" s="81" t="s">
        <v>122</v>
      </c>
      <c r="B54" s="79">
        <f>SUM(B9:B53)</f>
        <v>368028480.29999989</v>
      </c>
      <c r="C54" s="167">
        <f>SUM(C9:C53)</f>
        <v>339225802.9799999</v>
      </c>
      <c r="D54" s="167">
        <f>SUM(D9:D53)</f>
        <v>19671519.060000002</v>
      </c>
      <c r="E54" s="167">
        <f>SUM(E9:E53)</f>
        <v>-0.44000000040978193</v>
      </c>
      <c r="F54" s="168">
        <f>SUM(F9:F53)</f>
        <v>9131158.7000000067</v>
      </c>
    </row>
    <row r="55" spans="1:6" ht="16" thickBot="1">
      <c r="A55" s="228" t="s">
        <v>169</v>
      </c>
      <c r="B55" s="229">
        <f>'YR2007'!B54+'YR2008'!B55</f>
        <v>32471642</v>
      </c>
      <c r="C55" s="167">
        <v>0</v>
      </c>
      <c r="D55" s="167">
        <v>0</v>
      </c>
      <c r="E55" s="167">
        <v>0</v>
      </c>
      <c r="F55" s="157">
        <f t="shared" si="0"/>
        <v>32471642</v>
      </c>
    </row>
    <row r="56" spans="1:6" ht="15" thickBot="1">
      <c r="A56" s="81" t="s">
        <v>124</v>
      </c>
      <c r="B56" s="79">
        <f>B54+B55</f>
        <v>400500122.29999989</v>
      </c>
      <c r="C56" s="79">
        <f>C54+C55</f>
        <v>339225802.9799999</v>
      </c>
      <c r="D56" s="79">
        <f>D54+D55</f>
        <v>19671519.060000002</v>
      </c>
      <c r="E56" s="79">
        <f>E54+E55</f>
        <v>-0.44000000040978193</v>
      </c>
      <c r="F56" s="79">
        <f>F54+F55</f>
        <v>41602800.700000003</v>
      </c>
    </row>
    <row r="57" spans="1:6">
      <c r="A57" s="748" t="s">
        <v>170</v>
      </c>
      <c r="B57" s="748"/>
      <c r="C57" s="748"/>
      <c r="D57" s="748"/>
      <c r="E57" s="748"/>
      <c r="F57" s="748"/>
    </row>
    <row r="58" spans="1:6">
      <c r="A58" s="749"/>
      <c r="B58" s="749"/>
      <c r="C58" s="749"/>
      <c r="D58" s="749"/>
      <c r="E58" s="749"/>
      <c r="F58" s="749"/>
    </row>
    <row r="59" spans="1:6">
      <c r="A59" s="85" t="s">
        <v>171</v>
      </c>
      <c r="B59" s="230"/>
      <c r="C59" s="231"/>
      <c r="D59" s="231"/>
      <c r="E59" s="231"/>
      <c r="F59" s="231"/>
    </row>
    <row r="60" spans="1:6">
      <c r="A60" s="232"/>
      <c r="B60" s="233"/>
      <c r="C60" s="234"/>
      <c r="D60" s="234"/>
      <c r="E60" s="234"/>
      <c r="F60" s="234"/>
    </row>
    <row r="61" spans="1:6" ht="15" thickBot="1"/>
    <row r="62" spans="1:6" ht="15" thickBot="1">
      <c r="A62" s="102" t="s">
        <v>139</v>
      </c>
      <c r="B62" s="172">
        <f>B11+B12+B14+B17+B19+B24+B31+B33+B40+B43+B44+B45+B49+B50+B53</f>
        <v>10767564.300000001</v>
      </c>
      <c r="C62" s="172">
        <f>C11+C12+C14+C17+C19+C24+C31+C33+C40+C43+C44+C45+C49+C50+C53</f>
        <v>4827357.91</v>
      </c>
      <c r="D62" s="172">
        <f>D11+D12+D14+D17+D19+D24+D31+D33+D40+D43+D44+D45+D49+D50+D53</f>
        <v>0</v>
      </c>
      <c r="E62" s="172">
        <f>E11+E12+E14+E17+E19+E24+E31+E33+E40+E43+E44+E45+E49+E50+E53</f>
        <v>0</v>
      </c>
      <c r="F62" s="172">
        <f>F11+F12+F14+F17+F19+F24+F31+F33+F40+F43+F44+F45+F49+F50+F53</f>
        <v>5940206.3900000015</v>
      </c>
    </row>
  </sheetData>
  <mergeCells count="6">
    <mergeCell ref="A57:F58"/>
    <mergeCell ref="A1:C1"/>
    <mergeCell ref="A3:B3"/>
    <mergeCell ref="A5:F5"/>
    <mergeCell ref="A6:F6"/>
    <mergeCell ref="A7:F7"/>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75DFA-AF8D-4AAC-A215-CBB3CE33DCAF}">
  <dimension ref="A1:IU61"/>
  <sheetViews>
    <sheetView topLeftCell="A47" workbookViewId="0">
      <selection activeCell="C56" sqref="C56:F56"/>
    </sheetView>
  </sheetViews>
  <sheetFormatPr defaultRowHeight="14.5"/>
  <cols>
    <col min="1" max="1" width="27.26953125" customWidth="1"/>
    <col min="2" max="5" width="17.453125" customWidth="1"/>
    <col min="6" max="6" width="19.26953125" customWidth="1"/>
    <col min="7" max="7" width="2.26953125" customWidth="1"/>
  </cols>
  <sheetData>
    <row r="1" spans="1:7" ht="16.5">
      <c r="B1" s="235"/>
      <c r="F1" s="218" t="str">
        <f>Status!C1</f>
        <v>UNEP/OzL.Pro/ExCom/94/3</v>
      </c>
      <c r="G1" s="236"/>
    </row>
    <row r="2" spans="1:7" ht="16.5">
      <c r="B2" s="222"/>
      <c r="F2" s="218" t="s">
        <v>0</v>
      </c>
      <c r="G2" s="236"/>
    </row>
    <row r="3" spans="1:7" ht="16.5">
      <c r="B3" s="223"/>
      <c r="F3" s="212" t="s">
        <v>183</v>
      </c>
    </row>
    <row r="5" spans="1:7" ht="15.5">
      <c r="A5" s="756" t="s">
        <v>2</v>
      </c>
      <c r="B5" s="756"/>
      <c r="C5" s="756"/>
      <c r="D5" s="756"/>
      <c r="E5" s="756"/>
      <c r="F5" s="756"/>
    </row>
    <row r="6" spans="1:7" ht="15">
      <c r="A6" s="757" t="s">
        <v>173</v>
      </c>
      <c r="B6" s="757"/>
      <c r="C6" s="757"/>
      <c r="D6" s="757"/>
      <c r="E6" s="757"/>
      <c r="F6" s="757"/>
    </row>
    <row r="7" spans="1:7" ht="16" thickBot="1">
      <c r="A7" s="758" t="str">
        <f>Status!A6</f>
        <v>As at 24/05/2024</v>
      </c>
      <c r="B7" s="758"/>
      <c r="C7" s="758"/>
      <c r="D7" s="758"/>
      <c r="E7" s="758"/>
      <c r="F7" s="758"/>
    </row>
    <row r="8" spans="1:7" ht="31.5" customHeight="1" thickBot="1">
      <c r="A8" s="68" t="s">
        <v>60</v>
      </c>
      <c r="B8" s="154" t="s">
        <v>61</v>
      </c>
      <c r="C8" s="154" t="s">
        <v>62</v>
      </c>
      <c r="D8" s="154" t="s">
        <v>63</v>
      </c>
      <c r="E8" s="154" t="s">
        <v>64</v>
      </c>
      <c r="F8" s="155" t="s">
        <v>65</v>
      </c>
    </row>
    <row r="9" spans="1:7" ht="17.25" customHeight="1">
      <c r="A9" s="237" t="s">
        <v>130</v>
      </c>
      <c r="B9" s="238">
        <v>2660143.14</v>
      </c>
      <c r="C9" s="238">
        <v>2660143.14</v>
      </c>
      <c r="D9" s="239"/>
      <c r="E9" s="239"/>
      <c r="F9" s="240">
        <f t="shared" ref="F9:F55" si="0">B9-C9-D9-E9</f>
        <v>0</v>
      </c>
    </row>
    <row r="10" spans="1:7" ht="17.25" customHeight="1">
      <c r="A10" s="40" t="s">
        <v>69</v>
      </c>
      <c r="B10" s="242">
        <v>1435341.05</v>
      </c>
      <c r="C10" s="242">
        <v>1435341.05</v>
      </c>
      <c r="D10" s="243"/>
      <c r="E10" s="243"/>
      <c r="F10" s="240">
        <f t="shared" si="0"/>
        <v>0</v>
      </c>
    </row>
    <row r="11" spans="1:7" ht="17.25" customHeight="1">
      <c r="A11" s="245" t="s">
        <v>70</v>
      </c>
      <c r="B11" s="242">
        <v>8354.7199999999993</v>
      </c>
      <c r="C11" s="243"/>
      <c r="D11" s="243"/>
      <c r="E11" s="243"/>
      <c r="F11" s="240">
        <f t="shared" si="0"/>
        <v>8354.7199999999993</v>
      </c>
    </row>
    <row r="12" spans="1:7" ht="17.25" customHeight="1">
      <c r="A12" s="40" t="s">
        <v>71</v>
      </c>
      <c r="B12" s="242">
        <v>30077</v>
      </c>
      <c r="C12" s="243"/>
      <c r="D12" s="243"/>
      <c r="E12" s="243"/>
      <c r="F12" s="240">
        <f t="shared" si="0"/>
        <v>30077</v>
      </c>
    </row>
    <row r="13" spans="1:7" ht="17.25" customHeight="1">
      <c r="A13" s="40" t="s">
        <v>72</v>
      </c>
      <c r="B13" s="242">
        <v>1786239.33</v>
      </c>
      <c r="C13" s="242">
        <v>1786239.33</v>
      </c>
      <c r="D13" s="243"/>
      <c r="E13" s="243"/>
      <c r="F13" s="240">
        <f t="shared" si="0"/>
        <v>0</v>
      </c>
    </row>
    <row r="14" spans="1:7" ht="17.25" customHeight="1">
      <c r="A14" s="40" t="s">
        <v>73</v>
      </c>
      <c r="B14" s="242">
        <v>28406.05</v>
      </c>
      <c r="C14" s="242">
        <v>28406.05</v>
      </c>
      <c r="D14" s="243"/>
      <c r="E14" s="243"/>
      <c r="F14" s="240">
        <f t="shared" si="0"/>
        <v>0</v>
      </c>
    </row>
    <row r="15" spans="1:7" ht="17.25" customHeight="1">
      <c r="A15" s="40" t="s">
        <v>131</v>
      </c>
      <c r="B15" s="242">
        <v>4700365.99</v>
      </c>
      <c r="C15" s="243">
        <f>142847.91+3760292.79-142848+3495+3165.44-529.44</f>
        <v>3766423.7</v>
      </c>
      <c r="D15" s="243">
        <f>656272+198880+84921-3495-3165.44+529.44</f>
        <v>933942</v>
      </c>
      <c r="E15" s="243"/>
      <c r="F15" s="240">
        <f t="shared" si="0"/>
        <v>0.2900000000372529</v>
      </c>
    </row>
    <row r="16" spans="1:7" ht="17.25" customHeight="1">
      <c r="A16" s="40" t="s">
        <v>76</v>
      </c>
      <c r="B16" s="242">
        <v>65166.82</v>
      </c>
      <c r="C16" s="242">
        <v>65166.82</v>
      </c>
      <c r="D16" s="243"/>
      <c r="E16" s="243"/>
      <c r="F16" s="240">
        <f t="shared" si="0"/>
        <v>0</v>
      </c>
    </row>
    <row r="17" spans="1:8" ht="17.25" customHeight="1">
      <c r="A17" s="40" t="s">
        <v>77</v>
      </c>
      <c r="B17" s="242">
        <v>305782.78999999998</v>
      </c>
      <c r="C17" s="242">
        <f>305782.79</f>
        <v>305782.78999999998</v>
      </c>
      <c r="D17" s="243"/>
      <c r="E17" s="243"/>
      <c r="F17" s="240">
        <f t="shared" si="0"/>
        <v>0</v>
      </c>
    </row>
    <row r="18" spans="1:8" ht="17.25" customHeight="1">
      <c r="A18" s="40" t="s">
        <v>78</v>
      </c>
      <c r="B18" s="242">
        <v>1199737.92</v>
      </c>
      <c r="C18" s="242">
        <v>1199737.92</v>
      </c>
      <c r="D18" s="243"/>
      <c r="E18" s="243"/>
      <c r="F18" s="240">
        <f t="shared" si="0"/>
        <v>0</v>
      </c>
    </row>
    <row r="19" spans="1:8" ht="17.25" customHeight="1">
      <c r="A19" s="40" t="s">
        <v>79</v>
      </c>
      <c r="B19" s="242">
        <v>20051.330000000002</v>
      </c>
      <c r="C19" s="242">
        <v>20051.330000000002</v>
      </c>
      <c r="D19" s="243"/>
      <c r="E19" s="243"/>
      <c r="F19" s="240">
        <f t="shared" si="0"/>
        <v>0</v>
      </c>
    </row>
    <row r="20" spans="1:8" ht="17.25" customHeight="1">
      <c r="A20" s="40" t="s">
        <v>80</v>
      </c>
      <c r="B20" s="242">
        <v>890613.25</v>
      </c>
      <c r="C20" s="242">
        <v>890613.25</v>
      </c>
      <c r="D20" s="243"/>
      <c r="E20" s="243"/>
      <c r="F20" s="240">
        <f t="shared" si="0"/>
        <v>0</v>
      </c>
    </row>
    <row r="21" spans="1:8" ht="17.25" customHeight="1">
      <c r="A21" s="40" t="s">
        <v>132</v>
      </c>
      <c r="B21" s="242">
        <v>10075793.43</v>
      </c>
      <c r="C21" s="247">
        <f>9148063.43+45337-3782</f>
        <v>9189618.4299999997</v>
      </c>
      <c r="D21" s="247">
        <f>540705+302275-45337+3782</f>
        <v>801425</v>
      </c>
      <c r="E21" s="243"/>
      <c r="F21" s="240">
        <f t="shared" si="0"/>
        <v>84750</v>
      </c>
    </row>
    <row r="22" spans="1:8" ht="17.25" customHeight="1">
      <c r="A22" s="40" t="s">
        <v>174</v>
      </c>
      <c r="B22" s="242">
        <v>14473718.52</v>
      </c>
      <c r="C22" s="243">
        <f>964914.57+964914.57+964914.57+964914.57+964914.6+964914.4+989493</f>
        <v>6778980.2800000003</v>
      </c>
      <c r="D22" s="243">
        <f>572817+353814+1189494+583497+191436+62862-989493</f>
        <v>1964427</v>
      </c>
      <c r="E22" s="242">
        <f>5789487.42-964914.57-964914.57-964914.57-964914.57-964914.6-964914.4</f>
        <v>0.14000000013038516</v>
      </c>
      <c r="F22" s="240">
        <f t="shared" si="0"/>
        <v>5730311.0999999996</v>
      </c>
    </row>
    <row r="23" spans="1:8" ht="17.25" customHeight="1">
      <c r="A23" s="40" t="s">
        <v>83</v>
      </c>
      <c r="B23" s="242">
        <v>885600.42</v>
      </c>
      <c r="C23" s="242">
        <v>885600.42</v>
      </c>
      <c r="D23" s="243"/>
      <c r="E23" s="243"/>
      <c r="F23" s="240">
        <f t="shared" si="0"/>
        <v>0</v>
      </c>
    </row>
    <row r="24" spans="1:8" ht="17.25" customHeight="1">
      <c r="A24" s="40" t="s">
        <v>85</v>
      </c>
      <c r="B24" s="242">
        <v>210538.97</v>
      </c>
      <c r="C24" s="242">
        <f>210538.97</f>
        <v>210538.97</v>
      </c>
      <c r="D24" s="243"/>
      <c r="E24" s="243"/>
      <c r="F24" s="240">
        <f t="shared" si="0"/>
        <v>0</v>
      </c>
    </row>
    <row r="25" spans="1:8" ht="17.25" customHeight="1">
      <c r="A25" s="40" t="s">
        <v>86</v>
      </c>
      <c r="B25" s="242">
        <v>56812.1</v>
      </c>
      <c r="C25" s="242">
        <v>56812.1</v>
      </c>
      <c r="D25" s="243"/>
      <c r="E25" s="243"/>
      <c r="F25" s="240">
        <f t="shared" si="0"/>
        <v>0</v>
      </c>
    </row>
    <row r="26" spans="1:8" ht="17.25" customHeight="1">
      <c r="A26" s="40" t="s">
        <v>134</v>
      </c>
      <c r="B26" s="242">
        <v>584830.46</v>
      </c>
      <c r="C26" s="242">
        <v>584830.46</v>
      </c>
      <c r="D26" s="243"/>
      <c r="E26" s="243"/>
      <c r="F26" s="240">
        <f t="shared" si="0"/>
        <v>0</v>
      </c>
    </row>
    <row r="27" spans="1:8" ht="17.25" customHeight="1">
      <c r="A27" s="40" t="s">
        <v>88</v>
      </c>
      <c r="B27" s="242">
        <v>780330.93</v>
      </c>
      <c r="C27" s="243"/>
      <c r="D27" s="248">
        <v>32347</v>
      </c>
      <c r="E27" s="243"/>
      <c r="F27" s="240">
        <f t="shared" si="0"/>
        <v>747983.93</v>
      </c>
    </row>
    <row r="28" spans="1:8" ht="17.25" customHeight="1">
      <c r="A28" s="40" t="s">
        <v>89</v>
      </c>
      <c r="B28" s="242">
        <v>8162562.3399999999</v>
      </c>
      <c r="C28" s="243">
        <f>4665805.3+1864236+110527+1416.99+66030+6831.44+24.99</f>
        <v>6714871.7200000007</v>
      </c>
      <c r="D28" s="243">
        <f>1120000+401994-1416.99-66030-6831.44-24.99</f>
        <v>1447690.58</v>
      </c>
      <c r="E28" s="243"/>
      <c r="F28" s="240">
        <f t="shared" si="0"/>
        <v>3.9999999105930328E-2</v>
      </c>
    </row>
    <row r="29" spans="1:8" ht="17.25" customHeight="1">
      <c r="A29" s="40" t="s">
        <v>135</v>
      </c>
      <c r="B29" s="242">
        <v>29362666.670000002</v>
      </c>
      <c r="C29" s="242">
        <f>29362666.67-33900</f>
        <v>29328766.670000002</v>
      </c>
      <c r="D29" s="243">
        <v>33900</v>
      </c>
      <c r="E29" s="243"/>
      <c r="F29" s="240">
        <f t="shared" si="0"/>
        <v>0</v>
      </c>
    </row>
    <row r="30" spans="1:8" ht="15.5">
      <c r="A30" s="74" t="s">
        <v>91</v>
      </c>
      <c r="B30" s="179">
        <v>0</v>
      </c>
      <c r="C30" s="105">
        <v>0</v>
      </c>
      <c r="D30" s="159"/>
      <c r="E30" s="159"/>
      <c r="F30" s="240">
        <f t="shared" si="0"/>
        <v>0</v>
      </c>
      <c r="H30" s="112"/>
    </row>
    <row r="31" spans="1:8" ht="17.25" customHeight="1">
      <c r="A31" s="40" t="s">
        <v>93</v>
      </c>
      <c r="B31" s="242">
        <v>25064.16</v>
      </c>
      <c r="C31" s="242">
        <v>25064.16</v>
      </c>
      <c r="D31" s="243"/>
      <c r="E31" s="243"/>
      <c r="F31" s="240">
        <f t="shared" si="0"/>
        <v>0</v>
      </c>
    </row>
    <row r="32" spans="1:8" ht="17.25" customHeight="1">
      <c r="A32" s="40" t="s">
        <v>94</v>
      </c>
      <c r="B32" s="242">
        <v>8354.7199999999993</v>
      </c>
      <c r="C32" s="242">
        <v>8354.7199999999993</v>
      </c>
      <c r="D32" s="243"/>
      <c r="E32" s="243"/>
      <c r="F32" s="240">
        <f t="shared" si="0"/>
        <v>0</v>
      </c>
    </row>
    <row r="33" spans="1:6" ht="17.25" customHeight="1">
      <c r="A33" s="40" t="s">
        <v>95</v>
      </c>
      <c r="B33" s="242">
        <v>40102.660000000003</v>
      </c>
      <c r="C33" s="243">
        <v>40102.879999999997</v>
      </c>
      <c r="D33" s="243"/>
      <c r="E33" s="243"/>
      <c r="F33" s="240">
        <f t="shared" si="0"/>
        <v>-0.2199999999938882</v>
      </c>
    </row>
    <row r="34" spans="1:6" ht="17.25" customHeight="1">
      <c r="A34" s="40" t="s">
        <v>96</v>
      </c>
      <c r="B34" s="242">
        <v>128662.7</v>
      </c>
      <c r="C34" s="242">
        <v>128662.7</v>
      </c>
      <c r="D34" s="243"/>
      <c r="E34" s="243"/>
      <c r="F34" s="240">
        <f t="shared" si="0"/>
        <v>0</v>
      </c>
    </row>
    <row r="35" spans="1:6" ht="17.25" customHeight="1">
      <c r="A35" s="40" t="s">
        <v>97</v>
      </c>
      <c r="B35" s="242">
        <v>23393.22</v>
      </c>
      <c r="C35" s="242">
        <v>23393.22</v>
      </c>
      <c r="D35" s="243"/>
      <c r="E35" s="243"/>
      <c r="F35" s="240">
        <f t="shared" si="0"/>
        <v>0</v>
      </c>
    </row>
    <row r="36" spans="1:6" ht="17.25" customHeight="1">
      <c r="A36" s="40" t="s">
        <v>98</v>
      </c>
      <c r="B36" s="242">
        <v>5012.83</v>
      </c>
      <c r="C36" s="242">
        <v>5012.83</v>
      </c>
      <c r="D36" s="243"/>
      <c r="E36" s="243"/>
      <c r="F36" s="240">
        <f t="shared" si="0"/>
        <v>0</v>
      </c>
    </row>
    <row r="37" spans="1:6" ht="17.25" customHeight="1">
      <c r="A37" s="40" t="s">
        <v>99</v>
      </c>
      <c r="B37" s="242">
        <v>2823895.67</v>
      </c>
      <c r="C37" s="242">
        <f>3400000-1728312.99</f>
        <v>1671687.01</v>
      </c>
      <c r="D37" s="243"/>
      <c r="E37" s="243"/>
      <c r="F37" s="240">
        <f t="shared" si="0"/>
        <v>1152208.6599999999</v>
      </c>
    </row>
    <row r="38" spans="1:6" ht="17.25" customHeight="1">
      <c r="A38" s="40" t="s">
        <v>100</v>
      </c>
      <c r="B38" s="242">
        <v>369278.66</v>
      </c>
      <c r="C38" s="242">
        <v>369278.66</v>
      </c>
      <c r="D38" s="243"/>
      <c r="E38" s="243"/>
      <c r="F38" s="240">
        <f t="shared" si="0"/>
        <v>0</v>
      </c>
    </row>
    <row r="39" spans="1:6" ht="17.25" customHeight="1">
      <c r="A39" s="40" t="s">
        <v>101</v>
      </c>
      <c r="B39" s="242">
        <v>1134571.1000000001</v>
      </c>
      <c r="C39" s="242">
        <v>1134571.1000000001</v>
      </c>
      <c r="D39" s="243"/>
      <c r="E39" s="243"/>
      <c r="F39" s="240">
        <f t="shared" si="0"/>
        <v>0</v>
      </c>
    </row>
    <row r="40" spans="1:6" ht="17.25" customHeight="1">
      <c r="A40" s="40" t="s">
        <v>103</v>
      </c>
      <c r="B40" s="242">
        <v>770305.27</v>
      </c>
      <c r="C40" s="242">
        <f>171270+253016.79+346018.48</f>
        <v>770305.27</v>
      </c>
      <c r="D40" s="243"/>
      <c r="E40" s="243"/>
      <c r="F40" s="240">
        <f t="shared" si="0"/>
        <v>0</v>
      </c>
    </row>
    <row r="41" spans="1:6" ht="17.25" customHeight="1">
      <c r="A41" s="40" t="s">
        <v>104</v>
      </c>
      <c r="B41" s="242">
        <v>785343.77</v>
      </c>
      <c r="C41" s="242">
        <v>785343.77</v>
      </c>
      <c r="D41" s="243"/>
      <c r="E41" s="243"/>
      <c r="F41" s="240">
        <f t="shared" si="0"/>
        <v>0</v>
      </c>
    </row>
    <row r="42" spans="1:6" ht="17.25" customHeight="1">
      <c r="A42" s="40" t="s">
        <v>105</v>
      </c>
      <c r="B42" s="249">
        <v>100122.35</v>
      </c>
      <c r="C42" s="242">
        <v>100122.35</v>
      </c>
      <c r="D42" s="243"/>
      <c r="E42" s="243"/>
      <c r="F42" s="240">
        <f t="shared" si="0"/>
        <v>0</v>
      </c>
    </row>
    <row r="43" spans="1:6" ht="17.25" customHeight="1">
      <c r="A43" s="40" t="s">
        <v>106</v>
      </c>
      <c r="B43" s="242">
        <v>1838038.6</v>
      </c>
      <c r="C43" s="243"/>
      <c r="D43" s="243"/>
      <c r="E43" s="243"/>
      <c r="F43" s="240">
        <f t="shared" si="0"/>
        <v>1838038.6</v>
      </c>
    </row>
    <row r="44" spans="1:6" ht="17.25" customHeight="1">
      <c r="A44" s="30" t="s">
        <v>109</v>
      </c>
      <c r="B44" s="242">
        <v>85218.15</v>
      </c>
      <c r="C44" s="242">
        <v>85218.15</v>
      </c>
      <c r="D44" s="243"/>
      <c r="E44" s="243"/>
      <c r="F44" s="240">
        <f t="shared" si="0"/>
        <v>0</v>
      </c>
    </row>
    <row r="45" spans="1:6" ht="17.25" customHeight="1">
      <c r="A45" s="40" t="s">
        <v>110</v>
      </c>
      <c r="B45" s="242">
        <v>137017.42000000001</v>
      </c>
      <c r="C45" s="242">
        <v>137017.42000000001</v>
      </c>
      <c r="D45" s="243"/>
      <c r="E45" s="243"/>
      <c r="F45" s="240">
        <f t="shared" si="0"/>
        <v>0</v>
      </c>
    </row>
    <row r="46" spans="1:6" ht="17.25" customHeight="1">
      <c r="A46" s="40" t="s">
        <v>112</v>
      </c>
      <c r="B46" s="242">
        <v>4210779.34</v>
      </c>
      <c r="C46" s="242">
        <f>4210779.34-166562+793+3092</f>
        <v>4048102.34</v>
      </c>
      <c r="D46" s="243">
        <f>166562+565000-793-3092</f>
        <v>727677</v>
      </c>
      <c r="E46" s="243"/>
      <c r="F46" s="240">
        <f t="shared" si="0"/>
        <v>-565000</v>
      </c>
    </row>
    <row r="47" spans="1:6" ht="17.25" customHeight="1">
      <c r="A47" s="40" t="s">
        <v>136</v>
      </c>
      <c r="B47" s="242">
        <v>1667602.3</v>
      </c>
      <c r="C47" s="242">
        <v>1667602.3</v>
      </c>
      <c r="D47" s="243"/>
      <c r="E47" s="243"/>
      <c r="F47" s="240">
        <f t="shared" si="0"/>
        <v>0</v>
      </c>
    </row>
    <row r="48" spans="1:6" ht="17.25" customHeight="1">
      <c r="A48" s="40" t="s">
        <v>114</v>
      </c>
      <c r="B48" s="242">
        <v>2000120.19</v>
      </c>
      <c r="C48" s="243">
        <v>1997218.18</v>
      </c>
      <c r="D48" s="243">
        <v>91689</v>
      </c>
      <c r="E48" s="243"/>
      <c r="F48" s="240">
        <f t="shared" si="0"/>
        <v>-88786.989999999991</v>
      </c>
    </row>
    <row r="49" spans="1:255" ht="17.25" customHeight="1">
      <c r="A49" s="40" t="s">
        <v>115</v>
      </c>
      <c r="B49" s="242">
        <v>1670.94</v>
      </c>
      <c r="C49" s="243"/>
      <c r="D49" s="243"/>
      <c r="E49" s="243"/>
      <c r="F49" s="240">
        <f t="shared" si="0"/>
        <v>1670.94</v>
      </c>
    </row>
    <row r="50" spans="1:255" ht="17.25" customHeight="1">
      <c r="A50" s="40" t="s">
        <v>117</v>
      </c>
      <c r="B50" s="242">
        <v>65166.82</v>
      </c>
      <c r="C50" s="243"/>
      <c r="D50" s="243"/>
      <c r="E50" s="243"/>
      <c r="F50" s="240">
        <f t="shared" si="0"/>
        <v>65166.82</v>
      </c>
    </row>
    <row r="51" spans="1:255" ht="17.25" customHeight="1">
      <c r="A51" s="40" t="s">
        <v>119</v>
      </c>
      <c r="B51" s="242">
        <v>10237875.01</v>
      </c>
      <c r="C51" s="242">
        <v>10237875.01</v>
      </c>
      <c r="D51" s="243"/>
      <c r="E51" s="242"/>
      <c r="F51" s="240">
        <f t="shared" si="0"/>
        <v>0</v>
      </c>
    </row>
    <row r="52" spans="1:255" ht="17.25" customHeight="1">
      <c r="A52" s="40" t="s">
        <v>168</v>
      </c>
      <c r="B52" s="250">
        <f>29362666.67-17581918</f>
        <v>11780748.670000002</v>
      </c>
      <c r="C52" s="243">
        <f>4000000+226532+1857217+1900000+1900000+1897000</f>
        <v>11780749</v>
      </c>
      <c r="D52" s="243"/>
      <c r="E52" s="243"/>
      <c r="F52" s="240">
        <f t="shared" si="0"/>
        <v>-0.32999999821186066</v>
      </c>
    </row>
    <row r="53" spans="1:255" ht="17.25" customHeight="1" thickBot="1">
      <c r="A53" s="251" t="s">
        <v>121</v>
      </c>
      <c r="B53" s="242">
        <v>23393.22</v>
      </c>
      <c r="C53" s="252"/>
      <c r="D53" s="253"/>
      <c r="E53" s="254"/>
      <c r="F53" s="240">
        <f t="shared" si="0"/>
        <v>23393.22</v>
      </c>
    </row>
    <row r="54" spans="1:255" ht="17.25" customHeight="1" thickBot="1">
      <c r="A54" s="255" t="s">
        <v>122</v>
      </c>
      <c r="B54" s="256">
        <f>SUM(B9:B53)</f>
        <v>115984870.99999997</v>
      </c>
      <c r="C54" s="257">
        <f>SUM(C9:C53)</f>
        <v>100923605.5</v>
      </c>
      <c r="D54" s="257">
        <f>SUM(D9:D53)</f>
        <v>6033097.5800000001</v>
      </c>
      <c r="E54" s="257">
        <f>SUM(E9:E53)</f>
        <v>0.14000000013038516</v>
      </c>
      <c r="F54" s="257">
        <f>SUM(F9:F53)</f>
        <v>9028167.7800000012</v>
      </c>
    </row>
    <row r="55" spans="1:255" ht="17.25" customHeight="1" thickBot="1">
      <c r="A55" s="258" t="s">
        <v>169</v>
      </c>
      <c r="B55" s="256">
        <v>17581918</v>
      </c>
      <c r="C55" s="257">
        <v>0</v>
      </c>
      <c r="D55" s="257">
        <v>0</v>
      </c>
      <c r="E55" s="257">
        <v>0</v>
      </c>
      <c r="F55" s="259">
        <f t="shared" si="0"/>
        <v>17581918</v>
      </c>
    </row>
    <row r="56" spans="1:255" ht="17.25" customHeight="1" thickBot="1">
      <c r="A56" s="255" t="s">
        <v>124</v>
      </c>
      <c r="B56" s="260">
        <f>SUM(B54:B55)</f>
        <v>133566788.99999997</v>
      </c>
      <c r="C56" s="256">
        <f>SUM(C54:C55)</f>
        <v>100923605.5</v>
      </c>
      <c r="D56" s="256">
        <f>SUM(D54:D55)</f>
        <v>6033097.5800000001</v>
      </c>
      <c r="E56" s="256">
        <f>SUM(E54:E55)</f>
        <v>0.14000000013038516</v>
      </c>
      <c r="F56" s="256">
        <f>SUM(F54:F55)</f>
        <v>26610085.780000001</v>
      </c>
    </row>
    <row r="57" spans="1:255" ht="15" customHeight="1">
      <c r="A57" s="759" t="s">
        <v>175</v>
      </c>
      <c r="B57" s="759"/>
      <c r="C57" s="759"/>
      <c r="D57" s="759"/>
      <c r="E57" s="759"/>
      <c r="F57" s="759"/>
    </row>
    <row r="58" spans="1:255">
      <c r="A58" s="85" t="s">
        <v>176</v>
      </c>
      <c r="B58" s="230"/>
      <c r="C58" s="231"/>
      <c r="D58" s="231"/>
      <c r="E58" s="231"/>
      <c r="F58" s="231"/>
    </row>
    <row r="59" spans="1:255">
      <c r="A59" s="755" t="s">
        <v>177</v>
      </c>
      <c r="B59" s="755"/>
      <c r="C59" s="755"/>
      <c r="D59" s="755"/>
      <c r="E59" s="755"/>
      <c r="F59" s="755"/>
      <c r="G59" s="755"/>
      <c r="H59" s="755"/>
      <c r="I59" s="755"/>
      <c r="J59" s="755"/>
      <c r="K59" s="755"/>
      <c r="L59" s="755"/>
      <c r="M59" s="755"/>
      <c r="N59" s="755"/>
      <c r="O59" s="755"/>
      <c r="P59" s="755"/>
      <c r="Q59" s="755"/>
      <c r="R59" s="755"/>
      <c r="S59" s="755"/>
      <c r="T59" s="755"/>
      <c r="U59" s="755"/>
      <c r="V59" s="755"/>
      <c r="W59" s="755"/>
      <c r="X59" s="755"/>
      <c r="Y59" s="755"/>
      <c r="Z59" s="755"/>
      <c r="AA59" s="755"/>
      <c r="AB59" s="755"/>
      <c r="AC59" s="755"/>
      <c r="AD59" s="755"/>
      <c r="AE59" s="755"/>
      <c r="AF59" s="755"/>
      <c r="AG59" s="755"/>
      <c r="AH59" s="755"/>
      <c r="AI59" s="755"/>
      <c r="AJ59" s="755"/>
      <c r="AK59" s="755"/>
      <c r="AL59" s="755"/>
      <c r="AM59" s="755"/>
      <c r="AN59" s="755"/>
      <c r="AO59" s="755"/>
      <c r="AP59" s="755"/>
      <c r="AQ59" s="755"/>
      <c r="AR59" s="755"/>
      <c r="AS59" s="755"/>
      <c r="AT59" s="755"/>
      <c r="AU59" s="755"/>
      <c r="AV59" s="755"/>
      <c r="AW59" s="755"/>
      <c r="AX59" s="755"/>
      <c r="AY59" s="755"/>
      <c r="AZ59" s="755"/>
      <c r="BA59" s="755"/>
      <c r="BB59" s="755"/>
      <c r="BC59" s="755"/>
      <c r="BD59" s="755"/>
      <c r="BE59" s="755"/>
      <c r="BF59" s="755"/>
      <c r="BG59" s="755"/>
      <c r="BH59" s="755"/>
      <c r="BI59" s="755"/>
      <c r="BJ59" s="755"/>
      <c r="BK59" s="755"/>
      <c r="BL59" s="755"/>
      <c r="BM59" s="755"/>
      <c r="BN59" s="755"/>
      <c r="BO59" s="755"/>
      <c r="BP59" s="755"/>
      <c r="BQ59" s="755"/>
      <c r="BR59" s="755"/>
      <c r="BS59" s="755"/>
      <c r="BT59" s="755"/>
      <c r="BU59" s="755"/>
      <c r="BV59" s="755"/>
      <c r="BW59" s="755"/>
      <c r="BX59" s="755"/>
      <c r="BY59" s="755"/>
      <c r="BZ59" s="755"/>
      <c r="CA59" s="755"/>
      <c r="CB59" s="755"/>
      <c r="CC59" s="755"/>
      <c r="CD59" s="755"/>
      <c r="CE59" s="755"/>
      <c r="CF59" s="755"/>
      <c r="CG59" s="755"/>
      <c r="CH59" s="755"/>
      <c r="CI59" s="755"/>
      <c r="CJ59" s="755"/>
      <c r="CK59" s="755"/>
      <c r="CL59" s="755"/>
      <c r="CM59" s="755"/>
      <c r="CN59" s="755"/>
      <c r="CO59" s="755"/>
      <c r="CP59" s="755"/>
      <c r="CQ59" s="755"/>
      <c r="CR59" s="755"/>
      <c r="CS59" s="755"/>
      <c r="CT59" s="755"/>
      <c r="CU59" s="755"/>
      <c r="CV59" s="755"/>
      <c r="CW59" s="755"/>
      <c r="CX59" s="755"/>
      <c r="CY59" s="755"/>
      <c r="CZ59" s="755"/>
      <c r="DA59" s="755"/>
      <c r="DB59" s="755"/>
      <c r="DC59" s="755"/>
      <c r="DD59" s="755"/>
      <c r="DE59" s="755"/>
      <c r="DF59" s="755"/>
      <c r="DG59" s="755"/>
      <c r="DH59" s="755"/>
      <c r="DI59" s="755"/>
      <c r="DJ59" s="755"/>
      <c r="DK59" s="755"/>
      <c r="DL59" s="755"/>
      <c r="DM59" s="755"/>
      <c r="DN59" s="755"/>
      <c r="DO59" s="755"/>
      <c r="DP59" s="755"/>
      <c r="DQ59" s="755"/>
      <c r="DR59" s="755"/>
      <c r="DS59" s="755"/>
      <c r="DT59" s="755"/>
      <c r="DU59" s="755"/>
      <c r="DV59" s="755"/>
      <c r="DW59" s="755"/>
      <c r="DX59" s="755"/>
      <c r="DY59" s="755"/>
      <c r="DZ59" s="755"/>
      <c r="EA59" s="755"/>
      <c r="EB59" s="755"/>
      <c r="EC59" s="755"/>
      <c r="ED59" s="755"/>
      <c r="EE59" s="755"/>
      <c r="EF59" s="755"/>
      <c r="EG59" s="755"/>
      <c r="EH59" s="755"/>
      <c r="EI59" s="755"/>
      <c r="EJ59" s="755"/>
      <c r="EK59" s="755"/>
      <c r="EL59" s="755"/>
      <c r="EM59" s="755"/>
      <c r="EN59" s="755"/>
      <c r="EO59" s="755"/>
      <c r="EP59" s="755"/>
      <c r="EQ59" s="755"/>
      <c r="ER59" s="755"/>
      <c r="ES59" s="755"/>
      <c r="ET59" s="755"/>
      <c r="EU59" s="755"/>
      <c r="EV59" s="755"/>
      <c r="EW59" s="755"/>
      <c r="EX59" s="755"/>
      <c r="EY59" s="755"/>
      <c r="EZ59" s="755"/>
      <c r="FA59" s="755"/>
      <c r="FB59" s="755"/>
      <c r="FC59" s="755"/>
      <c r="FD59" s="755"/>
      <c r="FE59" s="755"/>
      <c r="FF59" s="755"/>
      <c r="FG59" s="755"/>
      <c r="FH59" s="755"/>
      <c r="FI59" s="755"/>
      <c r="FJ59" s="755"/>
      <c r="FK59" s="755"/>
      <c r="FL59" s="755"/>
      <c r="FM59" s="755"/>
      <c r="FN59" s="755"/>
      <c r="FO59" s="755"/>
      <c r="FP59" s="755"/>
      <c r="FQ59" s="755"/>
      <c r="FR59" s="755"/>
      <c r="FS59" s="755"/>
      <c r="FT59" s="755"/>
      <c r="FU59" s="755"/>
      <c r="FV59" s="755"/>
      <c r="FW59" s="755"/>
      <c r="FX59" s="755"/>
      <c r="FY59" s="755"/>
      <c r="FZ59" s="755"/>
      <c r="GA59" s="755"/>
      <c r="GB59" s="755"/>
      <c r="GC59" s="755"/>
      <c r="GD59" s="755"/>
      <c r="GE59" s="755"/>
      <c r="GF59" s="755"/>
      <c r="GG59" s="755"/>
      <c r="GH59" s="755"/>
      <c r="GI59" s="755"/>
      <c r="GJ59" s="755"/>
      <c r="GK59" s="755"/>
      <c r="GL59" s="755"/>
      <c r="GM59" s="755"/>
      <c r="GN59" s="755"/>
      <c r="GO59" s="755"/>
      <c r="GP59" s="755"/>
      <c r="GQ59" s="755"/>
      <c r="GR59" s="755"/>
      <c r="GS59" s="755"/>
      <c r="GT59" s="755"/>
      <c r="GU59" s="755"/>
      <c r="GV59" s="755"/>
      <c r="GW59" s="755"/>
      <c r="GX59" s="755"/>
      <c r="GY59" s="755"/>
      <c r="GZ59" s="755"/>
      <c r="HA59" s="755"/>
      <c r="HB59" s="755"/>
      <c r="HC59" s="755"/>
      <c r="HD59" s="755"/>
      <c r="HE59" s="755"/>
      <c r="HF59" s="755"/>
      <c r="HG59" s="755"/>
      <c r="HH59" s="755"/>
      <c r="HI59" s="755"/>
      <c r="HJ59" s="755"/>
      <c r="HK59" s="755"/>
      <c r="HL59" s="755"/>
      <c r="HM59" s="755"/>
      <c r="HN59" s="755"/>
      <c r="HO59" s="755"/>
      <c r="HP59" s="755"/>
      <c r="HQ59" s="755"/>
      <c r="HR59" s="755"/>
      <c r="HS59" s="755"/>
      <c r="HT59" s="755"/>
      <c r="HU59" s="755"/>
      <c r="HV59" s="755"/>
      <c r="HW59" s="755"/>
      <c r="HX59" s="755"/>
      <c r="HY59" s="755"/>
      <c r="HZ59" s="755"/>
      <c r="IA59" s="755"/>
      <c r="IB59" s="755"/>
      <c r="IC59" s="755"/>
      <c r="ID59" s="755"/>
      <c r="IE59" s="755"/>
      <c r="IF59" s="755"/>
      <c r="IG59" s="755"/>
      <c r="IH59" s="755"/>
      <c r="II59" s="755"/>
      <c r="IJ59" s="755"/>
      <c r="IK59" s="755"/>
      <c r="IL59" s="755"/>
      <c r="IM59" s="755"/>
      <c r="IN59" s="755"/>
      <c r="IO59" s="755"/>
      <c r="IP59" s="755"/>
      <c r="IQ59" s="755"/>
      <c r="IR59" s="755"/>
      <c r="IS59" s="755"/>
      <c r="IT59" s="755"/>
      <c r="IU59" s="755"/>
    </row>
    <row r="60" spans="1:255" ht="15" thickBot="1">
      <c r="A60" s="126"/>
      <c r="B60" s="126"/>
      <c r="C60" s="126"/>
      <c r="D60" s="126"/>
      <c r="E60" s="126"/>
      <c r="F60" s="126"/>
    </row>
    <row r="61" spans="1:255" ht="16" thickBot="1">
      <c r="A61" s="261" t="s">
        <v>139</v>
      </c>
      <c r="B61" s="262">
        <f>B11+B12+B14+B17+B19+B24+B31+B33+B40+B43+B44+B45+B49+B50+B53</f>
        <v>3589188.1</v>
      </c>
      <c r="C61" s="262">
        <f>C11+C12+C14+C17+C19+C24+C31+C33+C40+C43+C44+C45+C49+C50+C53</f>
        <v>1622487.02</v>
      </c>
      <c r="D61" s="262">
        <f>D11+D12+D14+D17+D19+D24+D31+D33+D40+D43+D44+D45+D49+D50+D53</f>
        <v>0</v>
      </c>
      <c r="E61" s="262">
        <f>E11+E12+E14+E17+E19+E24+E31+E33+E40+E43+E44+E45+E49+E50+E53</f>
        <v>0</v>
      </c>
      <c r="F61" s="262">
        <f>F11+F12+F14+F17+F19+F24+F31+F33+F40+F43+F44+F45+F49+F50+F53</f>
        <v>1966701.08</v>
      </c>
    </row>
  </sheetData>
  <mergeCells count="47">
    <mergeCell ref="G59:K59"/>
    <mergeCell ref="A5:F5"/>
    <mergeCell ref="A6:F6"/>
    <mergeCell ref="A7:F7"/>
    <mergeCell ref="A57:F57"/>
    <mergeCell ref="A59:F59"/>
    <mergeCell ref="BZ59:CE59"/>
    <mergeCell ref="L59:Q59"/>
    <mergeCell ref="R59:W59"/>
    <mergeCell ref="X59:AC59"/>
    <mergeCell ref="AD59:AI59"/>
    <mergeCell ref="AJ59:AO59"/>
    <mergeCell ref="AP59:AU59"/>
    <mergeCell ref="AV59:BA59"/>
    <mergeCell ref="BB59:BG59"/>
    <mergeCell ref="BH59:BM59"/>
    <mergeCell ref="BN59:BS59"/>
    <mergeCell ref="BT59:BY59"/>
    <mergeCell ref="ET59:EY59"/>
    <mergeCell ref="CF59:CK59"/>
    <mergeCell ref="CL59:CQ59"/>
    <mergeCell ref="CR59:CW59"/>
    <mergeCell ref="CX59:DC59"/>
    <mergeCell ref="DD59:DI59"/>
    <mergeCell ref="DJ59:DO59"/>
    <mergeCell ref="DP59:DU59"/>
    <mergeCell ref="DV59:EA59"/>
    <mergeCell ref="EB59:EG59"/>
    <mergeCell ref="EH59:EM59"/>
    <mergeCell ref="EN59:ES59"/>
    <mergeCell ref="HN59:HS59"/>
    <mergeCell ref="EZ59:FE59"/>
    <mergeCell ref="FF59:FK59"/>
    <mergeCell ref="FL59:FQ59"/>
    <mergeCell ref="FR59:FW59"/>
    <mergeCell ref="FX59:GC59"/>
    <mergeCell ref="GD59:GI59"/>
    <mergeCell ref="GJ59:GO59"/>
    <mergeCell ref="GP59:GU59"/>
    <mergeCell ref="GV59:HA59"/>
    <mergeCell ref="HB59:HG59"/>
    <mergeCell ref="HH59:HM59"/>
    <mergeCell ref="HT59:HY59"/>
    <mergeCell ref="HZ59:IE59"/>
    <mergeCell ref="IF59:IK59"/>
    <mergeCell ref="IL59:IQ59"/>
    <mergeCell ref="IR59:IU59"/>
  </mergeCell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417B1-0D4E-489E-8FDD-69E1A05A7F95}">
  <dimension ref="A1:I58"/>
  <sheetViews>
    <sheetView topLeftCell="A37" workbookViewId="0">
      <selection activeCell="C55" sqref="C55:F55"/>
    </sheetView>
  </sheetViews>
  <sheetFormatPr defaultRowHeight="14.5"/>
  <cols>
    <col min="1" max="1" width="26.26953125" customWidth="1"/>
    <col min="2" max="2" width="17" customWidth="1"/>
    <col min="3" max="3" width="15.54296875" customWidth="1"/>
    <col min="4" max="4" width="15.7265625" customWidth="1"/>
    <col min="5" max="5" width="17" customWidth="1"/>
    <col min="6" max="6" width="17.26953125" customWidth="1"/>
  </cols>
  <sheetData>
    <row r="1" spans="1:6">
      <c r="A1" s="263" t="str">
        <f>Status!C1</f>
        <v>UNEP/OzL.Pro/ExCom/94/3</v>
      </c>
      <c r="B1" s="263"/>
    </row>
    <row r="2" spans="1:6">
      <c r="A2" s="263" t="s">
        <v>0</v>
      </c>
      <c r="B2" s="263"/>
    </row>
    <row r="3" spans="1:6">
      <c r="A3" s="263" t="s">
        <v>185</v>
      </c>
      <c r="B3" s="263"/>
    </row>
    <row r="4" spans="1:6">
      <c r="A4" s="760" t="s">
        <v>2</v>
      </c>
      <c r="B4" s="760"/>
      <c r="C4" s="760"/>
      <c r="D4" s="760"/>
      <c r="E4" s="760"/>
      <c r="F4" s="760"/>
    </row>
    <row r="5" spans="1:6">
      <c r="A5" s="761" t="s">
        <v>179</v>
      </c>
      <c r="B5" s="761"/>
      <c r="C5" s="761"/>
      <c r="D5" s="761"/>
      <c r="E5" s="761"/>
      <c r="F5" s="761"/>
    </row>
    <row r="6" spans="1:6" ht="15" thickBot="1">
      <c r="A6" s="762" t="str">
        <f>Status!A6</f>
        <v>As at 24/05/2024</v>
      </c>
      <c r="B6" s="762"/>
      <c r="C6" s="762"/>
      <c r="D6" s="762"/>
      <c r="E6" s="762"/>
      <c r="F6" s="762"/>
    </row>
    <row r="7" spans="1:6" ht="29.25" customHeight="1" thickBot="1">
      <c r="A7" s="264" t="s">
        <v>60</v>
      </c>
      <c r="B7" s="265" t="s">
        <v>61</v>
      </c>
      <c r="C7" s="265" t="s">
        <v>62</v>
      </c>
      <c r="D7" s="265" t="s">
        <v>63</v>
      </c>
      <c r="E7" s="265" t="s">
        <v>64</v>
      </c>
      <c r="F7" s="266" t="s">
        <v>65</v>
      </c>
    </row>
    <row r="8" spans="1:6" ht="17.25" customHeight="1">
      <c r="A8" s="241" t="s">
        <v>130</v>
      </c>
      <c r="B8" s="267">
        <v>2660143.14</v>
      </c>
      <c r="C8" s="267">
        <f>2530193.14-129950+129950</f>
        <v>2530193.14</v>
      </c>
      <c r="D8" s="268"/>
      <c r="E8" s="268"/>
      <c r="F8" s="269">
        <f t="shared" ref="F8:F54" si="0">B8-C8-D8-E8</f>
        <v>129950</v>
      </c>
    </row>
    <row r="9" spans="1:6" ht="17.25" customHeight="1">
      <c r="A9" s="244" t="s">
        <v>69</v>
      </c>
      <c r="B9" s="270">
        <v>1435341.05</v>
      </c>
      <c r="C9" s="270">
        <v>1435341.05</v>
      </c>
      <c r="D9" s="271"/>
      <c r="E9" s="271"/>
      <c r="F9" s="269">
        <f t="shared" si="0"/>
        <v>0</v>
      </c>
    </row>
    <row r="10" spans="1:6" ht="17.25" customHeight="1">
      <c r="A10" s="246" t="s">
        <v>70</v>
      </c>
      <c r="B10" s="270">
        <v>8354.7199999999993</v>
      </c>
      <c r="C10" s="271"/>
      <c r="D10" s="271"/>
      <c r="E10" s="271"/>
      <c r="F10" s="269">
        <f t="shared" si="0"/>
        <v>8354.7199999999993</v>
      </c>
    </row>
    <row r="11" spans="1:6" ht="17.25" customHeight="1">
      <c r="A11" s="244" t="s">
        <v>71</v>
      </c>
      <c r="B11" s="270">
        <v>30077</v>
      </c>
      <c r="C11" s="271"/>
      <c r="D11" s="271"/>
      <c r="E11" s="271"/>
      <c r="F11" s="269">
        <f t="shared" si="0"/>
        <v>30077</v>
      </c>
    </row>
    <row r="12" spans="1:6" ht="17.25" customHeight="1">
      <c r="A12" s="244" t="s">
        <v>72</v>
      </c>
      <c r="B12" s="270">
        <v>1786239.33</v>
      </c>
      <c r="C12" s="270">
        <v>1786239.33</v>
      </c>
      <c r="D12" s="271"/>
      <c r="E12" s="271"/>
      <c r="F12" s="269">
        <f t="shared" si="0"/>
        <v>0</v>
      </c>
    </row>
    <row r="13" spans="1:6" ht="17.25" customHeight="1">
      <c r="A13" s="244" t="s">
        <v>73</v>
      </c>
      <c r="B13" s="270">
        <v>28406.05</v>
      </c>
      <c r="C13" s="270">
        <v>28406.05</v>
      </c>
      <c r="D13" s="271"/>
      <c r="E13" s="271"/>
      <c r="F13" s="269">
        <f t="shared" si="0"/>
        <v>0</v>
      </c>
    </row>
    <row r="14" spans="1:6" ht="17.25" customHeight="1">
      <c r="A14" s="244" t="s">
        <v>131</v>
      </c>
      <c r="B14" s="270">
        <v>4700365.99</v>
      </c>
      <c r="C14" s="271">
        <f>294802+306940.92+3760292.81-1629+11121</f>
        <v>4371527.7300000004</v>
      </c>
      <c r="D14" s="271">
        <f>145770+176280+17909-11121</f>
        <v>328838</v>
      </c>
      <c r="E14" s="271"/>
      <c r="F14" s="269">
        <f t="shared" si="0"/>
        <v>0.25999999977648258</v>
      </c>
    </row>
    <row r="15" spans="1:6" ht="17.25" customHeight="1">
      <c r="A15" s="244" t="s">
        <v>76</v>
      </c>
      <c r="B15" s="270">
        <v>65166.82</v>
      </c>
      <c r="C15" s="271">
        <v>65166.82</v>
      </c>
      <c r="D15" s="271"/>
      <c r="E15" s="271"/>
      <c r="F15" s="269">
        <f t="shared" si="0"/>
        <v>0</v>
      </c>
    </row>
    <row r="16" spans="1:6" ht="17.25" customHeight="1">
      <c r="A16" s="244" t="s">
        <v>77</v>
      </c>
      <c r="B16" s="270">
        <v>305782.78999999998</v>
      </c>
      <c r="C16" s="270">
        <f>305782.79+305782.79-305782.79</f>
        <v>305782.78999999998</v>
      </c>
      <c r="D16" s="271"/>
      <c r="E16" s="271"/>
      <c r="F16" s="269">
        <f t="shared" si="0"/>
        <v>0</v>
      </c>
    </row>
    <row r="17" spans="1:9" ht="17.25" customHeight="1">
      <c r="A17" s="244" t="s">
        <v>78</v>
      </c>
      <c r="B17" s="270">
        <v>1199737.92</v>
      </c>
      <c r="C17" s="270">
        <v>1199737.92</v>
      </c>
      <c r="D17" s="271"/>
      <c r="E17" s="271"/>
      <c r="F17" s="269">
        <f t="shared" si="0"/>
        <v>0</v>
      </c>
    </row>
    <row r="18" spans="1:9" ht="17.25" customHeight="1">
      <c r="A18" s="244" t="s">
        <v>79</v>
      </c>
      <c r="B18" s="270">
        <v>20051.330000000002</v>
      </c>
      <c r="C18" s="270">
        <v>20051.330000000002</v>
      </c>
      <c r="D18" s="271"/>
      <c r="E18" s="271"/>
      <c r="F18" s="269">
        <f t="shared" si="0"/>
        <v>0</v>
      </c>
    </row>
    <row r="19" spans="1:9" ht="17.25" customHeight="1">
      <c r="A19" s="244" t="s">
        <v>80</v>
      </c>
      <c r="B19" s="270">
        <v>890613.25</v>
      </c>
      <c r="C19" s="270">
        <v>890613.25</v>
      </c>
      <c r="D19" s="271"/>
      <c r="E19" s="271"/>
      <c r="F19" s="269">
        <f t="shared" si="0"/>
        <v>0</v>
      </c>
    </row>
    <row r="20" spans="1:9" ht="17.25" customHeight="1">
      <c r="A20" s="244" t="s">
        <v>132</v>
      </c>
      <c r="B20" s="270">
        <v>10075793.43</v>
      </c>
      <c r="C20" s="271">
        <v>9287393.4299999997</v>
      </c>
      <c r="D20" s="271">
        <f>169500+585000+84750</f>
        <v>839250</v>
      </c>
      <c r="E20" s="271"/>
      <c r="F20" s="269">
        <f t="shared" si="0"/>
        <v>-50850</v>
      </c>
    </row>
    <row r="21" spans="1:9" ht="17.25" customHeight="1">
      <c r="A21" s="244" t="s">
        <v>133</v>
      </c>
      <c r="B21" s="270">
        <v>14473718.52</v>
      </c>
      <c r="C21" s="271">
        <f>2412286.42+2412286.41+2412286.42+2412286.42+2412286.43+2412286+1317681</f>
        <v>15791399.1</v>
      </c>
      <c r="D21" s="271">
        <f>946611+357500+943887+646693-1317681</f>
        <v>1577010</v>
      </c>
      <c r="E21" s="270">
        <f>14473718.52-2412286.42-2412286.41-2412286.42-2412286.42-2412286.43-2412286</f>
        <v>0.41999999945983291</v>
      </c>
      <c r="F21" s="269">
        <f t="shared" si="0"/>
        <v>-2894690.9999999995</v>
      </c>
    </row>
    <row r="22" spans="1:9" ht="17.25" customHeight="1">
      <c r="A22" s="244" t="s">
        <v>83</v>
      </c>
      <c r="B22" s="270">
        <v>885600.42</v>
      </c>
      <c r="C22" s="271">
        <v>641710.93999999994</v>
      </c>
      <c r="D22" s="271"/>
      <c r="E22" s="271"/>
      <c r="F22" s="269">
        <f t="shared" si="0"/>
        <v>243889.4800000001</v>
      </c>
    </row>
    <row r="23" spans="1:9" ht="17.25" customHeight="1">
      <c r="A23" s="244" t="s">
        <v>85</v>
      </c>
      <c r="B23" s="270">
        <v>210538.97</v>
      </c>
      <c r="C23" s="270">
        <v>210538.97</v>
      </c>
      <c r="D23" s="271"/>
      <c r="E23" s="271"/>
      <c r="F23" s="269">
        <f t="shared" si="0"/>
        <v>0</v>
      </c>
    </row>
    <row r="24" spans="1:9" ht="17.25" customHeight="1">
      <c r="A24" s="244" t="s">
        <v>86</v>
      </c>
      <c r="B24" s="270">
        <v>56812.1</v>
      </c>
      <c r="C24" s="270">
        <v>56812.1</v>
      </c>
      <c r="D24" s="271"/>
      <c r="E24" s="271"/>
      <c r="F24" s="269">
        <f t="shared" si="0"/>
        <v>0</v>
      </c>
    </row>
    <row r="25" spans="1:9" ht="17.25" customHeight="1">
      <c r="A25" s="244" t="s">
        <v>134</v>
      </c>
      <c r="B25" s="270">
        <v>584830.46</v>
      </c>
      <c r="C25" s="270">
        <v>584830.46</v>
      </c>
      <c r="D25" s="271"/>
      <c r="E25" s="271"/>
      <c r="F25" s="269">
        <f t="shared" si="0"/>
        <v>0</v>
      </c>
    </row>
    <row r="26" spans="1:9" ht="17.25" customHeight="1">
      <c r="A26" s="244" t="s">
        <v>88</v>
      </c>
      <c r="B26" s="270">
        <v>780330.93</v>
      </c>
      <c r="C26" s="271"/>
      <c r="D26" s="271"/>
      <c r="E26" s="271"/>
      <c r="F26" s="269">
        <f t="shared" si="0"/>
        <v>780330.93</v>
      </c>
    </row>
    <row r="27" spans="1:9" ht="17.25" customHeight="1">
      <c r="A27" s="244" t="s">
        <v>89</v>
      </c>
      <c r="B27" s="270">
        <v>8162562.3399999999</v>
      </c>
      <c r="C27" s="271">
        <f>6530049+231725.83+1632512-1864236+12067.32+20752.2</f>
        <v>6562870.3500000006</v>
      </c>
      <c r="D27" s="271">
        <f>325937+542076+764499-12067.32-20752.2</f>
        <v>1599692.48</v>
      </c>
      <c r="E27" s="271"/>
      <c r="F27" s="269">
        <f t="shared" si="0"/>
        <v>-0.49000000068917871</v>
      </c>
    </row>
    <row r="28" spans="1:9" ht="17.25" customHeight="1">
      <c r="A28" s="244" t="s">
        <v>135</v>
      </c>
      <c r="B28" s="270">
        <v>29362666.670000002</v>
      </c>
      <c r="C28" s="270">
        <f>29362666.67-62150</f>
        <v>29300516.670000002</v>
      </c>
      <c r="D28" s="271">
        <v>62150</v>
      </c>
      <c r="E28" s="271"/>
      <c r="F28" s="269">
        <f t="shared" si="0"/>
        <v>0</v>
      </c>
    </row>
    <row r="29" spans="1:9" ht="15.5">
      <c r="A29" s="74" t="s">
        <v>91</v>
      </c>
      <c r="B29" s="179">
        <v>0</v>
      </c>
      <c r="C29" s="105">
        <v>0</v>
      </c>
      <c r="D29" s="159"/>
      <c r="E29" s="159"/>
      <c r="F29" s="269">
        <f t="shared" si="0"/>
        <v>0</v>
      </c>
      <c r="H29" s="112"/>
      <c r="I29" s="112"/>
    </row>
    <row r="30" spans="1:9" ht="17.25" customHeight="1">
      <c r="A30" s="244" t="s">
        <v>93</v>
      </c>
      <c r="B30" s="270">
        <v>25064.16</v>
      </c>
      <c r="C30" s="270">
        <v>25064.16</v>
      </c>
      <c r="D30" s="271"/>
      <c r="E30" s="271"/>
      <c r="F30" s="269">
        <f t="shared" si="0"/>
        <v>0</v>
      </c>
    </row>
    <row r="31" spans="1:9" ht="17.25" customHeight="1">
      <c r="A31" s="244" t="s">
        <v>94</v>
      </c>
      <c r="B31" s="270">
        <v>8354.7199999999993</v>
      </c>
      <c r="C31" s="270">
        <v>8354.7199999999993</v>
      </c>
      <c r="D31" s="271"/>
      <c r="E31" s="271"/>
      <c r="F31" s="269">
        <f t="shared" si="0"/>
        <v>0</v>
      </c>
    </row>
    <row r="32" spans="1:9" ht="17.25" customHeight="1">
      <c r="A32" s="244" t="s">
        <v>95</v>
      </c>
      <c r="B32" s="270">
        <v>40102.660000000003</v>
      </c>
      <c r="C32" s="270">
        <v>40102.879999999997</v>
      </c>
      <c r="D32" s="271"/>
      <c r="E32" s="271"/>
      <c r="F32" s="269">
        <f t="shared" si="0"/>
        <v>-0.2199999999938882</v>
      </c>
    </row>
    <row r="33" spans="1:6" ht="17.25" customHeight="1">
      <c r="A33" s="244" t="s">
        <v>96</v>
      </c>
      <c r="B33" s="270">
        <v>128662.7</v>
      </c>
      <c r="C33" s="270">
        <v>128662.7</v>
      </c>
      <c r="D33" s="271"/>
      <c r="E33" s="271"/>
      <c r="F33" s="269">
        <f t="shared" si="0"/>
        <v>0</v>
      </c>
    </row>
    <row r="34" spans="1:6" ht="17.25" customHeight="1">
      <c r="A34" s="244" t="s">
        <v>97</v>
      </c>
      <c r="B34" s="270">
        <v>23393.22</v>
      </c>
      <c r="C34" s="270">
        <v>23393.22</v>
      </c>
      <c r="D34" s="271"/>
      <c r="E34" s="271"/>
      <c r="F34" s="269">
        <f t="shared" si="0"/>
        <v>0</v>
      </c>
    </row>
    <row r="35" spans="1:6" ht="17.25" customHeight="1">
      <c r="A35" s="244" t="s">
        <v>98</v>
      </c>
      <c r="B35" s="270">
        <v>5012.83</v>
      </c>
      <c r="C35" s="270">
        <v>5012.83</v>
      </c>
      <c r="D35" s="271"/>
      <c r="E35" s="271"/>
      <c r="F35" s="269">
        <f t="shared" si="0"/>
        <v>0</v>
      </c>
    </row>
    <row r="36" spans="1:6" ht="17.25" customHeight="1">
      <c r="A36" s="244" t="s">
        <v>99</v>
      </c>
      <c r="B36" s="270">
        <v>2823895.67</v>
      </c>
      <c r="C36" s="270">
        <f>1700000+1700000</f>
        <v>3400000</v>
      </c>
      <c r="D36" s="271"/>
      <c r="E36" s="271"/>
      <c r="F36" s="269">
        <f t="shared" si="0"/>
        <v>-576104.33000000007</v>
      </c>
    </row>
    <row r="37" spans="1:6" ht="17.25" customHeight="1">
      <c r="A37" s="244" t="s">
        <v>100</v>
      </c>
      <c r="B37" s="270">
        <v>369278.66</v>
      </c>
      <c r="C37" s="270">
        <v>369278.66</v>
      </c>
      <c r="D37" s="271"/>
      <c r="E37" s="271"/>
      <c r="F37" s="269">
        <f t="shared" si="0"/>
        <v>0</v>
      </c>
    </row>
    <row r="38" spans="1:6" ht="17.25" customHeight="1">
      <c r="A38" s="244" t="s">
        <v>101</v>
      </c>
      <c r="B38" s="270">
        <v>1134571.1000000001</v>
      </c>
      <c r="C38" s="270">
        <v>1134571.1000000001</v>
      </c>
      <c r="D38" s="271"/>
      <c r="E38" s="271"/>
      <c r="F38" s="269">
        <f t="shared" si="0"/>
        <v>0</v>
      </c>
    </row>
    <row r="39" spans="1:6" ht="17.25" customHeight="1">
      <c r="A39" s="244" t="s">
        <v>103</v>
      </c>
      <c r="B39" s="270">
        <v>770305.27</v>
      </c>
      <c r="C39" s="270">
        <f>349980+420285.27+39.73</f>
        <v>770305</v>
      </c>
      <c r="D39" s="271"/>
      <c r="E39" s="271"/>
      <c r="F39" s="269">
        <f t="shared" si="0"/>
        <v>0.27000000001862645</v>
      </c>
    </row>
    <row r="40" spans="1:6" ht="17.25" customHeight="1">
      <c r="A40" s="244" t="s">
        <v>104</v>
      </c>
      <c r="B40" s="270">
        <v>785343.77</v>
      </c>
      <c r="C40" s="271">
        <f>2002.78+55063.27+9041.34+15099.84+5358.29+27502.58+616673.4+54602</f>
        <v>785343.5</v>
      </c>
      <c r="D40" s="271"/>
      <c r="E40" s="271"/>
      <c r="F40" s="269">
        <f t="shared" si="0"/>
        <v>0.27000000001862645</v>
      </c>
    </row>
    <row r="41" spans="1:6" ht="17.25" customHeight="1">
      <c r="A41" s="40" t="s">
        <v>105</v>
      </c>
      <c r="B41" s="270">
        <v>0</v>
      </c>
      <c r="C41" s="271">
        <v>0</v>
      </c>
      <c r="D41" s="271">
        <v>0</v>
      </c>
      <c r="E41" s="271">
        <v>0</v>
      </c>
      <c r="F41" s="269">
        <f t="shared" si="0"/>
        <v>0</v>
      </c>
    </row>
    <row r="42" spans="1:6" ht="17.25" customHeight="1">
      <c r="A42" s="244" t="s">
        <v>106</v>
      </c>
      <c r="B42" s="270">
        <v>1838038.6</v>
      </c>
      <c r="C42" s="271"/>
      <c r="D42" s="271"/>
      <c r="E42" s="271"/>
      <c r="F42" s="269">
        <f t="shared" si="0"/>
        <v>1838038.6</v>
      </c>
    </row>
    <row r="43" spans="1:6" ht="17.25" customHeight="1">
      <c r="A43" s="272" t="s">
        <v>109</v>
      </c>
      <c r="B43" s="270">
        <v>85218.15</v>
      </c>
      <c r="C43" s="270">
        <v>85218.15</v>
      </c>
      <c r="D43" s="271"/>
      <c r="E43" s="271"/>
      <c r="F43" s="269">
        <f t="shared" si="0"/>
        <v>0</v>
      </c>
    </row>
    <row r="44" spans="1:6" ht="17.25" customHeight="1">
      <c r="A44" s="244" t="s">
        <v>110</v>
      </c>
      <c r="B44" s="270">
        <v>137017.42000000001</v>
      </c>
      <c r="C44" s="270">
        <v>137017.42000000001</v>
      </c>
      <c r="D44" s="271"/>
      <c r="E44" s="271"/>
      <c r="F44" s="269">
        <f t="shared" si="0"/>
        <v>0</v>
      </c>
    </row>
    <row r="45" spans="1:6" ht="17.25" customHeight="1">
      <c r="A45" s="244" t="s">
        <v>112</v>
      </c>
      <c r="B45" s="270">
        <v>4210779.34</v>
      </c>
      <c r="C45" s="270">
        <v>4210779.34</v>
      </c>
      <c r="D45" s="271"/>
      <c r="E45" s="271"/>
      <c r="F45" s="269">
        <f t="shared" si="0"/>
        <v>0</v>
      </c>
    </row>
    <row r="46" spans="1:6" ht="17.25" customHeight="1">
      <c r="A46" s="244" t="s">
        <v>136</v>
      </c>
      <c r="B46" s="270">
        <v>1667602.3</v>
      </c>
      <c r="C46" s="270">
        <v>1667602.3</v>
      </c>
      <c r="D46" s="271"/>
      <c r="E46" s="271"/>
      <c r="F46" s="269">
        <f t="shared" si="0"/>
        <v>0</v>
      </c>
    </row>
    <row r="47" spans="1:6" ht="17.25" customHeight="1">
      <c r="A47" s="244" t="s">
        <v>114</v>
      </c>
      <c r="B47" s="270">
        <v>2000120.19</v>
      </c>
      <c r="C47" s="271">
        <v>1603225.1</v>
      </c>
      <c r="D47" s="271">
        <v>14844</v>
      </c>
      <c r="E47" s="271"/>
      <c r="F47" s="269">
        <f t="shared" si="0"/>
        <v>382051.08999999985</v>
      </c>
    </row>
    <row r="48" spans="1:6" ht="17.25" customHeight="1">
      <c r="A48" s="244" t="s">
        <v>115</v>
      </c>
      <c r="B48" s="270">
        <v>1670.94</v>
      </c>
      <c r="C48" s="271"/>
      <c r="D48" s="271"/>
      <c r="E48" s="271"/>
      <c r="F48" s="269">
        <f t="shared" si="0"/>
        <v>1670.94</v>
      </c>
    </row>
    <row r="49" spans="1:6" ht="17.25" customHeight="1">
      <c r="A49" s="244" t="s">
        <v>117</v>
      </c>
      <c r="B49" s="270">
        <v>65166.82</v>
      </c>
      <c r="C49" s="271"/>
      <c r="D49" s="271"/>
      <c r="E49" s="271"/>
      <c r="F49" s="269">
        <f t="shared" si="0"/>
        <v>65166.82</v>
      </c>
    </row>
    <row r="50" spans="1:6" ht="17.25" customHeight="1">
      <c r="A50" s="244" t="s">
        <v>119</v>
      </c>
      <c r="B50" s="270">
        <v>10237875.01</v>
      </c>
      <c r="C50" s="270">
        <v>10237875.01</v>
      </c>
      <c r="D50" s="271"/>
      <c r="E50" s="270"/>
      <c r="F50" s="269">
        <f t="shared" si="0"/>
        <v>0</v>
      </c>
    </row>
    <row r="51" spans="1:6" ht="17.25" customHeight="1">
      <c r="A51" s="244" t="s">
        <v>180</v>
      </c>
      <c r="B51" s="273">
        <f>29362666.67-14889724</f>
        <v>14472942.670000002</v>
      </c>
      <c r="C51" s="271">
        <f>1847943+18000000-5375000</f>
        <v>14472943</v>
      </c>
      <c r="D51" s="271"/>
      <c r="E51" s="271"/>
      <c r="F51" s="269">
        <f t="shared" si="0"/>
        <v>-0.32999999821186066</v>
      </c>
    </row>
    <row r="52" spans="1:6" ht="17.25" customHeight="1" thickBot="1">
      <c r="A52" s="274" t="s">
        <v>121</v>
      </c>
      <c r="B52" s="270">
        <v>23393.22</v>
      </c>
      <c r="C52" s="275"/>
      <c r="D52" s="276"/>
      <c r="E52" s="275"/>
      <c r="F52" s="277">
        <f t="shared" si="0"/>
        <v>23393.22</v>
      </c>
    </row>
    <row r="53" spans="1:6" ht="17.25" customHeight="1" thickBot="1">
      <c r="A53" s="278" t="s">
        <v>122</v>
      </c>
      <c r="B53" s="279">
        <f>SUM(B8:B52)</f>
        <v>118576942.64999998</v>
      </c>
      <c r="C53" s="280">
        <f>SUM(C8:C52)</f>
        <v>114173880.52</v>
      </c>
      <c r="D53" s="280">
        <f>SUM(D8:D52)</f>
        <v>4421784.4800000004</v>
      </c>
      <c r="E53" s="280">
        <f>SUM(E8:E52)</f>
        <v>0.41999999945983291</v>
      </c>
      <c r="F53" s="281">
        <f>SUM(F8:F52)</f>
        <v>-18722.7699999986</v>
      </c>
    </row>
    <row r="54" spans="1:6" ht="17.25" customHeight="1" thickBot="1">
      <c r="A54" s="258" t="s">
        <v>181</v>
      </c>
      <c r="B54" s="282">
        <v>14889724</v>
      </c>
      <c r="C54" s="283">
        <v>0</v>
      </c>
      <c r="D54" s="284">
        <v>0</v>
      </c>
      <c r="E54" s="284">
        <v>0</v>
      </c>
      <c r="F54" s="285">
        <f t="shared" si="0"/>
        <v>14889724</v>
      </c>
    </row>
    <row r="55" spans="1:6" ht="17.25" customHeight="1" thickBot="1">
      <c r="A55" s="255" t="s">
        <v>124</v>
      </c>
      <c r="B55" s="286">
        <f>SUM(B53:B54)</f>
        <v>133466666.64999998</v>
      </c>
      <c r="C55" s="287">
        <f>SUM(C53:C54)</f>
        <v>114173880.52</v>
      </c>
      <c r="D55" s="286">
        <f>SUM(D53:D54)</f>
        <v>4421784.4800000004</v>
      </c>
      <c r="E55" s="286">
        <f>SUM(E53:E54)</f>
        <v>0.41999999945983291</v>
      </c>
      <c r="F55" s="288">
        <f>SUM(F53:F54)</f>
        <v>14871001.230000002</v>
      </c>
    </row>
    <row r="56" spans="1:6" ht="15.5">
      <c r="A56" s="289" t="s">
        <v>182</v>
      </c>
      <c r="B56" s="290"/>
      <c r="C56" s="290"/>
      <c r="D56" s="290"/>
      <c r="E56" s="290"/>
      <c r="F56" s="290"/>
    </row>
    <row r="57" spans="1:6">
      <c r="A57" s="291"/>
      <c r="B57" s="291"/>
      <c r="C57" s="291"/>
      <c r="D57" s="291"/>
      <c r="E57" s="291"/>
      <c r="F57" s="291"/>
    </row>
    <row r="58" spans="1:6" ht="16" thickBot="1">
      <c r="A58" s="292" t="s">
        <v>139</v>
      </c>
      <c r="B58" s="293">
        <f>B10+B11+B13+B16+B18+B23+B30+B32+B39+B42+B43+B44+B48+B49+B52</f>
        <v>3589188.1</v>
      </c>
      <c r="C58" s="293">
        <f>C10+C11+C13+C16+C18+C23+C30+C32+C39+C42+C43+C44+C48+C49+C52</f>
        <v>1622486.75</v>
      </c>
      <c r="D58" s="293">
        <f>D10+D11+D13+D16+D18+D23+D30+D32+D39+D42+D43+D44+D48+D49+D52</f>
        <v>0</v>
      </c>
      <c r="E58" s="293">
        <f>E10+E11+E13+E16+E18+E23+E30+E32+E39+E42+E43+E44+E48+E49+E52</f>
        <v>0</v>
      </c>
      <c r="F58" s="293">
        <f>F10+F11+F13+F16+F18+F23+F30+F32+F39+F42+F43+F44+F48+F49+F52</f>
        <v>1966701.35</v>
      </c>
    </row>
  </sheetData>
  <mergeCells count="3">
    <mergeCell ref="A4:F4"/>
    <mergeCell ref="A5:F5"/>
    <mergeCell ref="A6:F6"/>
  </mergeCell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0AA31-F214-4D7A-A519-48D1B89FEB37}">
  <dimension ref="A1:I55"/>
  <sheetViews>
    <sheetView topLeftCell="A22" workbookViewId="0">
      <selection activeCell="F3" sqref="F3"/>
    </sheetView>
  </sheetViews>
  <sheetFormatPr defaultRowHeight="14.5"/>
  <cols>
    <col min="1" max="1" width="22.54296875" customWidth="1"/>
    <col min="2" max="2" width="18.26953125" customWidth="1"/>
    <col min="3" max="3" width="14.54296875" customWidth="1"/>
    <col min="4" max="4" width="16.453125" customWidth="1"/>
    <col min="5" max="5" width="15.7265625" customWidth="1"/>
    <col min="6" max="6" width="17" customWidth="1"/>
  </cols>
  <sheetData>
    <row r="1" spans="1:8" ht="15.75" customHeight="1">
      <c r="B1" s="3"/>
      <c r="C1" s="3"/>
      <c r="D1" s="3"/>
      <c r="E1" s="763" t="str">
        <f>Status!C1</f>
        <v>UNEP/OzL.Pro/ExCom/94/3</v>
      </c>
      <c r="F1" s="763"/>
    </row>
    <row r="2" spans="1:8" ht="15.75" customHeight="1">
      <c r="B2" s="3"/>
      <c r="C2" s="3"/>
      <c r="D2" s="3"/>
      <c r="E2" s="3"/>
      <c r="F2" s="5" t="s">
        <v>188</v>
      </c>
    </row>
    <row r="3" spans="1:8" ht="15.75" customHeight="1">
      <c r="A3" s="3"/>
      <c r="B3" s="3"/>
      <c r="C3" s="3"/>
      <c r="D3" s="3"/>
      <c r="E3" s="3"/>
      <c r="F3" s="3"/>
    </row>
    <row r="4" spans="1:8" ht="20.25" customHeight="1">
      <c r="A4" s="764" t="s">
        <v>2</v>
      </c>
      <c r="B4" s="764"/>
      <c r="C4" s="764"/>
      <c r="D4" s="764"/>
      <c r="E4" s="764"/>
      <c r="F4" s="764"/>
      <c r="G4" s="295"/>
      <c r="H4" s="295"/>
    </row>
    <row r="5" spans="1:8" ht="20.25" customHeight="1">
      <c r="A5" s="765" t="s">
        <v>184</v>
      </c>
      <c r="B5" s="765"/>
      <c r="C5" s="765"/>
      <c r="D5" s="765"/>
      <c r="E5" s="765"/>
      <c r="F5" s="765"/>
    </row>
    <row r="6" spans="1:8" ht="20.25" customHeight="1" thickBot="1">
      <c r="A6" s="766" t="str">
        <f>Status!A6</f>
        <v>As at 24/05/2024</v>
      </c>
      <c r="B6" s="766"/>
      <c r="C6" s="766"/>
      <c r="D6" s="766"/>
      <c r="E6" s="766"/>
      <c r="F6" s="766"/>
    </row>
    <row r="7" spans="1:8" ht="30.75" customHeight="1" thickBot="1">
      <c r="A7" s="296" t="s">
        <v>60</v>
      </c>
      <c r="B7" s="297" t="s">
        <v>61</v>
      </c>
      <c r="C7" s="297" t="s">
        <v>62</v>
      </c>
      <c r="D7" s="297" t="s">
        <v>63</v>
      </c>
      <c r="E7" s="297" t="s">
        <v>64</v>
      </c>
      <c r="F7" s="298" t="s">
        <v>65</v>
      </c>
    </row>
    <row r="8" spans="1:8" ht="18" customHeight="1">
      <c r="A8" s="299" t="s">
        <v>130</v>
      </c>
      <c r="B8" s="300">
        <v>2660143.14</v>
      </c>
      <c r="C8" s="300">
        <v>2660143.14</v>
      </c>
      <c r="D8" s="301">
        <v>129950</v>
      </c>
      <c r="E8" s="301"/>
      <c r="F8" s="302">
        <f t="shared" ref="F8:F52" si="0">B8-C8-D8-E8</f>
        <v>-129950</v>
      </c>
    </row>
    <row r="9" spans="1:8" ht="18" customHeight="1">
      <c r="A9" s="303" t="s">
        <v>69</v>
      </c>
      <c r="B9" s="304">
        <v>1435341.05</v>
      </c>
      <c r="C9" s="304">
        <v>1435341.05</v>
      </c>
      <c r="D9" s="305"/>
      <c r="E9" s="305"/>
      <c r="F9" s="302">
        <f t="shared" si="0"/>
        <v>0</v>
      </c>
    </row>
    <row r="10" spans="1:8" ht="18" customHeight="1">
      <c r="A10" s="306" t="s">
        <v>70</v>
      </c>
      <c r="B10" s="304">
        <v>8354.7199999999993</v>
      </c>
      <c r="C10" s="305"/>
      <c r="D10" s="305"/>
      <c r="E10" s="305"/>
      <c r="F10" s="302">
        <f t="shared" si="0"/>
        <v>8354.7199999999993</v>
      </c>
    </row>
    <row r="11" spans="1:8" ht="18" customHeight="1">
      <c r="A11" s="303" t="s">
        <v>71</v>
      </c>
      <c r="B11" s="304">
        <v>30077</v>
      </c>
      <c r="C11" s="305"/>
      <c r="D11" s="305"/>
      <c r="E11" s="305"/>
      <c r="F11" s="302">
        <f t="shared" si="0"/>
        <v>30077</v>
      </c>
    </row>
    <row r="12" spans="1:8" ht="18" customHeight="1">
      <c r="A12" s="303" t="s">
        <v>72</v>
      </c>
      <c r="B12" s="304">
        <v>1786239.33</v>
      </c>
      <c r="C12" s="304">
        <v>1786239.33</v>
      </c>
      <c r="D12" s="305"/>
      <c r="E12" s="305"/>
      <c r="F12" s="302">
        <f t="shared" si="0"/>
        <v>0</v>
      </c>
    </row>
    <row r="13" spans="1:8" ht="18" customHeight="1">
      <c r="A13" s="303" t="s">
        <v>73</v>
      </c>
      <c r="B13" s="304">
        <v>28406.05</v>
      </c>
      <c r="C13" s="304">
        <v>28406.05</v>
      </c>
      <c r="D13" s="305"/>
      <c r="E13" s="305"/>
      <c r="F13" s="302">
        <f t="shared" si="0"/>
        <v>0</v>
      </c>
    </row>
    <row r="14" spans="1:8" ht="18" customHeight="1">
      <c r="A14" s="303" t="s">
        <v>131</v>
      </c>
      <c r="B14" s="304">
        <v>4700365.99</v>
      </c>
      <c r="C14" s="305">
        <f>335641.5+3760292.79+47598+204977+9120</f>
        <v>4357629.29</v>
      </c>
      <c r="D14" s="305">
        <f>33900+47460+326005-7910-47598-9120</f>
        <v>342737</v>
      </c>
      <c r="E14" s="305"/>
      <c r="F14" s="302">
        <f t="shared" si="0"/>
        <v>-0.29999999981373549</v>
      </c>
    </row>
    <row r="15" spans="1:8" ht="18" customHeight="1">
      <c r="A15" s="303" t="s">
        <v>76</v>
      </c>
      <c r="B15" s="304">
        <v>65166.82</v>
      </c>
      <c r="C15" s="305">
        <f>6076.88+59089.94</f>
        <v>65166.82</v>
      </c>
      <c r="D15" s="305"/>
      <c r="E15" s="305"/>
      <c r="F15" s="302">
        <f t="shared" si="0"/>
        <v>0</v>
      </c>
    </row>
    <row r="16" spans="1:8" ht="18" customHeight="1">
      <c r="A16" s="303" t="s">
        <v>77</v>
      </c>
      <c r="B16" s="304">
        <v>305782.78999999998</v>
      </c>
      <c r="C16" s="304">
        <v>305782.78999999998</v>
      </c>
      <c r="D16" s="305"/>
      <c r="E16" s="305"/>
      <c r="F16" s="302">
        <f t="shared" si="0"/>
        <v>0</v>
      </c>
    </row>
    <row r="17" spans="1:9" ht="18" customHeight="1">
      <c r="A17" s="303" t="s">
        <v>78</v>
      </c>
      <c r="B17" s="304">
        <v>1199737.92</v>
      </c>
      <c r="C17" s="304">
        <v>1199737.92</v>
      </c>
      <c r="D17" s="305"/>
      <c r="E17" s="305"/>
      <c r="F17" s="302">
        <f t="shared" si="0"/>
        <v>0</v>
      </c>
    </row>
    <row r="18" spans="1:9" ht="18" customHeight="1">
      <c r="A18" s="303" t="s">
        <v>79</v>
      </c>
      <c r="B18" s="304">
        <v>20051.330000000002</v>
      </c>
      <c r="C18" s="304">
        <v>20051.330000000002</v>
      </c>
      <c r="D18" s="305"/>
      <c r="E18" s="305"/>
      <c r="F18" s="302">
        <f t="shared" si="0"/>
        <v>0</v>
      </c>
    </row>
    <row r="19" spans="1:9" ht="18" customHeight="1">
      <c r="A19" s="303" t="s">
        <v>80</v>
      </c>
      <c r="B19" s="304">
        <v>890613.25</v>
      </c>
      <c r="C19" s="304">
        <v>890613.25</v>
      </c>
      <c r="D19" s="305"/>
      <c r="E19" s="305"/>
      <c r="F19" s="302">
        <f t="shared" si="0"/>
        <v>0</v>
      </c>
    </row>
    <row r="20" spans="1:9" ht="18" customHeight="1">
      <c r="A20" s="303" t="s">
        <v>132</v>
      </c>
      <c r="B20" s="304">
        <v>10075793.43</v>
      </c>
      <c r="C20" s="307">
        <f>9342968+6196+2558+106492</f>
        <v>9458214</v>
      </c>
      <c r="D20" s="307">
        <f>641500+33900-6196-2558-106492</f>
        <v>560154</v>
      </c>
      <c r="E20" s="305"/>
      <c r="F20" s="302">
        <f t="shared" si="0"/>
        <v>57425.429999999702</v>
      </c>
    </row>
    <row r="21" spans="1:9" ht="18" customHeight="1">
      <c r="A21" s="303" t="s">
        <v>133</v>
      </c>
      <c r="B21" s="304">
        <v>14473718.52</v>
      </c>
      <c r="C21" s="305">
        <f>2412286.41+2412286.42+2412286.42+2412286.42+2412286.42+2412286.42-2465576</f>
        <v>12008142.51</v>
      </c>
      <c r="D21" s="305">
        <f>2894744+2465576</f>
        <v>5360320</v>
      </c>
      <c r="E21" s="304"/>
      <c r="F21" s="302">
        <f t="shared" si="0"/>
        <v>-2894743.99</v>
      </c>
    </row>
    <row r="22" spans="1:9" ht="18" customHeight="1">
      <c r="A22" s="303" t="s">
        <v>83</v>
      </c>
      <c r="B22" s="304">
        <v>885600.42</v>
      </c>
      <c r="C22" s="305"/>
      <c r="D22" s="305"/>
      <c r="E22" s="305"/>
      <c r="F22" s="302">
        <f t="shared" si="0"/>
        <v>885600.42</v>
      </c>
    </row>
    <row r="23" spans="1:9" ht="18" customHeight="1">
      <c r="A23" s="303" t="s">
        <v>85</v>
      </c>
      <c r="B23" s="304">
        <v>210538.97</v>
      </c>
      <c r="C23" s="304">
        <v>210538.97</v>
      </c>
      <c r="D23" s="305"/>
      <c r="E23" s="305"/>
      <c r="F23" s="302">
        <f t="shared" si="0"/>
        <v>0</v>
      </c>
    </row>
    <row r="24" spans="1:9" ht="18" customHeight="1">
      <c r="A24" s="303" t="s">
        <v>86</v>
      </c>
      <c r="B24" s="304">
        <v>56812.1</v>
      </c>
      <c r="C24" s="304">
        <v>56812.1</v>
      </c>
      <c r="D24" s="305"/>
      <c r="E24" s="305"/>
      <c r="F24" s="302">
        <f t="shared" si="0"/>
        <v>0</v>
      </c>
    </row>
    <row r="25" spans="1:9" ht="18" customHeight="1">
      <c r="A25" s="303" t="s">
        <v>134</v>
      </c>
      <c r="B25" s="304">
        <v>584830.46</v>
      </c>
      <c r="C25" s="304">
        <v>584830.46</v>
      </c>
      <c r="D25" s="305"/>
      <c r="E25" s="305"/>
      <c r="F25" s="302">
        <f t="shared" si="0"/>
        <v>0</v>
      </c>
    </row>
    <row r="26" spans="1:9" ht="18" customHeight="1">
      <c r="A26" s="303" t="s">
        <v>88</v>
      </c>
      <c r="B26" s="304">
        <v>780330.93</v>
      </c>
      <c r="C26" s="305"/>
      <c r="D26" s="305"/>
      <c r="E26" s="305"/>
      <c r="F26" s="302">
        <f t="shared" si="0"/>
        <v>780330.93</v>
      </c>
    </row>
    <row r="27" spans="1:9" ht="18" customHeight="1">
      <c r="A27" s="303" t="s">
        <v>89</v>
      </c>
      <c r="B27" s="304">
        <v>8162562.3399999999</v>
      </c>
      <c r="C27" s="305">
        <f>6530043.87+1632518.47-1632512</f>
        <v>6530050.3399999999</v>
      </c>
      <c r="D27" s="305">
        <v>1632512</v>
      </c>
      <c r="E27" s="305"/>
      <c r="F27" s="302">
        <f t="shared" si="0"/>
        <v>0</v>
      </c>
    </row>
    <row r="28" spans="1:9" ht="18" customHeight="1">
      <c r="A28" s="303" t="s">
        <v>135</v>
      </c>
      <c r="B28" s="304">
        <v>29362666.670000002</v>
      </c>
      <c r="C28" s="304">
        <f>29362666.67-790940</f>
        <v>28571726.670000002</v>
      </c>
      <c r="D28" s="305">
        <v>790940</v>
      </c>
      <c r="E28" s="305"/>
      <c r="F28" s="302">
        <f t="shared" si="0"/>
        <v>0</v>
      </c>
    </row>
    <row r="29" spans="1:9">
      <c r="A29" s="74" t="s">
        <v>91</v>
      </c>
      <c r="B29" s="179">
        <v>0</v>
      </c>
      <c r="C29" s="105">
        <v>0</v>
      </c>
      <c r="D29" s="159"/>
      <c r="E29" s="159"/>
      <c r="F29" s="157">
        <f t="shared" si="0"/>
        <v>0</v>
      </c>
      <c r="H29" s="112"/>
      <c r="I29" s="112"/>
    </row>
    <row r="30" spans="1:9" ht="18" customHeight="1">
      <c r="A30" s="303" t="s">
        <v>93</v>
      </c>
      <c r="B30" s="304">
        <v>25064.16</v>
      </c>
      <c r="C30" s="304">
        <v>25064.16</v>
      </c>
      <c r="D30" s="305"/>
      <c r="E30" s="305"/>
      <c r="F30" s="302">
        <f t="shared" si="0"/>
        <v>0</v>
      </c>
    </row>
    <row r="31" spans="1:9" ht="18" customHeight="1">
      <c r="A31" s="303" t="s">
        <v>94</v>
      </c>
      <c r="B31" s="304">
        <v>8354.7199999999993</v>
      </c>
      <c r="C31" s="304">
        <v>8354.7199999999993</v>
      </c>
      <c r="D31" s="305"/>
      <c r="E31" s="305"/>
      <c r="F31" s="302">
        <f t="shared" si="0"/>
        <v>0</v>
      </c>
    </row>
    <row r="32" spans="1:9" ht="18" customHeight="1">
      <c r="A32" s="303" t="s">
        <v>95</v>
      </c>
      <c r="B32" s="304">
        <v>40102.660000000003</v>
      </c>
      <c r="C32" s="304"/>
      <c r="D32" s="305"/>
      <c r="E32" s="305"/>
      <c r="F32" s="302">
        <f t="shared" si="0"/>
        <v>40102.660000000003</v>
      </c>
    </row>
    <row r="33" spans="1:6" ht="18" customHeight="1">
      <c r="A33" s="303" t="s">
        <v>96</v>
      </c>
      <c r="B33" s="304">
        <v>128662.7</v>
      </c>
      <c r="C33" s="304">
        <v>128662.7</v>
      </c>
      <c r="D33" s="305"/>
      <c r="E33" s="305"/>
      <c r="F33" s="302">
        <f t="shared" si="0"/>
        <v>0</v>
      </c>
    </row>
    <row r="34" spans="1:6" ht="18" customHeight="1">
      <c r="A34" s="303" t="s">
        <v>97</v>
      </c>
      <c r="B34" s="304">
        <v>23393.22</v>
      </c>
      <c r="C34" s="304">
        <v>23393.22</v>
      </c>
      <c r="D34" s="305"/>
      <c r="E34" s="305"/>
      <c r="F34" s="302">
        <f t="shared" si="0"/>
        <v>0</v>
      </c>
    </row>
    <row r="35" spans="1:6" ht="18" customHeight="1">
      <c r="A35" s="303" t="s">
        <v>98</v>
      </c>
      <c r="B35" s="304">
        <v>5012.83</v>
      </c>
      <c r="C35" s="304">
        <v>5012.83</v>
      </c>
      <c r="D35" s="305"/>
      <c r="E35" s="305"/>
      <c r="F35" s="302">
        <f t="shared" si="0"/>
        <v>0</v>
      </c>
    </row>
    <row r="36" spans="1:6" ht="18" customHeight="1">
      <c r="A36" s="303" t="s">
        <v>99</v>
      </c>
      <c r="B36" s="304">
        <v>2823895.67</v>
      </c>
      <c r="C36" s="304">
        <v>3400000</v>
      </c>
      <c r="D36" s="305"/>
      <c r="E36" s="305"/>
      <c r="F36" s="302">
        <f t="shared" si="0"/>
        <v>-576104.33000000007</v>
      </c>
    </row>
    <row r="37" spans="1:6" ht="18" customHeight="1">
      <c r="A37" s="303" t="s">
        <v>100</v>
      </c>
      <c r="B37" s="304">
        <v>369278.66</v>
      </c>
      <c r="C37" s="304">
        <v>369278.66</v>
      </c>
      <c r="D37" s="305"/>
      <c r="E37" s="305"/>
      <c r="F37" s="302">
        <f t="shared" si="0"/>
        <v>0</v>
      </c>
    </row>
    <row r="38" spans="1:6" ht="18" customHeight="1">
      <c r="A38" s="303" t="s">
        <v>101</v>
      </c>
      <c r="B38" s="304">
        <v>1134571.1000000001</v>
      </c>
      <c r="C38" s="304">
        <v>1134571.1000000001</v>
      </c>
      <c r="D38" s="305"/>
      <c r="E38" s="305"/>
      <c r="F38" s="302">
        <f t="shared" si="0"/>
        <v>0</v>
      </c>
    </row>
    <row r="39" spans="1:6" ht="18" customHeight="1">
      <c r="A39" s="303" t="s">
        <v>103</v>
      </c>
      <c r="B39" s="304">
        <v>770305.27</v>
      </c>
      <c r="C39" s="304">
        <f>350000+420305.27</f>
        <v>770305.27</v>
      </c>
      <c r="D39" s="305"/>
      <c r="E39" s="305"/>
      <c r="F39" s="302">
        <f t="shared" si="0"/>
        <v>0</v>
      </c>
    </row>
    <row r="40" spans="1:6" ht="18" customHeight="1">
      <c r="A40" s="303" t="s">
        <v>104</v>
      </c>
      <c r="B40" s="304">
        <v>785343.77</v>
      </c>
      <c r="C40" s="304">
        <v>785343.77</v>
      </c>
      <c r="D40" s="305"/>
      <c r="E40" s="305"/>
      <c r="F40" s="302">
        <f t="shared" si="0"/>
        <v>0</v>
      </c>
    </row>
    <row r="41" spans="1:6" ht="18" customHeight="1">
      <c r="A41" s="40" t="s">
        <v>105</v>
      </c>
      <c r="B41" s="270">
        <v>0</v>
      </c>
      <c r="C41" s="271">
        <v>0</v>
      </c>
      <c r="D41" s="271">
        <v>0</v>
      </c>
      <c r="E41" s="271">
        <v>0</v>
      </c>
      <c r="F41" s="269">
        <f t="shared" si="0"/>
        <v>0</v>
      </c>
    </row>
    <row r="42" spans="1:6" ht="18" customHeight="1">
      <c r="A42" s="303" t="s">
        <v>106</v>
      </c>
      <c r="B42" s="304">
        <v>1838038.6</v>
      </c>
      <c r="C42" s="305"/>
      <c r="D42" s="305"/>
      <c r="E42" s="305"/>
      <c r="F42" s="302">
        <f t="shared" si="0"/>
        <v>1838038.6</v>
      </c>
    </row>
    <row r="43" spans="1:6" ht="18" customHeight="1">
      <c r="A43" s="308" t="s">
        <v>109</v>
      </c>
      <c r="B43" s="304">
        <v>85218.15</v>
      </c>
      <c r="C43" s="304">
        <v>85218.15</v>
      </c>
      <c r="D43" s="305"/>
      <c r="E43" s="305"/>
      <c r="F43" s="302">
        <f t="shared" si="0"/>
        <v>0</v>
      </c>
    </row>
    <row r="44" spans="1:6" ht="18" customHeight="1">
      <c r="A44" s="303" t="s">
        <v>110</v>
      </c>
      <c r="B44" s="304">
        <v>137017.42000000001</v>
      </c>
      <c r="C44" s="304">
        <v>137017.42000000001</v>
      </c>
      <c r="D44" s="305"/>
      <c r="E44" s="305"/>
      <c r="F44" s="302">
        <f t="shared" si="0"/>
        <v>0</v>
      </c>
    </row>
    <row r="45" spans="1:6" ht="18" customHeight="1">
      <c r="A45" s="303" t="s">
        <v>112</v>
      </c>
      <c r="B45" s="304">
        <v>4210779.34</v>
      </c>
      <c r="C45" s="305">
        <f>140000+4076693.51-1514.17</f>
        <v>4215179.34</v>
      </c>
      <c r="D45" s="305"/>
      <c r="E45" s="305"/>
      <c r="F45" s="302">
        <f t="shared" si="0"/>
        <v>-4400</v>
      </c>
    </row>
    <row r="46" spans="1:6" ht="18" customHeight="1">
      <c r="A46" s="303" t="s">
        <v>136</v>
      </c>
      <c r="B46" s="304">
        <v>1667602.3</v>
      </c>
      <c r="C46" s="304">
        <v>1667602.3</v>
      </c>
      <c r="D46" s="305"/>
      <c r="E46" s="305"/>
      <c r="F46" s="302">
        <f t="shared" si="0"/>
        <v>0</v>
      </c>
    </row>
    <row r="47" spans="1:6" ht="18" customHeight="1">
      <c r="A47" s="303" t="s">
        <v>114</v>
      </c>
      <c r="B47" s="304">
        <v>2000120.19</v>
      </c>
      <c r="C47" s="305">
        <v>1603345.29</v>
      </c>
      <c r="D47" s="305">
        <v>400024</v>
      </c>
      <c r="E47" s="305"/>
      <c r="F47" s="302">
        <f t="shared" si="0"/>
        <v>-3249.1000000000931</v>
      </c>
    </row>
    <row r="48" spans="1:6" ht="18" customHeight="1">
      <c r="A48" s="303" t="s">
        <v>115</v>
      </c>
      <c r="B48" s="304">
        <v>1670.94</v>
      </c>
      <c r="C48" s="305"/>
      <c r="D48" s="305"/>
      <c r="E48" s="305"/>
      <c r="F48" s="302">
        <f t="shared" si="0"/>
        <v>1670.94</v>
      </c>
    </row>
    <row r="49" spans="1:6" ht="18" customHeight="1">
      <c r="A49" s="303" t="s">
        <v>117</v>
      </c>
      <c r="B49" s="304">
        <v>65166.82</v>
      </c>
      <c r="C49" s="305"/>
      <c r="D49" s="305"/>
      <c r="E49" s="305"/>
      <c r="F49" s="302">
        <f t="shared" si="0"/>
        <v>65166.82</v>
      </c>
    </row>
    <row r="50" spans="1:6" ht="18" customHeight="1">
      <c r="A50" s="303" t="s">
        <v>119</v>
      </c>
      <c r="B50" s="304">
        <v>10237875.01</v>
      </c>
      <c r="C50" s="304">
        <v>10237875.01</v>
      </c>
      <c r="D50" s="305"/>
      <c r="E50" s="304"/>
      <c r="F50" s="302">
        <f t="shared" si="0"/>
        <v>0</v>
      </c>
    </row>
    <row r="51" spans="1:6" ht="18" customHeight="1">
      <c r="A51" s="303" t="s">
        <v>120</v>
      </c>
      <c r="B51" s="304">
        <v>29362666.670000002</v>
      </c>
      <c r="C51" s="305">
        <f>19101321+5000000+2426289-1847943+2341500+2341500</f>
        <v>29362667</v>
      </c>
      <c r="D51" s="305"/>
      <c r="E51" s="305">
        <f>4683000-2341500-2341500</f>
        <v>0</v>
      </c>
      <c r="F51" s="302">
        <f t="shared" si="0"/>
        <v>-0.32999999821186066</v>
      </c>
    </row>
    <row r="52" spans="1:6" ht="18" customHeight="1" thickBot="1">
      <c r="A52" s="309" t="s">
        <v>121</v>
      </c>
      <c r="B52" s="304">
        <v>23393.22</v>
      </c>
      <c r="C52" s="310"/>
      <c r="D52" s="311"/>
      <c r="E52" s="312"/>
      <c r="F52" s="302">
        <f t="shared" si="0"/>
        <v>23393.22</v>
      </c>
    </row>
    <row r="53" spans="1:6" ht="18" customHeight="1" thickBot="1">
      <c r="A53" s="313" t="s">
        <v>124</v>
      </c>
      <c r="B53" s="314">
        <f>SUM(B8:B52)</f>
        <v>133466666.64999998</v>
      </c>
      <c r="C53" s="315">
        <f>SUM(C8:C52)</f>
        <v>124128316.95999999</v>
      </c>
      <c r="D53" s="316">
        <f>SUM(D8:D52)</f>
        <v>9216637</v>
      </c>
      <c r="E53" s="317">
        <f>SUM(E8:E52)</f>
        <v>0</v>
      </c>
      <c r="F53" s="318">
        <f>SUM(F8:F52)</f>
        <v>121712.6900000016</v>
      </c>
    </row>
    <row r="54" spans="1:6" ht="20.25" customHeight="1" thickBot="1">
      <c r="A54" s="319"/>
      <c r="B54" s="319"/>
      <c r="C54" s="319"/>
      <c r="D54" s="319"/>
      <c r="E54" s="319"/>
      <c r="F54" s="319"/>
    </row>
    <row r="55" spans="1:6" ht="20.25" customHeight="1" thickBot="1">
      <c r="A55" s="261" t="s">
        <v>139</v>
      </c>
      <c r="B55" s="262">
        <f>B10+B11+B13+B16+B18+B23+B30+B32+B39+B42+B43+B44+B48+B49+B52</f>
        <v>3589188.1</v>
      </c>
      <c r="C55" s="262">
        <f>C10+C11+C13+C16+C18+C23+C30+C32+C39+C42+C43+C44+C48+C49+C52</f>
        <v>1582384.14</v>
      </c>
      <c r="D55" s="262">
        <f>D10+D11+D13+D16+D18+D23+D30+D32+D39+D42+D43+D44+D48+D49+D52</f>
        <v>0</v>
      </c>
      <c r="E55" s="262">
        <f>E10+E11+E13+E16+E18+E23+E30+E32+E39+E42+E43+E44+E48+E49+E52</f>
        <v>0</v>
      </c>
      <c r="F55" s="320">
        <f>F10+F11+F13+F16+F18+F23+F30+F32+F39+F42+F43+F44+F48+F49+F52</f>
        <v>2006803.96</v>
      </c>
    </row>
  </sheetData>
  <mergeCells count="4">
    <mergeCell ref="E1:F1"/>
    <mergeCell ref="A4:F4"/>
    <mergeCell ref="A5:F5"/>
    <mergeCell ref="A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4C962-6B5F-4D13-959D-A73B54BBAF01}">
  <sheetPr>
    <pageSetUpPr fitToPage="1"/>
  </sheetPr>
  <dimension ref="A1:Q148"/>
  <sheetViews>
    <sheetView topLeftCell="B56" zoomScale="115" zoomScaleNormal="115" workbookViewId="0">
      <selection activeCell="G55" sqref="G55"/>
    </sheetView>
  </sheetViews>
  <sheetFormatPr defaultColWidth="9.7265625" defaultRowHeight="15.5"/>
  <cols>
    <col min="1" max="1" width="25.7265625" style="1" customWidth="1"/>
    <col min="2" max="6" width="20.7265625" style="62" customWidth="1"/>
    <col min="7" max="7" width="20.7265625" style="91" customWidth="1"/>
    <col min="8" max="8" width="12.453125" style="1" customWidth="1"/>
    <col min="9" max="9" width="19" style="1" bestFit="1" customWidth="1"/>
    <col min="10" max="10" width="14.54296875" style="1" customWidth="1"/>
    <col min="11" max="11" width="11" style="1" bestFit="1" customWidth="1"/>
    <col min="12" max="16384" width="9.7265625" style="1"/>
  </cols>
  <sheetData>
    <row r="1" spans="1:17" ht="19.5" customHeight="1">
      <c r="B1" s="61"/>
      <c r="F1" s="63"/>
      <c r="G1" s="64" t="str">
        <f>Status!C1</f>
        <v>UNEP/OzL.Pro/ExCom/94/3</v>
      </c>
    </row>
    <row r="2" spans="1:17" ht="19.5" customHeight="1">
      <c r="B2" s="65"/>
      <c r="F2" s="63"/>
      <c r="G2" s="64" t="s">
        <v>0</v>
      </c>
    </row>
    <row r="3" spans="1:17" ht="19.5" customHeight="1">
      <c r="B3" s="65"/>
      <c r="F3" s="64"/>
      <c r="G3" s="64" t="s">
        <v>59</v>
      </c>
    </row>
    <row r="4" spans="1:17" ht="19.5" customHeight="1">
      <c r="B4" s="65"/>
      <c r="F4" s="66"/>
      <c r="G4" s="67"/>
    </row>
    <row r="5" spans="1:17" ht="24" customHeight="1">
      <c r="A5" s="735" t="s">
        <v>2</v>
      </c>
      <c r="B5" s="735"/>
      <c r="C5" s="735"/>
      <c r="D5" s="735"/>
      <c r="E5" s="735"/>
      <c r="F5" s="735"/>
      <c r="G5" s="735"/>
    </row>
    <row r="6" spans="1:17" ht="19.5" customHeight="1">
      <c r="A6" s="729" t="s">
        <v>271</v>
      </c>
      <c r="B6" s="729"/>
      <c r="C6" s="729"/>
      <c r="D6" s="729"/>
      <c r="E6" s="729"/>
      <c r="F6" s="729"/>
      <c r="G6" s="729"/>
    </row>
    <row r="7" spans="1:17" ht="19.5" customHeight="1" thickBot="1">
      <c r="A7" s="728" t="str">
        <f>Status!A6</f>
        <v>As at 24/05/2024</v>
      </c>
      <c r="B7" s="728"/>
      <c r="C7" s="728"/>
      <c r="D7" s="728"/>
      <c r="E7" s="728"/>
      <c r="F7" s="728"/>
      <c r="G7" s="728"/>
    </row>
    <row r="8" spans="1:17" ht="44.25" customHeight="1">
      <c r="A8" s="138" t="s">
        <v>60</v>
      </c>
      <c r="B8" s="678" t="s">
        <v>61</v>
      </c>
      <c r="C8" s="678" t="s">
        <v>62</v>
      </c>
      <c r="D8" s="678" t="s">
        <v>63</v>
      </c>
      <c r="E8" s="678" t="s">
        <v>64</v>
      </c>
      <c r="F8" s="678" t="s">
        <v>65</v>
      </c>
      <c r="G8" s="680" t="s">
        <v>66</v>
      </c>
      <c r="I8" s="71"/>
      <c r="J8" s="71"/>
      <c r="K8" s="71"/>
      <c r="L8" s="71"/>
      <c r="M8" s="71"/>
      <c r="N8" s="71"/>
      <c r="O8" s="71"/>
      <c r="P8" s="71"/>
      <c r="Q8" s="71"/>
    </row>
    <row r="9" spans="1:17" ht="17.25" customHeight="1">
      <c r="A9" s="681" t="s">
        <v>67</v>
      </c>
      <c r="B9" s="679">
        <f>YR2009_11!B9+YR2012_14!B9+YR2015_17!B9+YR2018_20!B9+YR2021_23!B9+YR2024_26!B9</f>
        <v>218306.49</v>
      </c>
      <c r="C9" s="679">
        <f>YR2009_11!C9+YR2012_14!C9+YR2015_17!C9+YR2018_20!C9+YR2021_23!C9+YR2024_26!C9</f>
        <v>218306.49</v>
      </c>
      <c r="D9" s="679">
        <f>YR2009_11!D9+YR2012_14!D9+YR2015_17!D9+YR2018_20!D9+YR2021_23!D9+YR2024_26!D9</f>
        <v>0</v>
      </c>
      <c r="E9" s="679">
        <f>YR2009_11!E9+YR2012_14!E9+YR2015_17!E9+YR2018_20!E9+YR2021_23!E9+YR2024_26!E9</f>
        <v>0</v>
      </c>
      <c r="F9" s="679">
        <f>YR2009_11!F9+YR2012_14!F9+YR2015_17!F9+YR2018_20!F9+YR2021_23!F9+YR2024_26!F9</f>
        <v>0</v>
      </c>
      <c r="G9" s="504">
        <v>0</v>
      </c>
    </row>
    <row r="10" spans="1:17" ht="17.25" customHeight="1">
      <c r="A10" s="682" t="s">
        <v>68</v>
      </c>
      <c r="B10" s="503">
        <f>YR1991_93!B8+YR1994_96!B8+YR1997_99!B8+YR2000_02!B8+YR2003_05!B8+YR2006_08!B9+YR2009_11!B10+YR2012_14!B10+YR2015_17!B10+YR2018_20!B10+YR2021_23!B10+YR2024_26!B10</f>
        <v>117486861.56</v>
      </c>
      <c r="C10" s="503">
        <f>YR1991_93!C8+YR1994_96!C8+YR1997_99!C8+YR2000_02!C8+YR2003_05!C8+YR2006_08!C9+YR2009_11!C10+YR2012_14!C10+YR2015_17!C10+YR2018_20!C10+YR2021_23!C10+YR2024_26!C10</f>
        <v>116861570.558</v>
      </c>
      <c r="D10" s="503">
        <f>YR1991_93!D8+YR1994_96!D8+YR1997_99!D8+YR2000_02!D8+YR2003_05!D8+YR2006_08!D9+YR2009_11!D10+YR2012_14!D10+YR2015_17!D10+YR2018_20!D10+YR2021_23!D10+YR2024_26!D10</f>
        <v>2584559</v>
      </c>
      <c r="E10" s="503">
        <f>YR1991_93!E8+YR1994_96!E8+YR1997_99!E8+YR2000_02!E8+YR2003_05!E8+YR2006_08!E9+YR2009_11!E10+YR2012_14!E10+YR2015_17!E10+YR2018_20!E10+YR2021_23!E10+YR2024_26!E10</f>
        <v>0</v>
      </c>
      <c r="F10" s="503">
        <f>YR1991_93!F8+YR1994_96!F8+YR1997_99!F8+YR2000_02!F8+YR2003_05!F8+YR2006_08!F9+YR2009_11!F10+YR2012_14!F10+YR2015_17!F10+YR2018_20!F10+YR2021_23!F10+YR2024_26!F10</f>
        <v>-1959267.9979999997</v>
      </c>
      <c r="G10" s="504">
        <f>[2]Summary!$D$100</f>
        <v>2612082.1424330585</v>
      </c>
    </row>
    <row r="11" spans="1:17" ht="17.25" customHeight="1">
      <c r="A11" s="502" t="s">
        <v>69</v>
      </c>
      <c r="B11" s="503">
        <f>YR1991_93!B9+YR1994_96!B9+YR1997_99!B9+YR2000_02!B9+YR2003_05!B9+YR2006_08!B10+YR2009_11!B11+YR2012_14!B11+YR2015_17!B11+YR2018_20!B11+YR2021_23!B11+YR2024_26!B11</f>
        <v>51737968.720000006</v>
      </c>
      <c r="C11" s="503">
        <f>YR1991_93!C9+YR1994_96!C9+YR1997_99!C9+YR2000_02!C9+YR2003_05!C9+YR2006_08!C10+YR2009_11!C11+YR2012_14!C11+YR2015_17!C11+YR2018_20!C11+YR2021_23!C11+YR2024_26!C11</f>
        <v>48903637.190000005</v>
      </c>
      <c r="D11" s="503">
        <f>YR1991_93!D9+YR1994_96!D9+YR1997_99!D9+YR2000_02!D9+YR2003_05!D9+YR2006_08!D10+YR2009_11!D11+YR2012_14!D11+YR2015_17!D11+YR2018_20!D11+YR2021_23!D11+YR2024_26!D11</f>
        <v>523623</v>
      </c>
      <c r="E11" s="503">
        <f>YR1991_93!E9+YR1994_96!E9+YR1997_99!E9+YR2000_02!E9+YR2003_05!E9+YR2006_08!E10+YR2009_11!E11+YR2012_14!E11+YR2015_17!E11+YR2018_20!E11+YR2021_23!E11+YR2024_26!E11</f>
        <v>0</v>
      </c>
      <c r="F11" s="503">
        <f>YR1991_93!F9+YR1994_96!F9+YR1997_99!F9+YR2000_02!F9+YR2003_05!F9+YR2006_08!F10+YR2009_11!F11+YR2012_14!F11+YR2015_17!F11+YR2018_20!F11+YR2021_23!F11+YR2024_26!F11</f>
        <v>2310708.5300000003</v>
      </c>
      <c r="G11" s="504">
        <f>[2]Summary!$D$101</f>
        <v>517558.62613258261</v>
      </c>
    </row>
    <row r="12" spans="1:17" ht="17.25" customHeight="1">
      <c r="A12" s="505" t="s">
        <v>70</v>
      </c>
      <c r="B12" s="503">
        <f>YR1991_93!B10+YR1994_96!B10+YR1997_99!B10+YR2000_02!B10+YR2003_05!B10+YR2006_08!B11+YR2009_11!B12+YR2012_14!B12+YR2015_17!B12+YR2018_20!B12+YR2021_23!B12+YR2024_26!B12</f>
        <v>2137413.9949468016</v>
      </c>
      <c r="C12" s="503">
        <f>YR1991_93!C10+YR1994_96!C10+YR1997_99!C10+YR2000_02!C10+YR2003_05!C10+YR2006_08!C11+YR2009_11!C12+YR2012_14!C12+YR2015_17!C12+YR2018_20!C12+YR2021_23!C12+YR2024_26!C12</f>
        <v>311682.67</v>
      </c>
      <c r="D12" s="503">
        <f>YR1991_93!D10+YR1994_96!D10+YR1997_99!D10+YR2000_02!D10+YR2003_05!D10+YR2006_08!D11+YR2009_11!D12+YR2012_14!D12+YR2015_17!D12+YR2018_20!D12+YR2021_23!D12+YR2024_26!D12</f>
        <v>0</v>
      </c>
      <c r="E12" s="503">
        <f>YR1991_93!E10+YR1994_96!E10+YR1997_99!E10+YR2000_02!E10+YR2003_05!E10+YR2006_08!E11+YR2009_11!E12+YR2012_14!E12+YR2015_17!E12+YR2018_20!E12+YR2021_23!E12+YR2024_26!E12</f>
        <v>0</v>
      </c>
      <c r="F12" s="503">
        <f>YR1991_93!F10+YR1994_96!F10+YR1997_99!F10+YR2000_02!F10+YR2003_05!F10+YR2006_08!F11+YR2009_11!F12+YR2012_14!F12+YR2015_17!F12+YR2018_20!F12+YR2021_23!F12+YR2024_26!F12</f>
        <v>1825731.3249468016</v>
      </c>
      <c r="G12" s="504">
        <v>0</v>
      </c>
    </row>
    <row r="13" spans="1:17" ht="17.25" customHeight="1">
      <c r="A13" s="506" t="s">
        <v>71</v>
      </c>
      <c r="B13" s="503">
        <f>YR1991_93!B11+YR1994_96!B11+YR1997_99!B11+YR2000_02!B11+YR2003_05!B11+YR2006_08!B12+YR2009_11!B13+YR2012_14!B13+YR2015_17!B13+YR2018_20!B13+YR2021_23!B13+YR2024_26!B13</f>
        <v>4338659.1400000006</v>
      </c>
      <c r="C13" s="503">
        <f>YR1991_93!C11+YR1994_96!C11+YR1997_99!C11+YR2000_02!C11+YR2003_05!C11+YR2006_08!C12+YR2009_11!C13+YR2012_14!C13+YR2015_17!C13+YR2018_20!C13+YR2021_23!C13+YR2024_26!C13</f>
        <v>1069991</v>
      </c>
      <c r="D13" s="503">
        <f>YR1991_93!D11+YR1994_96!D11+YR1997_99!D11+YR2000_02!D11+YR2003_05!D11+YR2006_08!D12+YR2009_11!D13+YR2012_14!D13+YR2015_17!D13+YR2018_20!D13+YR2021_23!D13+YR2024_26!D13</f>
        <v>0</v>
      </c>
      <c r="E13" s="503">
        <f>YR1991_93!E11+YR1994_96!E11+YR1997_99!E11+YR2000_02!E11+YR2003_05!E11+YR2006_08!E12+YR2009_11!E13+YR2012_14!E13+YR2015_17!E13+YR2018_20!E13+YR2021_23!E13+YR2024_26!E13</f>
        <v>0</v>
      </c>
      <c r="F13" s="503">
        <f>YR1991_93!F11+YR1994_96!F11+YR1997_99!F11+YR2000_02!F11+YR2003_05!F11+YR2006_08!F12+YR2009_11!F13+YR2012_14!F13+YR2015_17!F13+YR2018_20!F13+YR2021_23!F13+YR2024_26!F13</f>
        <v>3268668.14</v>
      </c>
      <c r="G13" s="504">
        <v>0</v>
      </c>
    </row>
    <row r="14" spans="1:17" ht="17.25" customHeight="1">
      <c r="A14" s="506" t="s">
        <v>72</v>
      </c>
      <c r="B14" s="503">
        <f>YR1991_93!B12+YR1994_96!B12+YR1997_99!B12+YR2000_02!B12+YR2003_05!B12+YR2006_08!B13+YR2009_11!B14+YR2012_14!B14+YR2015_17!B14+YR2018_20!B14+YR2021_23!B14+YR2024_26!B14</f>
        <v>64038772.370000005</v>
      </c>
      <c r="C14" s="503">
        <f>YR1991_93!C12+YR1994_96!C12+YR1997_99!C12+YR2000_02!C12+YR2003_05!C12+YR2006_08!C13+YR2009_11!C14+YR2012_14!C14+YR2015_17!C14+YR2018_20!C14+YR2021_23!C14+YR2024_26!C14</f>
        <v>64038772.700000003</v>
      </c>
      <c r="D14" s="503">
        <f>YR1991_93!D12+YR1994_96!D12+YR1997_99!D12+YR2000_02!D12+YR2003_05!D12+YR2006_08!D13+YR2009_11!D14+YR2012_14!D14+YR2015_17!D14+YR2018_20!D14+YR2021_23!D14+YR2024_26!D14</f>
        <v>0</v>
      </c>
      <c r="E14" s="503">
        <f>YR1991_93!E12+YR1994_96!E12+YR1997_99!E12+YR2000_02!E12+YR2003_05!E12+YR2006_08!E13+YR2009_11!E14+YR2012_14!E14+YR2015_17!E14+YR2018_20!E14+YR2021_23!E14+YR2024_26!E14</f>
        <v>0</v>
      </c>
      <c r="F14" s="503">
        <f>YR1991_93!F12+YR1994_96!F12+YR1997_99!F12+YR2000_02!F12+YR2003_05!F12+YR2006_08!F13+YR2009_11!F14+YR2012_14!F14+YR2015_17!F14+YR2018_20!F14+YR2021_23!F14+YR2024_26!F14</f>
        <v>-0.33000000007450581</v>
      </c>
      <c r="G14" s="504">
        <f>[3]Summary!$D$102</f>
        <v>2544028.0918142796</v>
      </c>
    </row>
    <row r="15" spans="1:17" ht="17.25" customHeight="1">
      <c r="A15" s="506" t="s">
        <v>73</v>
      </c>
      <c r="B15" s="503">
        <f>YR1991_93!B14+YR1994_96!B14+YR1997_99!B14+YR2000_02!B13+YR2003_05!B13+YR2006_08!B14+YR2009_11!B15+YR2012_14!B15+YR2015_17!B15+YR2018_20!B15+YR2021_23!B15+YR2024_26!B15</f>
        <v>2593621.08</v>
      </c>
      <c r="C15" s="503">
        <f>YR1991_93!C14+YR1994_96!C14+YR1997_99!C14+YR2000_02!C13+YR2003_05!C13+YR2006_08!C14+YR2009_11!C15+YR2012_14!C15+YR2015_17!C15+YR2018_20!C15+YR2021_23!C15+YR2024_26!C15</f>
        <v>2427391.08</v>
      </c>
      <c r="D15" s="503">
        <f>YR1991_93!D14+YR1994_96!D14+YR1997_99!D14+YR2000_02!D13+YR2003_05!D13+YR2006_08!D14+YR2009_11!D15+YR2012_14!D15+YR2015_17!D15+YR2018_20!D15+YR2021_23!D15+YR2024_26!D15</f>
        <v>0</v>
      </c>
      <c r="E15" s="503">
        <f>YR1991_93!E14+YR1994_96!E14+YR1997_99!E14+YR2000_02!E13+YR2003_05!E13+YR2006_08!E14+YR2009_11!E15+YR2012_14!E15+YR2015_17!E15+YR2018_20!E15+YR2021_23!E15+YR2024_26!E15</f>
        <v>0</v>
      </c>
      <c r="F15" s="503">
        <f>YR1991_93!F14+YR1994_96!F14+YR1997_99!F14+YR2000_02!F13+YR2003_05!F13+YR2006_08!F14+YR2009_11!F15+YR2012_14!F15+YR2015_17!F15+YR2018_20!F15+YR2021_23!F15+YR2024_26!F15</f>
        <v>166230</v>
      </c>
      <c r="G15" s="504">
        <v>0</v>
      </c>
      <c r="I15" s="356"/>
    </row>
    <row r="16" spans="1:17" ht="17.25" customHeight="1">
      <c r="A16" s="502" t="s">
        <v>74</v>
      </c>
      <c r="B16" s="503">
        <f>YR1991_93!B15+YR1994_96!B15+YR1997_99!B15+YR2000_02!B14+YR2003_05!B14+YR2006_08!B15+YR2009_11!B16+YR2012_14!B16+YR2015_17!B16+YR2018_20!B16+YR2021_23!B16+YR2024_26!B16</f>
        <v>184964833.69999999</v>
      </c>
      <c r="C16" s="503">
        <f>YR1991_93!C15+YR1994_96!C15+YR1997_99!C15+YR2000_02!C14+YR2003_05!C14+YR2006_08!C15+YR2009_11!C16+YR2012_14!C16+YR2015_17!C16+YR2018_20!C16+YR2021_23!C16+YR2024_26!C16</f>
        <v>166260836.25021628</v>
      </c>
      <c r="D16" s="503">
        <f>YR1991_93!D15+YR1994_96!D15+YR1997_99!D15+YR2000_02!D14+YR2003_05!D14+YR2006_08!D15+YR2009_11!D16+YR2012_14!D16+YR2015_17!D16+YR2018_20!D16+YR2021_23!D16+YR2024_26!D16</f>
        <v>10802182.1</v>
      </c>
      <c r="E16" s="503">
        <f>YR1991_93!E15+YR1994_96!E15+YR1997_99!E15+YR2000_02!E14+YR2003_05!E14+YR2006_08!E15+YR2009_11!E16+YR2012_14!E16+YR2015_17!E16+YR2018_20!E16+YR2021_23!E16+YR2024_26!E16</f>
        <v>0</v>
      </c>
      <c r="F16" s="503">
        <f>YR1991_93!F15+YR1994_96!F15+YR1997_99!F15+YR2000_02!F14+YR2003_05!F14+YR2006_08!F15+YR2009_11!F16+YR2012_14!F16+YR2015_17!F16+YR2018_20!F16+YR2021_23!F16+YR2024_26!F16</f>
        <v>7901815.3497837223</v>
      </c>
      <c r="G16" s="504">
        <f>[2]Summary!$D$103</f>
        <v>-1070816.9367961115</v>
      </c>
      <c r="H16" s="28"/>
      <c r="I16" s="356"/>
    </row>
    <row r="17" spans="1:10" ht="17.25" customHeight="1">
      <c r="A17" s="506" t="s">
        <v>75</v>
      </c>
      <c r="B17" s="503">
        <f>YR2012_14!B17+YR2015_17!B17+YR2018_20!B17+YR2021_23!B17+YR2024_26!B17</f>
        <v>2547512.94</v>
      </c>
      <c r="C17" s="503">
        <f>YR2012_14!C17+YR2015_17!C17+YR2018_20!C17+YR2021_23!C17+YR2024_26!C17</f>
        <v>2277389.38</v>
      </c>
      <c r="D17" s="503">
        <f>YR2012_14!D17+YR2015_17!D17+YR2018_20!D17+YR2021_23!D17+YR2024_26!D17</f>
        <v>0</v>
      </c>
      <c r="E17" s="503">
        <f>YR2012_14!E17+YR2015_17!E17+YR2018_20!E17+YR2021_23!E17+YR2024_26!E17</f>
        <v>0</v>
      </c>
      <c r="F17" s="503">
        <f>YR2012_14!F17+YR2015_17!F17+YR2018_20!F17+YR2021_23!F17+YR2024_26!F17</f>
        <v>270123.56000000006</v>
      </c>
      <c r="G17" s="504">
        <f>[2]Summary!$D$104</f>
        <v>179764.44969109265</v>
      </c>
    </row>
    <row r="18" spans="1:10" ht="17.25" customHeight="1">
      <c r="A18" s="681" t="s">
        <v>76</v>
      </c>
      <c r="B18" s="503">
        <f>YR1991_93!B16+YR1994_96!B16+YR1997_99!B16+YR2006_08!B16+YR2009_11!B17+YR2012_14!B18+YR2015_17!B18+YR2018_20!B18+YR2021_23!B18+YR2024_26!B18</f>
        <v>1790019.25</v>
      </c>
      <c r="C18" s="503">
        <f>YR1991_93!C16+YR1994_96!C16+YR1997_99!C16+YR2006_08!C16+YR2009_11!C17+YR2012_14!C18+YR2015_17!C18+YR2018_20!C18+YR2021_23!C18+YR2024_26!C18</f>
        <v>1683157.27</v>
      </c>
      <c r="D18" s="503">
        <f>YR1991_93!D16+YR1994_96!D16+YR1997_99!D16+YR2006_08!D16+YR2009_11!D17+YR2012_14!D18+YR2015_17!D18+YR2018_20!D18+YR2021_23!D18+YR2024_26!D18</f>
        <v>0</v>
      </c>
      <c r="E18" s="503">
        <f>YR1991_93!E16+YR1994_96!E16+YR1997_99!E16+YR2006_08!E16+YR2009_11!E17+YR2012_14!E18+YR2015_17!E18+YR2018_20!E18+YR2021_23!E18+YR2024_26!E18</f>
        <v>0</v>
      </c>
      <c r="F18" s="503">
        <f>YR1991_93!F16+YR1994_96!F16+YR1997_99!F16+YR2006_08!F16+YR2009_11!F17+YR2012_14!F18+YR2015_17!F18+YR2018_20!F18+YR2021_23!F18+YR2024_26!F18</f>
        <v>106861.97999999998</v>
      </c>
      <c r="G18" s="504">
        <f>[2]Summary!$D$105</f>
        <v>50507.634293122384</v>
      </c>
    </row>
    <row r="19" spans="1:10" ht="17.25" customHeight="1">
      <c r="A19" s="681" t="s">
        <v>77</v>
      </c>
      <c r="B19" s="503">
        <f>YR1991_93!B17+YR1994_96!B17+YR1997_99!B17+YR2000_02!B15+YR2003_05!B15+YR2006_08!B17+YR2009_11!B18+YR2012_14!B19+YR2015_17!B19+YR2018_20!B19+YR2021_23!B19+YR2024_26!B19</f>
        <v>18219049.199999999</v>
      </c>
      <c r="C19" s="503">
        <f>YR1991_93!C17+YR1994_96!C17+YR1997_99!C17+YR2000_02!C15+YR2003_05!C15+YR2006_08!C17+YR2009_11!C18+YR2012_14!C19+YR2015_17!C19+YR2018_20!C19+YR2021_23!C19+YR2024_26!C19</f>
        <v>17942115.859999999</v>
      </c>
      <c r="D19" s="503">
        <f>YR1991_93!D17+YR1994_96!D17+YR1997_99!D17+YR2000_02!D15+YR2003_05!D15+YR2006_08!D17+YR2009_11!D18+YR2012_14!D19+YR2015_17!D19+YR2018_20!D19+YR2021_23!D19+YR2024_26!D19</f>
        <v>276933</v>
      </c>
      <c r="E19" s="503">
        <f>YR1991_93!E17+YR1994_96!E17+YR1997_99!E17+YR2000_02!E15+YR2003_05!E15+YR2006_08!E17+YR2009_11!E18+YR2012_14!E19+YR2015_17!E19+YR2018_20!E19+YR2021_23!E19+YR2024_26!E19</f>
        <v>0</v>
      </c>
      <c r="F19" s="503">
        <f>YR1991_93!F17+YR1994_96!F17+YR1997_99!F17+YR2000_02!F15+YR2003_05!F15+YR2006_08!F17+YR2009_11!F18+YR2012_14!F19+YR2015_17!F19+YR2018_20!F19+YR2021_23!F19+YR2024_26!F19</f>
        <v>0.33999999985098839</v>
      </c>
      <c r="G19" s="504">
        <f>[2]Summary!$D$106</f>
        <v>726084.80068758852</v>
      </c>
    </row>
    <row r="20" spans="1:10" ht="17.25" customHeight="1">
      <c r="A20" s="502" t="s">
        <v>78</v>
      </c>
      <c r="B20" s="503">
        <f>YR1991_93!B18+YR1994_96!B18+YR1997_99!B18+YR2000_02!B16+YR2003_05!B16+YR2006_08!B18+YR2009_11!B19+YR2012_14!B20+YR2015_17!B20+YR2018_20!B20+YR2021_23!B20+YR2024_26!B20</f>
        <v>42590146.019999996</v>
      </c>
      <c r="C20" s="503">
        <f>YR1991_93!C18+YR1994_96!C18+YR1997_99!C18+YR2000_02!C16+YR2003_05!C16+YR2006_08!C18+YR2009_11!C19+YR2012_14!C20+YR2015_17!C20+YR2018_20!C20+YR2021_23!C20+YR2024_26!C20</f>
        <v>40787570.719999999</v>
      </c>
      <c r="D20" s="503">
        <f>YR1991_93!D18+YR1994_96!D18+YR1997_99!D18+YR2000_02!D16+YR2003_05!D16+YR2006_08!D18+YR2009_11!D19+YR2012_14!D20+YR2015_17!D20+YR2018_20!D20+YR2021_23!D20+YR2024_26!D20</f>
        <v>161053</v>
      </c>
      <c r="E20" s="503">
        <f>YR1991_93!E18+YR1994_96!E18+YR1997_99!E18+YR2000_02!E16+YR2003_05!E16+YR2006_08!E18+YR2009_11!E19+YR2012_14!E20+YR2015_17!E20+YR2018_20!E20+YR2021_23!E20+YR2024_26!E20</f>
        <v>0</v>
      </c>
      <c r="F20" s="503">
        <f>YR1991_93!F18+YR1994_96!F18+YR1997_99!F18+YR2000_02!F16+YR2003_05!F16+YR2006_08!F18+YR2009_11!F19+YR2012_14!F20+YR2015_17!F20+YR2018_20!F20+YR2021_23!F20+YR2024_26!F20</f>
        <v>1641522.3000000007</v>
      </c>
      <c r="G20" s="504">
        <f>[2]Summary!$D$107</f>
        <v>4379.2182163185207</v>
      </c>
    </row>
    <row r="21" spans="1:10" ht="17.25" customHeight="1">
      <c r="A21" s="506" t="s">
        <v>79</v>
      </c>
      <c r="B21" s="503">
        <f>YR1991_93!B19+YR1994_96!B19+YR1997_99!B19+YR2000_02!B17+YR2003_05!B17+YR2006_08!B19+YR2009_11!B20+YR2012_14!B21+YR2015_17!B21+YR2018_20!B21+YR2021_23!B21+YR2024_26!B21</f>
        <v>1439613.46</v>
      </c>
      <c r="C21" s="503">
        <f>YR1991_93!C19+YR1994_96!C19+YR1997_99!C19+YR2000_02!C17+YR2003_05!C17+YR2006_08!C19+YR2009_11!C20+YR2012_14!C21+YR2015_17!C21+YR2018_20!C21+YR2021_23!C21+YR2024_26!C21</f>
        <v>1439612.54</v>
      </c>
      <c r="D21" s="503">
        <f>YR1991_93!D19+YR1994_96!D19+YR1997_99!D19+YR2000_02!D17+YR2003_05!D17+YR2006_08!D19+YR2009_11!D20+YR2012_14!D21+YR2015_17!D21+YR2018_20!D21+YR2021_23!D21+YR2024_26!D21</f>
        <v>0</v>
      </c>
      <c r="E21" s="503">
        <f>YR1991_93!E19+YR1994_96!E19+YR1997_99!E19+YR2000_02!E17+YR2003_05!E17+YR2006_08!E19+YR2009_11!E20+YR2012_14!E21+YR2015_17!E21+YR2018_20!E21+YR2021_23!E21+YR2024_26!E21</f>
        <v>0</v>
      </c>
      <c r="F21" s="503">
        <f>YR1991_93!F19+YR1994_96!F19+YR1997_99!F19+YR2000_02!F17+YR2003_05!F17+YR2006_08!F19+YR2009_11!F20+YR2012_14!F21+YR2015_17!F21+YR2018_20!F21+YR2021_23!F21+YR2024_26!F21</f>
        <v>0.9200000000273576</v>
      </c>
      <c r="G21" s="504">
        <f>[3]Summary!$D$108</f>
        <v>58850.667911263947</v>
      </c>
    </row>
    <row r="22" spans="1:10" ht="17.25" customHeight="1">
      <c r="A22" s="506" t="s">
        <v>80</v>
      </c>
      <c r="B22" s="503">
        <f>YR1991_93!B20+YR1994_96!B20+YR1997_99!B20+YR2000_02!B18+YR2003_05!B18+YR2006_08!B20+YR2009_11!B21+YR2012_14!B22+YR2015_17!B22+YR2018_20!B22+YR2021_23!B22+YR2024_26!B22</f>
        <v>33146393.100000001</v>
      </c>
      <c r="C22" s="503">
        <f>YR1991_93!C20+YR1994_96!C20+YR1997_99!C20+YR2000_02!C18+YR2003_05!C18+YR2006_08!C20+YR2009_11!C21+YR2012_14!C22+YR2015_17!C22+YR2018_20!C22+YR2021_23!C22+YR2024_26!C22</f>
        <v>31586268.650000002</v>
      </c>
      <c r="D22" s="503">
        <f>YR1991_93!D20+YR1994_96!D20+YR1997_99!D20+YR2000_02!D18+YR2003_05!D18+YR2006_08!D20+YR2009_11!D21+YR2012_14!D22+YR2015_17!D22+YR2018_20!D22+YR2021_23!D22+YR2024_26!D22</f>
        <v>322303</v>
      </c>
      <c r="E22" s="503">
        <f>YR1991_93!E20+YR1994_96!E20+YR1997_99!E20+YR2000_02!E18+YR2003_05!E18+YR2006_08!E20+YR2009_11!E21+YR2012_14!E22+YR2015_17!E22+YR2018_20!E22+YR2021_23!E22+YR2024_26!E22</f>
        <v>0</v>
      </c>
      <c r="F22" s="503">
        <f>YR1991_93!F20+YR1994_96!F20+YR1997_99!F20+YR2000_02!F18+YR2003_05!F18+YR2006_08!F20+YR2009_11!F21+YR2012_14!F22+YR2015_17!F22+YR2018_20!F22+YR2021_23!F22+YR2024_26!F22</f>
        <v>1237821.4500000002</v>
      </c>
      <c r="G22" s="504">
        <f>[2]Summary!$D$109</f>
        <v>-58592.863029833126</v>
      </c>
      <c r="H22" s="75"/>
    </row>
    <row r="23" spans="1:10" ht="17.25" customHeight="1">
      <c r="A23" s="502" t="s">
        <v>81</v>
      </c>
      <c r="B23" s="503">
        <f>YR1991_93!B21+YR1994_96!B21+YR1997_99!B21+YR2000_02!B19+YR2003_05!B19+YR2006_08!B21+YR2009_11!B22+YR2012_14!B23+YR2015_17!B23+YR2018_20!B23+YR2021_23!B23+YR2024_26!B23</f>
        <v>364381575.49000001</v>
      </c>
      <c r="C23" s="503">
        <f>YR1991_93!C21+YR1994_96!C21+YR1997_99!C21+YR2000_02!C19+YR2003_05!C19+YR2006_08!C21+YR2009_11!C22+YR2012_14!C23+YR2015_17!C23+YR2018_20!C23+YR2021_23!C23+YR2024_26!C23</f>
        <v>334891652.45999998</v>
      </c>
      <c r="D23" s="503">
        <f>YR1991_93!D21+YR1994_96!D21+YR1997_99!D21+YR2000_02!D19+YR2003_05!D19+YR2006_08!D21+YR2009_11!D22+YR2012_14!D23+YR2015_17!D23+YR2018_20!D23+YR2021_23!D23+YR2024_26!D23</f>
        <v>16672393.039999999</v>
      </c>
      <c r="E23" s="503">
        <f>YR1991_93!E21+YR1994_96!E21+YR1997_99!E21+YR2000_02!E19+YR2003_05!E19+YR2006_08!E21+YR2009_11!E22+YR2012_14!E23+YR2015_17!E23+YR2018_20!E23+YR2021_23!E23+YR2024_26!E23</f>
        <v>0</v>
      </c>
      <c r="F23" s="503">
        <f>YR1991_93!F21+YR1994_96!F21+YR1997_99!F21+YR2000_02!F19+YR2003_05!F19+YR2006_08!F21+YR2009_11!F22+YR2012_14!F23+YR2015_17!F23+YR2018_20!F23+YR2021_23!F23+YR2024_26!F23</f>
        <v>12817529.990000006</v>
      </c>
      <c r="G23" s="504">
        <f>[2]Summary!$D$110</f>
        <v>-4326929.1537742922</v>
      </c>
      <c r="H23" s="76"/>
      <c r="I23" s="28"/>
    </row>
    <row r="24" spans="1:10" ht="17.25" customHeight="1">
      <c r="A24" s="506" t="s">
        <v>82</v>
      </c>
      <c r="B24" s="503">
        <f>YR1991_93!B23+YR1994_96!B23+YR1997_99!B23+YR2000_02!B20+YR2003_05!B20+YR2006_08!B22+YR2009_11!B23+YR2012_14!B24+YR2015_17!B24+YR2018_20!B24+YR2021_23!B24+YR2024_26!B24</f>
        <v>511487568.87999994</v>
      </c>
      <c r="C24" s="503">
        <f>YR1991_93!C23+YR1994_96!C23+YR1997_99!C23+YR2000_02!C20+YR2003_05!C20+YR2006_08!C22+YR2009_11!C23+YR2012_14!C24+YR2015_17!C24+YR2018_20!C24+YR2021_23!C24+YR2024_26!C24</f>
        <v>408116546.33000004</v>
      </c>
      <c r="D24" s="503">
        <f>YR1991_93!D23+YR1994_96!D23+YR1997_99!D23+YR2000_02!D20+YR2003_05!D20+YR2006_08!D22+YR2009_11!D23+YR2012_14!D24+YR2015_17!D24+YR2018_20!D24+YR2021_23!D24+YR2024_26!D24</f>
        <v>85595234</v>
      </c>
      <c r="E24" s="503">
        <f>YR1991_93!E23+YR1994_96!E23+YR1997_99!E23+YR2000_02!E20+YR2003_05!E20+YR2006_08!E22+YR2009_11!E23+YR2012_14!E24+YR2015_17!E24+YR2018_20!E24+YR2021_23!E24+YR2024_26!E24</f>
        <v>-0.10985664278268814</v>
      </c>
      <c r="F24" s="503">
        <f>YR1991_93!F23+YR1994_96!F23+YR1997_99!F23+YR2000_02!F20+YR2003_05!F20+YR2006_08!F22+YR2009_11!F23+YR2012_14!F24+YR2015_17!F24+YR2018_20!F24+YR2021_23!F24+YR2024_26!F24</f>
        <v>17775788.65985664</v>
      </c>
      <c r="G24" s="504">
        <f>[3]Summary!$D$111</f>
        <v>7263875.3918412859</v>
      </c>
      <c r="H24" s="28"/>
      <c r="I24" s="28"/>
    </row>
    <row r="25" spans="1:10" ht="17.25" customHeight="1">
      <c r="A25" s="681" t="s">
        <v>83</v>
      </c>
      <c r="B25" s="503">
        <f>YR1991_93!B24+YR1994_96!B24+YR1997_99!B24+YR2000_02!B21+YR2003_05!B21+YR2006_08!B23+YR2009_11!B24+YR2012_14!B25+YR2015_17!B25+YR2018_20!B25+YR2021_23!B25+YR2024_26!B25</f>
        <v>30250513.240000002</v>
      </c>
      <c r="C25" s="503">
        <f>YR1991_93!C24+YR1994_96!C24+YR1997_99!C24+YR2000_02!C21+YR2003_05!C21+YR2006_08!C23+YR2009_11!C24+YR2012_14!C25+YR2015_17!C25+YR2018_20!C25+YR2021_23!C25+YR2024_26!C25</f>
        <v>30250513.109999999</v>
      </c>
      <c r="D25" s="503">
        <f>YR1991_93!D24+YR1994_96!D24+YR1997_99!D24+YR2000_02!D21+YR2003_05!D21+YR2006_08!D23+YR2009_11!D24+YR2012_14!D25+YR2015_17!D25+YR2018_20!D25+YR2021_23!D25+YR2024_26!D25</f>
        <v>0</v>
      </c>
      <c r="E25" s="503">
        <f>YR1991_93!E24+YR1994_96!E24+YR1997_99!E24+YR2000_02!E21+YR2003_05!E21+YR2006_08!E23+YR2009_11!E24+YR2012_14!E25+YR2015_17!E25+YR2018_20!E25+YR2021_23!E25+YR2024_26!E25</f>
        <v>0</v>
      </c>
      <c r="F25" s="503">
        <f>YR1991_93!F24+YR1994_96!F24+YR1997_99!F24+YR2000_02!F21+YR2003_05!F21+YR2006_08!F23+YR2009_11!F24+YR2012_14!F25+YR2015_17!F25+YR2018_20!F25+YR2021_23!F25+YR2024_26!F25</f>
        <v>0.13000000081956387</v>
      </c>
      <c r="G25" s="504">
        <f>[3]Summary!$D$112</f>
        <v>-1224610.7613075883</v>
      </c>
      <c r="H25" s="28"/>
      <c r="I25" s="28"/>
    </row>
    <row r="26" spans="1:10" ht="17.25" customHeight="1">
      <c r="A26" s="681" t="s">
        <v>84</v>
      </c>
      <c r="B26" s="503">
        <f>YR2012_14!B26+YR2015_17!B26+YR2018_20!B26+YR2021_23!B26+YR2024_26!B26</f>
        <v>29428.79</v>
      </c>
      <c r="C26" s="503">
        <f>YR2012_14!C26+YR2015_17!C26+YR2018_20!C26+YR2021_23!C26+YR2024_26!C26</f>
        <v>29428.79</v>
      </c>
      <c r="D26" s="503">
        <f>YR2012_14!D26+YR2015_17!D26+YR2018_20!D26+YR2021_23!D26+YR2024_26!D26</f>
        <v>0</v>
      </c>
      <c r="E26" s="503">
        <f>YR2012_14!E26+YR2015_17!E26+YR2018_20!E26+YR2021_23!E26+YR2024_26!E26</f>
        <v>0</v>
      </c>
      <c r="F26" s="503">
        <f>YR2012_14!F26+YR2015_17!F26+YR2018_20!F26+YR2021_23!F26+YR2024_26!F26</f>
        <v>0</v>
      </c>
      <c r="G26" s="504">
        <v>0</v>
      </c>
      <c r="H26" s="28"/>
      <c r="I26" s="28"/>
    </row>
    <row r="27" spans="1:10" ht="17.25" customHeight="1">
      <c r="A27" s="502" t="s">
        <v>85</v>
      </c>
      <c r="B27" s="503">
        <f>YR1991_93!B25+YR1994_96!B25+YR1997_99!B25+YR2000_02!B22+YR2003_05!B22+YR2006_08!B24+YR2009_11!B25+YR2012_14!B27+YR2015_17!B27+YR2018_20!B27+YR2021_23!B27+YR2024_26!B27</f>
        <v>11906845.199999999</v>
      </c>
      <c r="C27" s="503">
        <f>YR1991_93!C25+YR1994_96!C25+YR1997_99!C25+YR2000_02!C22+YR2003_05!C22+YR2006_08!C24+YR2009_11!C25+YR2012_14!C27+YR2015_17!C27+YR2018_20!C27+YR2021_23!C27+YR2024_26!C27</f>
        <v>11860351.199999999</v>
      </c>
      <c r="D27" s="503">
        <f>YR1991_93!D25+YR1994_96!D25+YR1997_99!D25+YR2000_02!D22+YR2003_05!D22+YR2006_08!D24+YR2009_11!D25+YR2012_14!D27+YR2015_17!D27+YR2018_20!D27+YR2021_23!D27+YR2024_26!D27</f>
        <v>46494</v>
      </c>
      <c r="E27" s="503">
        <f>YR1991_93!E25+YR1994_96!E25+YR1997_99!E25+YR2000_02!E22+YR2003_05!E22+YR2006_08!E24+YR2009_11!E25+YR2012_14!E27+YR2015_17!E27+YR2018_20!E27+YR2021_23!E27+YR2024_26!E27</f>
        <v>0</v>
      </c>
      <c r="F27" s="503">
        <f>YR1991_93!F25+YR1994_96!F25+YR1997_99!F25+YR2000_02!F22+YR2003_05!F22+YR2006_08!F24+YR2009_11!F25+YR2012_14!F27+YR2015_17!F27+YR2018_20!F27+YR2021_23!F27+YR2024_26!F27</f>
        <v>0</v>
      </c>
      <c r="G27" s="504">
        <f>[2]Summary!$D$113</f>
        <v>102931.95168235083</v>
      </c>
      <c r="I27" s="28"/>
    </row>
    <row r="28" spans="1:10" ht="17.25" customHeight="1">
      <c r="A28" s="506" t="s">
        <v>86</v>
      </c>
      <c r="B28" s="503">
        <f>YR1991_93!B26+YR1994_96!B26+YR1997_99!B26+YR2000_02!B23+YR2003_05!B23+YR2006_08!B25+YR2009_11!B26+YR2012_14!B28+YR2015_17!B28+YR2018_20!B28+YR2021_23!B28+YR2024_26!B28</f>
        <v>1984696.2000000002</v>
      </c>
      <c r="C28" s="503">
        <f>YR1991_93!C26+YR1994_96!C26+YR1997_99!C26+YR2000_02!C23+YR2003_05!C23+YR2006_08!C25+YR2009_11!C26+YR2012_14!C28+YR2015_17!C28+YR2018_20!C28+YR2021_23!C28+YR2024_26!C28</f>
        <v>1659566.84</v>
      </c>
      <c r="D28" s="503">
        <f>YR1991_93!D26+YR1994_96!D26+YR1997_99!D26+YR2000_02!D23+YR2003_05!D23+YR2006_08!D25+YR2009_11!D26+YR2012_14!D28+YR2015_17!D28+YR2018_20!D28+YR2021_23!D28+YR2024_26!D28</f>
        <v>0</v>
      </c>
      <c r="E28" s="503">
        <f>YR1991_93!E26+YR1994_96!E26+YR1997_99!E26+YR2000_02!E23+YR2003_05!E23+YR2006_08!E25+YR2009_11!E26+YR2012_14!E28+YR2015_17!E28+YR2018_20!E28+YR2021_23!E28+YR2024_26!E28</f>
        <v>0</v>
      </c>
      <c r="F28" s="503">
        <f>YR1991_93!F26+YR1994_96!F26+YR1997_99!F26+YR2000_02!F23+YR2003_05!F23+YR2006_08!F25+YR2009_11!F26+YR2012_14!F28+YR2015_17!F28+YR2018_20!F28+YR2021_23!F28+YR2024_26!F28</f>
        <v>325129.36</v>
      </c>
      <c r="G28" s="504">
        <f>[2]Summary!$D$114</f>
        <v>51218.003903283177</v>
      </c>
      <c r="H28" s="28"/>
      <c r="I28" s="28"/>
    </row>
    <row r="29" spans="1:10" ht="17.25" customHeight="1">
      <c r="A29" s="506" t="s">
        <v>87</v>
      </c>
      <c r="B29" s="503">
        <f>YR1991_93!B27+YR1994_96!B27+YR1997_99!B27+YR2000_02!B24+YR2003_05!B24+YR2006_08!B26+YR2009_11!B27+YR2012_14!B29+YR2015_17!B29+YR2018_20!B29+YR2021_23!B29+YR2024_26!B29</f>
        <v>21212789.060000002</v>
      </c>
      <c r="C29" s="503">
        <f>YR1991_93!C27+YR1994_96!C27+YR1997_99!C27+YR2000_02!C24+YR2003_05!C24+YR2006_08!C26+YR2009_11!C27+YR2012_14!C29+YR2015_17!C29+YR2018_20!C29+YR2021_23!C29+YR2024_26!C29</f>
        <v>21212788.859999999</v>
      </c>
      <c r="D29" s="503">
        <f>YR1991_93!D27+YR1994_96!D27+YR1997_99!D27+YR2000_02!D24+YR2003_05!D24+YR2006_08!D26+YR2009_11!D27+YR2012_14!D29+YR2015_17!D29+YR2018_20!D29+YR2021_23!D29+YR2024_26!D29</f>
        <v>0</v>
      </c>
      <c r="E29" s="503">
        <f>YR1991_93!E27+YR1994_96!E27+YR1997_99!E27+YR2000_02!E24+YR2003_05!E24+YR2006_08!E26+YR2009_11!E27+YR2012_14!E29+YR2015_17!E29+YR2018_20!E29+YR2021_23!E29+YR2024_26!E29</f>
        <v>0</v>
      </c>
      <c r="F29" s="503">
        <f>YR1991_93!F27+YR1994_96!F27+YR1997_99!F27+YR2000_02!F24+YR2003_05!F24+YR2006_08!F26+YR2009_11!F27+YR2012_14!F29+YR2015_17!F29+YR2018_20!F29+YR2021_23!F29+YR2024_26!F29</f>
        <v>0.19999999995343387</v>
      </c>
      <c r="G29" s="504">
        <f>[2]Summary!$D$115</f>
        <v>897883.79583348893</v>
      </c>
    </row>
    <row r="30" spans="1:10" ht="17.25" customHeight="1">
      <c r="A30" s="506" t="s">
        <v>88</v>
      </c>
      <c r="B30" s="503">
        <f>YR1991_93!B28+YR1994_96!B28+YR1997_99!B28+YR2000_02!B25+YR2003_05!B25+YR2006_08!B27+YR2009_11!B28+YR2012_14!B30+YR2015_17!B30+YR2018_20!B30+YR2021_23!B30+YR2024_26!B30</f>
        <v>24664159.43</v>
      </c>
      <c r="C30" s="503">
        <f>YR1991_93!C28+YR1994_96!C28+YR1997_99!C28+YR2000_02!C25+YR2003_05!C25+YR2006_08!C27+YR2009_11!C28+YR2012_14!C30+YR2015_17!C30+YR2018_20!C30+YR2021_23!C30+YR2024_26!C30</f>
        <v>3824671</v>
      </c>
      <c r="D30" s="503">
        <f>YR1991_93!D28+YR1994_96!D28+YR1997_99!D28+YR2000_02!D25+YR2003_05!D25+YR2006_08!D27+YR2009_11!D28+YR2012_14!D30+YR2015_17!D30+YR2018_20!D30+YR2021_23!D30+YR2024_26!D30</f>
        <v>70453</v>
      </c>
      <c r="E30" s="503">
        <f>YR1991_93!E28+YR1994_96!E28+YR1997_99!E28+YR2000_02!E25+YR2003_05!E25+YR2006_08!E27+YR2009_11!E28+YR2012_14!E30+YR2015_17!E30+YR2018_20!E30+YR2021_23!E30+YR2024_26!E30</f>
        <v>0</v>
      </c>
      <c r="F30" s="503">
        <f>YR1991_93!F28+YR1994_96!F28+YR1997_99!F28+YR2000_02!F25+YR2003_05!F25+YR2006_08!F27+YR2009_11!F28+YR2012_14!F30+YR2015_17!F30+YR2018_20!F30+YR2021_23!F30+YR2024_26!F30</f>
        <v>20769035.43</v>
      </c>
      <c r="G30" s="504">
        <v>0</v>
      </c>
    </row>
    <row r="31" spans="1:10" ht="17.25" customHeight="1">
      <c r="A31" s="506" t="s">
        <v>89</v>
      </c>
      <c r="B31" s="503">
        <f>YR1991_93!B29+YR1994_96!B29+YR1997_99!B29+YR2000_02!B26+YR2003_05!B26+YR2006_08!B28+YR2009_11!B29+YR2012_14!B31+YR2015_17!B31+YR2018_20!B31+YR2021_23!B31+YR2024_26!B31</f>
        <v>284616599.31</v>
      </c>
      <c r="C31" s="503">
        <f>YR1991_93!C29+YR1994_96!C29+YR1997_99!C29+YR2000_02!C26+YR2003_05!C26+YR2006_08!C28+YR2009_11!C29+YR2012_14!C31+YR2015_17!C31+YR2018_20!C31+YR2021_23!C31+YR2024_26!C31</f>
        <v>265547028.82999998</v>
      </c>
      <c r="D31" s="503">
        <f>YR1991_93!D29+YR1994_96!D29+YR1997_99!D29+YR2000_02!D26+YR2003_05!D26+YR2006_08!D28+YR2009_11!D29+YR2012_14!D31+YR2015_17!D31+YR2018_20!D31+YR2021_23!D31+YR2024_26!D31</f>
        <v>19069570.640000001</v>
      </c>
      <c r="E31" s="503">
        <f>YR1991_93!E29+YR1994_96!E29+YR1997_99!E29+YR2000_02!E26+YR2003_05!E26+YR2006_08!E28+YR2009_11!E29+YR2012_14!E31+YR2015_17!E31+YR2018_20!E31+YR2021_23!E31+YR2024_26!E31</f>
        <v>0</v>
      </c>
      <c r="F31" s="503">
        <f>YR1991_93!F29+YR1994_96!F29+YR1997_99!F29+YR2000_02!F26+YR2003_05!F26+YR2006_08!F28+YR2009_11!F29+YR2012_14!F31+YR2015_17!F31+YR2018_20!F31+YR2021_23!F31+YR2024_26!F31</f>
        <v>-0.16000000399071723</v>
      </c>
      <c r="G31" s="504">
        <f>[2]Summary!$D$116</f>
        <v>7669715.2762428699</v>
      </c>
      <c r="I31" s="28"/>
    </row>
    <row r="32" spans="1:10" ht="17.25" customHeight="1">
      <c r="A32" s="681" t="s">
        <v>90</v>
      </c>
      <c r="B32" s="503">
        <f>YR1991_93!B30+YR1994_96!B30+YR1997_99!B30+YR2000_02!B27+YR2003_05!B27+YR2006_08!B29+YR2009_11!B30+YR2012_14!B32+YR2015_17!B32+YR2018_20!B32+YR2021_23!B32+YR2024_26!B32</f>
        <v>849210367.43000007</v>
      </c>
      <c r="C32" s="503">
        <f>YR1991_93!C30+YR1994_96!C30+YR1997_99!C30+YR2000_02!C27+YR2003_05!C27+YR2006_08!C29+YR2009_11!C30+YR2012_14!C32+YR2015_17!C32+YR2018_20!C32+YR2021_23!C32+YR2024_26!C32</f>
        <v>805738660.84000003</v>
      </c>
      <c r="D32" s="503">
        <f>YR1991_93!D30+YR1994_96!D30+YR1997_99!D30+YR2000_02!D27+YR2003_05!D27+YR2006_08!D29+YR2009_11!D30+YR2012_14!D32+YR2015_17!D32+YR2018_20!D32+YR2021_23!D32+YR2024_26!D32</f>
        <v>19626592.440000001</v>
      </c>
      <c r="E32" s="503">
        <f>YR1991_93!E30+YR1994_96!E30+YR1997_99!E30+YR2000_02!E27+YR2003_05!E27+YR2006_08!E29+YR2009_11!E30+YR2012_14!E32+YR2015_17!E32+YR2018_20!E32+YR2021_23!E32+YR2024_26!E32</f>
        <v>0</v>
      </c>
      <c r="F32" s="503">
        <f>YR1991_93!F30+YR1994_96!F30+YR1997_99!F30+YR2000_02!F27+YR2003_05!F27+YR2006_08!F29+YR2009_11!F30+YR2012_14!F32+YR2015_17!F32+YR2018_20!F32+YR2021_23!F32+YR2024_26!F32</f>
        <v>23845114.15000001</v>
      </c>
      <c r="G32" s="504">
        <v>0</v>
      </c>
      <c r="J32" s="28"/>
    </row>
    <row r="33" spans="1:10" ht="17.25" customHeight="1">
      <c r="A33" s="683" t="s">
        <v>91</v>
      </c>
      <c r="B33" s="503">
        <f>YR2000_02!B28+YR2003_05!B28+YR2006_08!B30+YR2009_11!B31+YR2012_14!B33+YR2015_17!B33+YR2018_20!B33+YR2021_23!B33+YR2024_26!B33</f>
        <v>4088865.9951725486</v>
      </c>
      <c r="C33" s="503">
        <f>YR2000_02!C28+YR2003_05!C28+YR2006_08!C30+YR2009_11!C31+YR2012_14!C33+YR2015_17!C33+YR2018_20!C33+YR2021_23!C33+YR2024_26!C33</f>
        <v>2406516</v>
      </c>
      <c r="D33" s="503">
        <f>YR2000_02!D28+YR2003_05!D28+YR2006_08!D30+YR2009_11!D31+YR2012_14!D33+YR2015_17!D33+YR2018_20!D33+YR2021_23!D33+YR2024_26!D33</f>
        <v>0</v>
      </c>
      <c r="E33" s="503">
        <f>YR2000_02!E28+YR2003_05!E28+YR2006_08!E30+YR2009_11!E31+YR2012_14!E33+YR2015_17!E33+YR2018_20!E33+YR2021_23!E33+YR2024_26!E33</f>
        <v>0</v>
      </c>
      <c r="F33" s="503">
        <f>YR2000_02!F28+YR2003_05!F28+YR2006_08!F30+YR2009_11!F31+YR2012_14!F33+YR2015_17!F33+YR2018_20!F33+YR2021_23!F33+YR2024_26!F33</f>
        <v>1682349.9951725488</v>
      </c>
      <c r="G33" s="504">
        <v>0</v>
      </c>
      <c r="J33" s="28"/>
    </row>
    <row r="34" spans="1:10" ht="17.25" customHeight="1">
      <c r="A34" s="681" t="s">
        <v>92</v>
      </c>
      <c r="B34" s="503">
        <f>YR1991_93!B31</f>
        <v>286549</v>
      </c>
      <c r="C34" s="503">
        <f>YR1991_93!C31</f>
        <v>286549</v>
      </c>
      <c r="D34" s="503">
        <f>YR1991_93!D31</f>
        <v>0</v>
      </c>
      <c r="E34" s="503">
        <f>YR1991_93!E31</f>
        <v>0</v>
      </c>
      <c r="F34" s="503">
        <f>YR1991_93!F31</f>
        <v>0</v>
      </c>
      <c r="G34" s="504">
        <v>0</v>
      </c>
      <c r="J34" s="28"/>
    </row>
    <row r="35" spans="1:10" ht="17.25" customHeight="1">
      <c r="A35" s="506" t="s">
        <v>93</v>
      </c>
      <c r="B35" s="503">
        <f>YR1991_93!B32+YR1994_96!B32+YR1997_99!B32+YR2000_02!B29+YR2003_05!B29+YR2006_08!B31+YR2009_11!B32+YR2012_14!B34+YR2015_17!B34+YR2018_20!B34+YR2021_23!B34+YR2024_26!B34</f>
        <v>1851626.9</v>
      </c>
      <c r="C35" s="503">
        <f>YR1991_93!C32+YR1994_96!C32+YR1997_99!C32+YR2000_02!C29+YR2003_05!C29+YR2006_08!C31+YR2009_11!C32+YR2012_14!C34+YR2015_17!C34+YR2018_20!C34+YR2021_23!C34+YR2024_26!C34</f>
        <v>1851626.8399999999</v>
      </c>
      <c r="D35" s="503">
        <f>YR1991_93!D32+YR1994_96!D32+YR1997_99!D32+YR2000_02!D29+YR2003_05!D29+YR2006_08!D31+YR2009_11!D32+YR2012_14!D34+YR2015_17!D34+YR2018_20!D34+YR2021_23!D34+YR2024_26!D34</f>
        <v>0</v>
      </c>
      <c r="E35" s="503">
        <f>YR1991_93!E32+YR1994_96!E32+YR1997_99!E32+YR2000_02!E29+YR2003_05!E29+YR2006_08!E31+YR2009_11!E32+YR2012_14!E34+YR2015_17!E34+YR2018_20!E34+YR2021_23!E34+YR2024_26!E34</f>
        <v>0</v>
      </c>
      <c r="F35" s="503">
        <f>YR1991_93!F32+YR1994_96!F32+YR1997_99!F32+YR2000_02!F29+YR2003_05!F29+YR2006_08!F31+YR2009_11!F32+YR2012_14!F34+YR2015_17!F34+YR2018_20!F34+YR2021_23!F34+YR2024_26!F34</f>
        <v>5.9999999983119778E-2</v>
      </c>
      <c r="G35" s="504">
        <f>[2]Summary!$D$117</f>
        <v>-14878.565886757449</v>
      </c>
      <c r="J35" s="28"/>
    </row>
    <row r="36" spans="1:10" ht="17.25" customHeight="1">
      <c r="A36" s="506" t="s">
        <v>94</v>
      </c>
      <c r="B36" s="503">
        <f>YR1991_93!B33+YR1994_96!B33+YR1997_99!B33+YR2000_02!B30+YR2003_05!B30+YR2006_08!B32+YR2009_11!B33+YR2012_14!B35+YR2015_17!B35+YR2018_20!B35+YR2021_23!B35+YR2024_26!B35</f>
        <v>527173.91</v>
      </c>
      <c r="C36" s="503">
        <f>YR1991_93!C33+YR1994_96!C33+YR1997_99!C33+YR2000_02!C30+YR2003_05!C30+YR2006_08!C32+YR2009_11!C33+YR2012_14!C35+YR2015_17!C35+YR2018_20!C35+YR2021_23!C35+YR2024_26!C35</f>
        <v>527173.57000000007</v>
      </c>
      <c r="D36" s="503">
        <f>YR1991_93!D33+YR1994_96!D33+YR1997_99!D33+YR2000_02!D30+YR2003_05!D30+YR2006_08!D32+YR2009_11!D33+YR2012_14!D35+YR2015_17!D35+YR2018_20!D35+YR2021_23!D35+YR2024_26!D35</f>
        <v>0</v>
      </c>
      <c r="E36" s="503">
        <f>YR1991_93!E33+YR1994_96!E33+YR1997_99!E33+YR2000_02!E30+YR2003_05!E30+YR2006_08!E32+YR2009_11!E33+YR2012_14!E35+YR2015_17!E35+YR2018_20!E35+YR2021_23!E35+YR2024_26!E35</f>
        <v>0</v>
      </c>
      <c r="F36" s="503">
        <f>YR1991_93!F33+YR1994_96!F33+YR1997_99!F33+YR2000_02!F30+YR2003_05!F30+YR2006_08!F32+YR2009_11!F33+YR2012_14!F35+YR2015_17!F35+YR2018_20!F35+YR2021_23!F35+YR2024_26!F35</f>
        <v>0.3400000000037835</v>
      </c>
      <c r="G36" s="504">
        <v>0</v>
      </c>
    </row>
    <row r="37" spans="1:10" ht="17.25" customHeight="1">
      <c r="A37" s="506" t="s">
        <v>95</v>
      </c>
      <c r="B37" s="503">
        <f>YR1991_93!B34+YR1994_96!B34+YR1997_99!B34+YR2000_02!B31+YR2003_05!B31+YR2006_08!B33+YR2009_11!B34+YR2012_14!B36+YR2015_17!B36+YR2018_20!B36+YR2021_23!B36+YR2024_26!B36</f>
        <v>2839490.81</v>
      </c>
      <c r="C37" s="503">
        <f>YR1991_93!C34+YR1994_96!C34+YR1997_99!C34+YR2000_02!C31+YR2003_05!C31+YR2006_08!C33+YR2009_11!C34+YR2012_14!C36+YR2015_17!C36+YR2018_20!C36+YR2021_23!C36+YR2024_26!C36</f>
        <v>2117956.71</v>
      </c>
      <c r="D37" s="503">
        <f>YR1991_93!D34+YR1994_96!D34+YR1997_99!D34+YR2000_02!D31+YR2003_05!D31+YR2006_08!D33+YR2009_11!D34+YR2012_14!D36+YR2015_17!D36+YR2018_20!D36+YR2021_23!D36+YR2024_26!D36</f>
        <v>0</v>
      </c>
      <c r="E37" s="503">
        <f>YR1991_93!E34+YR1994_96!E34+YR1997_99!E34+YR2000_02!E31+YR2003_05!E31+YR2006_08!E33+YR2009_11!E34+YR2012_14!E36+YR2015_17!E36+YR2018_20!E36+YR2021_23!E36+YR2024_26!E36</f>
        <v>0</v>
      </c>
      <c r="F37" s="503">
        <f>YR1991_93!F34+YR1994_96!F34+YR1997_99!F34+YR2000_02!F31+YR2003_05!F31+YR2006_08!F33+YR2009_11!F34+YR2012_14!F36+YR2015_17!F36+YR2018_20!F36+YR2021_23!F36+YR2024_26!F36</f>
        <v>721534.10000000009</v>
      </c>
      <c r="G37" s="504">
        <f>[2]Summary!$D$118</f>
        <v>-1376.5715850361266</v>
      </c>
    </row>
    <row r="38" spans="1:10" ht="17.25" customHeight="1">
      <c r="A38" s="506" t="s">
        <v>96</v>
      </c>
      <c r="B38" s="503">
        <f>YR1991_93!B35+YR1994_96!B35+YR1997_99!B35+YR2000_02!B32+YR2003_05!B32+YR2006_08!B34+YR2009_11!B35+YR2012_14!B37+YR2015_17!B37+YR2018_20!B37+YR2021_23!B37+YR2024_26!B37</f>
        <v>4645448.75</v>
      </c>
      <c r="C38" s="503">
        <f>YR1991_93!C35+YR1994_96!C35+YR1997_99!C35+YR2000_02!C32+YR2003_05!C32+YR2006_08!C34+YR2009_11!C35+YR2012_14!C37+YR2015_17!C37+YR2018_20!C37+YR2021_23!C37+YR2024_26!C37</f>
        <v>4443598.1100000003</v>
      </c>
      <c r="D38" s="503">
        <f>YR1991_93!D35+YR1994_96!D35+YR1997_99!D35+YR2000_02!D32+YR2003_05!D32+YR2006_08!D34+YR2009_11!D35+YR2012_14!D37+YR2015_17!D37+YR2018_20!D37+YR2021_23!D37+YR2024_26!D37</f>
        <v>0</v>
      </c>
      <c r="E38" s="503">
        <f>YR1991_93!E35+YR1994_96!E35+YR1997_99!E35+YR2000_02!E32+YR2003_05!E32+YR2006_08!E34+YR2009_11!E35+YR2012_14!E37+YR2015_17!E37+YR2018_20!E37+YR2021_23!E37+YR2024_26!E37</f>
        <v>0</v>
      </c>
      <c r="F38" s="503">
        <f>YR1991_93!F35+YR1994_96!F35+YR1997_99!F35+YR2000_02!F32+YR2003_05!F32+YR2006_08!F34+YR2009_11!F35+YR2012_14!F37+YR2015_17!F37+YR2018_20!F37+YR2021_23!F37+YR2024_26!F37</f>
        <v>201850.64</v>
      </c>
      <c r="G38" s="504">
        <f>[2]Summary!$D$119</f>
        <v>17635.093815221509</v>
      </c>
    </row>
    <row r="39" spans="1:10" ht="17.25" customHeight="1">
      <c r="A39" s="506" t="s">
        <v>97</v>
      </c>
      <c r="B39" s="503">
        <f>YR1991_93!B36+YR1994_96!B36+YR1997_99!B36+YR2006_08!B35+YR2009_11!B36+YR2012_14!B38+YR2015_17!B38+YR2018_20!B38+YR2021_23!B38+YR2024_26!B38</f>
        <v>674458.49</v>
      </c>
      <c r="C39" s="503">
        <f>YR1991_93!C36+YR1994_96!C36+YR1997_99!C36+YR2006_08!C35+YR2009_11!C36+YR2012_14!C38+YR2015_17!C38+YR2018_20!C38+YR2021_23!C38+YR2024_26!C38</f>
        <v>332205.49</v>
      </c>
      <c r="D39" s="503">
        <f>YR1991_93!D36+YR1994_96!D36+YR1997_99!D36+YR2006_08!D35+YR2009_11!D36+YR2012_14!D38+YR2015_17!D38+YR2018_20!D38+YR2021_23!D38+YR2024_26!D38</f>
        <v>0</v>
      </c>
      <c r="E39" s="503">
        <f>YR1991_93!E36+YR1994_96!E36+YR1997_99!E36+YR2006_08!E35+YR2009_11!E36+YR2012_14!E38+YR2015_17!E38+YR2018_20!E38+YR2021_23!E38+YR2024_26!E38</f>
        <v>0</v>
      </c>
      <c r="F39" s="503">
        <f>YR1991_93!F36+YR1994_96!F36+YR1997_99!F36+YR2006_08!F35+YR2009_11!F36+YR2012_14!F38+YR2015_17!F38+YR2018_20!F38+YR2021_23!F38+YR2024_26!F38</f>
        <v>342253</v>
      </c>
      <c r="G39" s="504">
        <f>[2]Summary!$D$120</f>
        <v>15484.63042334206</v>
      </c>
    </row>
    <row r="40" spans="1:10" ht="17.25" customHeight="1">
      <c r="A40" s="506" t="s">
        <v>98</v>
      </c>
      <c r="B40" s="503">
        <f>YR1991_93!B37+YR1994_96!B37+YR1997_99!B37+YR2000_02!B33+YR2003_05!B33+YR2006_08!B36+YR2009_11!B37+YR2012_14!B39+YR2015_17!B39+YR2018_20!B39+YR2021_23!B39+YR2024_26!B39</f>
        <v>469639.31</v>
      </c>
      <c r="C40" s="503">
        <f>YR1991_93!C37+YR1994_96!C37+YR1997_99!C37+YR2000_02!C33+YR2003_05!C33+YR2006_08!C36+YR2009_11!C37+YR2012_14!C39+YR2015_17!C39+YR2018_20!C39+YR2021_23!C39+YR2024_26!C39</f>
        <v>469639.31</v>
      </c>
      <c r="D40" s="503">
        <f>YR1991_93!D37+YR1994_96!D37+YR1997_99!D37+YR2000_02!D33+YR2003_05!D33+YR2006_08!D36+YR2009_11!D37+YR2012_14!D39+YR2015_17!D39+YR2018_20!D39+YR2021_23!D39+YR2024_26!D39</f>
        <v>0</v>
      </c>
      <c r="E40" s="503">
        <f>YR1991_93!E37+YR1994_96!E37+YR1997_99!E37+YR2000_02!E33+YR2003_05!E33+YR2006_08!E36+YR2009_11!E37+YR2012_14!E39+YR2015_17!E39+YR2018_20!E39+YR2021_23!E39+YR2024_26!E39</f>
        <v>0</v>
      </c>
      <c r="F40" s="503">
        <f>YR1991_93!F37+YR1994_96!F37+YR1997_99!F37+YR2000_02!F33+YR2003_05!F33+YR2006_08!F36+YR2009_11!F37+YR2012_14!F39+YR2015_17!F39+YR2018_20!F39+YR2021_23!F39+YR2024_26!F39</f>
        <v>0</v>
      </c>
      <c r="G40" s="504">
        <f>[2]Summary!$D$121</f>
        <v>-571.53258343895504</v>
      </c>
    </row>
    <row r="41" spans="1:10" ht="17.25" customHeight="1">
      <c r="A41" s="506" t="s">
        <v>99</v>
      </c>
      <c r="B41" s="503">
        <f>YR1991_93!B38+YR1994_96!B38+YR1997_99!B38+YR2000_02!B34+YR2003_05!B34+YR2006_08!B37+YR2009_11!B38+YR2012_14!B40+YR2015_17!B40+YR2018_20!B40+YR2021_23!B40+YR2024_26!B40</f>
        <v>102388778.78999999</v>
      </c>
      <c r="C41" s="503">
        <f>YR1991_93!C38+YR1994_96!C38+YR1997_99!C38+YR2000_02!C34+YR2003_05!C34+YR2006_08!C37+YR2009_11!C38+YR2012_14!C40+YR2015_17!C40+YR2018_20!C40+YR2021_23!C40+YR2024_26!C40</f>
        <v>98301298.430000007</v>
      </c>
      <c r="D41" s="503">
        <f>YR1991_93!D38+YR1994_96!D38+YR1997_99!D38+YR2000_02!D34+YR2003_05!D34+YR2006_08!D37+YR2009_11!D38+YR2012_14!D40+YR2015_17!D40+YR2018_20!D40+YR2021_23!D40+YR2024_26!D40</f>
        <v>0</v>
      </c>
      <c r="E41" s="503">
        <f>YR1991_93!E38+YR1994_96!E38+YR1997_99!E38+YR2000_02!E34+YR2003_05!E34+YR2006_08!E37+YR2009_11!E38+YR2012_14!E40+YR2015_17!E40+YR2018_20!E40+YR2021_23!E40+YR2024_26!E40</f>
        <v>0</v>
      </c>
      <c r="F41" s="503">
        <f>YR1991_93!F38+YR1994_96!F38+YR1997_99!F38+YR2000_02!F34+YR2003_05!F34+YR2006_08!F37+YR2009_11!F38+YR2012_14!F40+YR2015_17!F40+YR2018_20!F40+YR2021_23!F40+YR2024_26!F40</f>
        <v>4087480.3599999994</v>
      </c>
      <c r="G41" s="504">
        <f>[2]Summary!$D$122</f>
        <v>-9.9999999999999995E-7</v>
      </c>
    </row>
    <row r="42" spans="1:10" ht="17.25" customHeight="1">
      <c r="A42" s="506" t="s">
        <v>100</v>
      </c>
      <c r="B42" s="503">
        <f>YR1991_93!B39+YR1994_96!B39+YR1997_99!B39+YR2000_02!B35+YR2003_05!B35+YR2006_08!B38+YR2009_11!B39+YR2012_14!B41+YR2015_17!B41+YR2018_20!B41+YR2021_23!B41+YR2024_26!B41</f>
        <v>16252229.68</v>
      </c>
      <c r="C42" s="503">
        <f>YR1991_93!C39+YR1994_96!C39+YR1997_99!C39+YR2000_02!C35+YR2003_05!C35+YR2006_08!C38+YR2009_11!C39+YR2012_14!C41+YR2015_17!C41+YR2018_20!C41+YR2021_23!C41+YR2024_26!C41</f>
        <v>15334995.279999999</v>
      </c>
      <c r="D42" s="503">
        <f>YR1991_93!D39+YR1994_96!D39+YR1997_99!D39+YR2000_02!D35+YR2003_05!D35+YR2006_08!D38+YR2009_11!D39+YR2012_14!D41+YR2015_17!D41+YR2018_20!D41+YR2021_23!D41+YR2024_26!D41</f>
        <v>0</v>
      </c>
      <c r="E42" s="503">
        <f>YR1991_93!E39+YR1994_96!E39+YR1997_99!E39+YR2000_02!E35+YR2003_05!E35+YR2006_08!E38+YR2009_11!E39+YR2012_14!E41+YR2015_17!E41+YR2018_20!E41+YR2021_23!E41+YR2024_26!E41</f>
        <v>0</v>
      </c>
      <c r="F42" s="503">
        <f>YR1991_93!F39+YR1994_96!F39+YR1997_99!F39+YR2000_02!F35+YR2003_05!F35+YR2006_08!F38+YR2009_11!F39+YR2012_14!F41+YR2015_17!F41+YR2018_20!F41+YR2021_23!F41+YR2024_26!F41</f>
        <v>917234.39999999991</v>
      </c>
      <c r="G42" s="504">
        <f>[2]Summary!$D$123</f>
        <v>482201.52233455342</v>
      </c>
    </row>
    <row r="43" spans="1:10" ht="17.25" customHeight="1">
      <c r="A43" s="506" t="s">
        <v>101</v>
      </c>
      <c r="B43" s="503">
        <f>YR1991_93!B40+YR1994_96!B40+YR1997_99!B40+YR2000_02!B36+YR2003_05!B36+YR2006_08!B39+YR2009_11!B40+YR2012_14!B42+YR2015_17!B42+YR2018_20!B42+YR2021_23!B42+YR2024_26!B42</f>
        <v>45464493.649999999</v>
      </c>
      <c r="C43" s="503">
        <f>YR1991_93!C40+YR1994_96!C40+YR1997_99!C40+YR2000_02!C36+YR2003_05!C36+YR2006_08!C39+YR2009_11!C40+YR2012_14!C42+YR2015_17!C42+YR2018_20!C42+YR2021_23!C42+YR2024_26!C42</f>
        <v>43448953.310000002</v>
      </c>
      <c r="D43" s="503">
        <f>YR1991_93!D40+YR1994_96!D40+YR1997_99!D40+YR2000_02!D36+YR2003_05!D36+YR2006_08!D39+YR2009_11!D40+YR2012_14!D42+YR2015_17!D42+YR2018_20!D42+YR2021_23!D42+YR2024_26!D42</f>
        <v>0</v>
      </c>
      <c r="E43" s="503">
        <f>YR1991_93!E40+YR1994_96!E40+YR1997_99!E40+YR2000_02!E36+YR2003_05!E36+YR2006_08!E39+YR2009_11!E40+YR2012_14!E42+YR2015_17!E42+YR2018_20!E42+YR2021_23!E42+YR2024_26!E42</f>
        <v>0</v>
      </c>
      <c r="F43" s="503">
        <f>YR1991_93!F40+YR1994_96!F40+YR1997_99!F40+YR2000_02!F36+YR2003_05!F36+YR2006_08!F39+YR2009_11!F40+YR2012_14!F42+YR2015_17!F42+YR2018_20!F42+YR2021_23!F42+YR2024_26!F42</f>
        <v>2015540.3400000008</v>
      </c>
      <c r="G43" s="504">
        <f>[2]Summary!$D$124</f>
        <v>2024225.9409621567</v>
      </c>
    </row>
    <row r="44" spans="1:10" ht="17.25" customHeight="1">
      <c r="A44" s="506" t="s">
        <v>102</v>
      </c>
      <c r="B44" s="503">
        <f>YR1994_96!B41</f>
        <v>16915</v>
      </c>
      <c r="C44" s="503">
        <f>YR1994_96!C41</f>
        <v>16915</v>
      </c>
      <c r="D44" s="503">
        <f>YR1994_96!D41</f>
        <v>0</v>
      </c>
      <c r="E44" s="503">
        <f>YR1994_96!E41</f>
        <v>0</v>
      </c>
      <c r="F44" s="503">
        <f>YR1994_96!F41</f>
        <v>0</v>
      </c>
      <c r="G44" s="504">
        <v>0</v>
      </c>
    </row>
    <row r="45" spans="1:10" ht="17.25" customHeight="1">
      <c r="A45" s="506" t="s">
        <v>103</v>
      </c>
      <c r="B45" s="503">
        <f>YR1991_93!B42+YR1994_96!B42+YR1997_99!B42+YR2000_02!B37+YR2003_05!B37+YR2006_08!B40+YR2009_11!B41+YR2012_14!B43+YR2015_17!B43+YR2018_20!B43+YR2021_23!B43+YR2024_26!B43</f>
        <v>34861874.969999999</v>
      </c>
      <c r="C45" s="503">
        <f>YR1991_93!C42+YR1994_96!C42+YR1997_99!C42+YR2000_02!C37+YR2003_05!C37+YR2006_08!C40+YR2009_11!C41+YR2012_14!C43+YR2015_17!C43+YR2018_20!C43+YR2021_23!C43+YR2024_26!C43</f>
        <v>34748874.960000001</v>
      </c>
      <c r="D45" s="503">
        <f>YR1991_93!D42+YR1994_96!D42+YR1997_99!D42+YR2000_02!D37+YR2003_05!D37+YR2006_08!D40+YR2009_11!D41+YR2012_14!D43+YR2015_17!D43+YR2018_20!D43+YR2021_23!D43+YR2024_26!D43</f>
        <v>113000</v>
      </c>
      <c r="E45" s="503">
        <f>YR1991_93!E42+YR1994_96!E42+YR1997_99!E42+YR2000_02!E37+YR2003_05!E37+YR2006_08!E40+YR2009_11!E41+YR2012_14!E43+YR2015_17!E43+YR2018_20!E43+YR2021_23!E43+YR2024_26!E43</f>
        <v>0</v>
      </c>
      <c r="F45" s="503">
        <f>YR1991_93!F42+YR1994_96!F42+YR1997_99!F42+YR2000_02!F37+YR2003_05!F37+YR2006_08!F40+YR2009_11!F41+YR2012_14!F43+YR2015_17!F43+YR2018_20!F43+YR2021_23!F43+YR2024_26!F43</f>
        <v>9.9999997764825821E-3</v>
      </c>
      <c r="G45" s="504">
        <f>[2]Summary!$D$125</f>
        <v>1436466.6558757434</v>
      </c>
    </row>
    <row r="46" spans="1:10" ht="17.25" customHeight="1">
      <c r="A46" s="506" t="s">
        <v>104</v>
      </c>
      <c r="B46" s="503">
        <f>YR1991_93!B43+YR1994_96!B43+YR1997_99!B43+YR2000_02!B38+YR2003_05!B38+YR2006_08!B41+YR2009_11!B42+YR2012_14!B44+YR2015_17!B44+YR2018_20!B44+YR2021_23!B44+YR2024_26!B44</f>
        <v>25141701.460000001</v>
      </c>
      <c r="C46" s="503">
        <f>YR1991_93!C43+YR1994_96!C43+YR1997_99!C43+YR2000_02!C38+YR2003_05!C38+YR2006_08!C41+YR2009_11!C42+YR2012_14!C44+YR2015_17!C44+YR2018_20!C44+YR2021_23!C44+YR2024_26!C44</f>
        <v>25093959.939999998</v>
      </c>
      <c r="D46" s="503">
        <f>YR1991_93!D43+YR1994_96!D43+YR1997_99!D43+YR2000_02!D38+YR2003_05!D38+YR2006_08!D41+YR2009_11!D42+YR2012_14!D44+YR2015_17!D44+YR2018_20!D44+YR2021_23!D44+YR2024_26!D44</f>
        <v>47743</v>
      </c>
      <c r="E46" s="503">
        <f>YR1991_93!E43+YR1994_96!E43+YR1997_99!E43+YR2000_02!E38+YR2003_05!E38+YR2006_08!E41+YR2009_11!E42+YR2012_14!E44+YR2015_17!E44+YR2018_20!E44+YR2021_23!E44+YR2024_26!E44</f>
        <v>0</v>
      </c>
      <c r="F46" s="503">
        <f>YR1991_93!F43+YR1994_96!F43+YR1997_99!F43+YR2000_02!F38+YR2003_05!F38+YR2006_08!F41+YR2009_11!F42+YR2012_14!F44+YR2015_17!F44+YR2018_20!F44+YR2021_23!F44+YR2024_26!F44</f>
        <v>-1.479999999050051</v>
      </c>
      <c r="G46" s="504">
        <f>[3]Summary!$D$126</f>
        <v>268750.91781857901</v>
      </c>
    </row>
    <row r="47" spans="1:10" ht="17.25" customHeight="1">
      <c r="A47" s="506" t="s">
        <v>105</v>
      </c>
      <c r="B47" s="503">
        <f>YR2006_08!B42+YR2009_11!B43+YR2012_14!B45+YR2015_17!B45+YR2018_20!B45+YR2021_23!B45+YR2024_26!B45</f>
        <v>6574066.5499999998</v>
      </c>
      <c r="C47" s="503">
        <f>YR2006_08!C42+YR2009_11!C43+YR2012_14!C45+YR2015_17!C45+YR2018_20!C45+YR2021_23!C45+YR2024_26!C45</f>
        <v>4548401.83</v>
      </c>
      <c r="D47" s="503">
        <f>YR2006_08!D42+YR2009_11!D43+YR2012_14!D45+YR2015_17!D45+YR2018_20!D45+YR2021_23!D45+YR2024_26!D45</f>
        <v>0</v>
      </c>
      <c r="E47" s="503">
        <f>YR2006_08!E42+YR2009_11!E43+YR2012_14!E45+YR2015_17!E45+YR2018_20!E45+YR2021_23!E45+YR2024_26!E45</f>
        <v>0</v>
      </c>
      <c r="F47" s="503">
        <f>YR2006_08!F42+YR2009_11!F43+YR2012_14!F45+YR2015_17!F45+YR2018_20!F45+YR2021_23!F45+YR2024_26!F45</f>
        <v>2025664.72</v>
      </c>
      <c r="G47" s="504">
        <f>[2]Summary!$D$127</f>
        <v>-1285.7995563792647</v>
      </c>
    </row>
    <row r="48" spans="1:10" ht="17.25" customHeight="1">
      <c r="A48" s="506" t="s">
        <v>106</v>
      </c>
      <c r="B48" s="503">
        <f>YR1991_93!B44+YR1994_96!B44+YR1997_99!B44+YR2000_02!B39+YR2003_05!B39+YR2006_08!B43+YR2009_11!B44+YR2012_14!B46+YR2015_17!B46+YR2018_20!B46+YR2021_23!B46+YR2024_26!B46</f>
        <v>175663314.20999998</v>
      </c>
      <c r="C48" s="503">
        <f>YR1991_93!C44+YR1994_96!C44+YR1997_99!C44+YR2000_02!C39+YR2003_05!C39+YR2006_08!C43+YR2009_11!C44+YR2012_14!C46+YR2015_17!C46+YR2018_20!C46+YR2021_23!C46+YR2024_26!C46</f>
        <v>45911441.07</v>
      </c>
      <c r="D48" s="503">
        <f>YR1991_93!D44+YR1994_96!D44+YR1997_99!D44+YR2000_02!D39+YR2003_05!D39+YR2006_08!D43+YR2009_11!D44+YR2012_14!D46+YR2015_17!D46+YR2018_20!D46+YR2021_23!D46+YR2024_26!D46</f>
        <v>666676</v>
      </c>
      <c r="E48" s="503">
        <f>YR1991_93!E44+YR1994_96!E44+YR1997_99!E44+YR2000_02!E39+YR2003_05!E39+YR2006_08!E43+YR2009_11!E44+YR2012_14!E46+YR2015_17!E46+YR2018_20!E46+YR2021_23!E46+YR2024_26!E46</f>
        <v>0</v>
      </c>
      <c r="F48" s="503">
        <f>YR1991_93!F44+YR1994_96!F44+YR1997_99!F44+YR2000_02!F39+YR2003_05!F39+YR2006_08!F43+YR2009_11!F44+YR2012_14!F46+YR2015_17!F46+YR2018_20!F46+YR2021_23!F46+YR2024_26!F46</f>
        <v>129085197.14</v>
      </c>
      <c r="G48" s="504">
        <f>[2]Summary!$D$128</f>
        <v>6576264.6170411594</v>
      </c>
    </row>
    <row r="49" spans="1:11" ht="17.25" customHeight="1">
      <c r="A49" s="506" t="s">
        <v>107</v>
      </c>
      <c r="B49" s="503">
        <f>YR2009_11!B45+YR2012_14!B47+YR2015_17!B47+YR2018_20!B47+YR2021_23!B47+YR2024_26!B47</f>
        <v>89258.13</v>
      </c>
      <c r="C49" s="503">
        <f>YR2009_11!C45+YR2012_14!C47+YR2015_17!C47+YR2018_20!C47+YR2021_23!C47+YR2024_26!C47</f>
        <v>89259.13</v>
      </c>
      <c r="D49" s="503">
        <f>YR2009_11!D45+YR2012_14!D47+YR2015_17!D47+YR2018_20!D47+YR2021_23!D47+YR2024_26!D47</f>
        <v>0</v>
      </c>
      <c r="E49" s="503">
        <f>YR2009_11!E45+YR2012_14!E47+YR2015_17!E47+YR2018_20!E47+YR2021_23!E47+YR2024_26!E47</f>
        <v>0</v>
      </c>
      <c r="F49" s="503">
        <f>YR2009_11!F45+YR2012_14!F47+YR2015_17!F47+YR2018_20!F47+YR2021_23!F47+YR2024_26!F47</f>
        <v>-1</v>
      </c>
      <c r="G49" s="504">
        <f>[2]Summary!$D$129</f>
        <v>3429.0443625200414</v>
      </c>
    </row>
    <row r="50" spans="1:11" ht="17.25" customHeight="1">
      <c r="A50" s="506" t="s">
        <v>108</v>
      </c>
      <c r="B50" s="503">
        <f>YR1991_93!B45+YR1994_96!B45</f>
        <v>531221</v>
      </c>
      <c r="C50" s="503">
        <f>YR1991_93!C45+YR1994_96!C45</f>
        <v>459245</v>
      </c>
      <c r="D50" s="503">
        <f>YR1991_93!D45+YR1994_96!D45</f>
        <v>71976</v>
      </c>
      <c r="E50" s="503">
        <f>YR1991_93!E45+YR1994_96!E45</f>
        <v>0</v>
      </c>
      <c r="F50" s="503">
        <f>YR1991_93!F45+YR1994_96!F45</f>
        <v>0</v>
      </c>
      <c r="G50" s="504">
        <v>0</v>
      </c>
    </row>
    <row r="51" spans="1:11" ht="17.25" customHeight="1">
      <c r="A51" s="506" t="s">
        <v>109</v>
      </c>
      <c r="B51" s="503">
        <f>YR1991_93!B46+YR1994_96!B46+YR1997_99!B46+YR2000_02!B40+YR2003_05!B40+YR2006_08!B44+YR2009_11!B46+YR2012_14!B48+YR2015_17!B48+YR2018_20!B48+YR2021_23!B48+YR2024_26!B48</f>
        <v>7040176.3399999999</v>
      </c>
      <c r="C51" s="503">
        <f>YR1991_93!C46+YR1994_96!C46+YR1997_99!C46+YR2000_02!C40+YR2003_05!C40+YR2006_08!C44+YR2009_11!C46+YR2012_14!C48+YR2015_17!C48+YR2018_20!C48+YR2021_23!C48+YR2024_26!C48</f>
        <v>7023653.9499999993</v>
      </c>
      <c r="D51" s="503">
        <f>YR1991_93!D46+YR1994_96!D46+YR1997_99!D46+YR2000_02!D40+YR2003_05!D40+YR2006_08!D44+YR2009_11!D46+YR2012_14!D48+YR2015_17!D48+YR2018_20!D48+YR2021_23!D48+YR2024_26!D48</f>
        <v>16523</v>
      </c>
      <c r="E51" s="503">
        <f>YR1991_93!E46+YR1994_96!E46+YR1997_99!E46+YR2000_02!E40+YR2003_05!E40+YR2006_08!E44+YR2009_11!E46+YR2012_14!E48+YR2015_17!E48+YR2018_20!E48+YR2021_23!E48+YR2024_26!E48</f>
        <v>0</v>
      </c>
      <c r="F51" s="503">
        <f>YR1991_93!F46+YR1994_96!F46+YR1997_99!F46+YR2000_02!F40+YR2003_05!F40+YR2006_08!F44+YR2009_11!F46+YR2012_14!F48+YR2015_17!F48+YR2018_20!F48+YR2021_23!F48+YR2024_26!F48</f>
        <v>-0.60999999986961484</v>
      </c>
      <c r="G51" s="504">
        <f>[2]Summary!$D$131</f>
        <v>183326.75934440293</v>
      </c>
    </row>
    <row r="52" spans="1:11" ht="17.25" customHeight="1">
      <c r="A52" s="506" t="s">
        <v>110</v>
      </c>
      <c r="B52" s="503">
        <f>YR1991_93!B47+YR1994_96!B47+YR1997_99!B47+YR2000_02!B41+YR2003_05!B41+YR2006_08!B45+YR2009_11!B47+YR2012_14!B49+YR2015_17!B49+YR2018_20!B49+YR2021_23!B49+YR2024_26!B49</f>
        <v>3999217.74</v>
      </c>
      <c r="C52" s="503">
        <f>YR1991_93!C47+YR1994_96!C47+YR1997_99!C47+YR2000_02!C41+YR2003_05!C41+YR2006_08!C45+YR2009_11!C47+YR2012_14!C49+YR2015_17!C49+YR2018_20!C49+YR2021_23!C49+YR2024_26!C49</f>
        <v>3764714.83</v>
      </c>
      <c r="D52" s="503">
        <f>YR1991_93!D47+YR1994_96!D47+YR1997_99!D47+YR2000_02!D41+YR2003_05!D41+YR2006_08!D45+YR2009_11!D47+YR2012_14!D49+YR2015_17!D49+YR2018_20!D49+YR2021_23!D49+YR2024_26!D49</f>
        <v>0</v>
      </c>
      <c r="E52" s="503">
        <f>YR1991_93!E47+YR1994_96!E47+YR1997_99!E47+YR2000_02!E41+YR2003_05!E41+YR2006_08!E45+YR2009_11!E47+YR2012_14!E49+YR2015_17!E49+YR2018_20!E49+YR2021_23!E49+YR2024_26!E49</f>
        <v>0</v>
      </c>
      <c r="F52" s="503">
        <f>YR1991_93!F47+YR1994_96!F47+YR1997_99!F47+YR2000_02!F41+YR2003_05!F41+YR2006_08!F45+YR2009_11!F47+YR2012_14!F49+YR2015_17!F49+YR2018_20!F49+YR2021_23!F49+YR2024_26!F49</f>
        <v>234502.91000000003</v>
      </c>
      <c r="G52" s="504">
        <f>[2]Summary!$D$130</f>
        <v>6037.1446589246661</v>
      </c>
    </row>
    <row r="53" spans="1:11" ht="16.5" customHeight="1">
      <c r="A53" s="506" t="s">
        <v>111</v>
      </c>
      <c r="B53" s="503">
        <f>YR1991_93!B48+YR1994_96!B48+YR1997_99!B48</f>
        <v>3793691</v>
      </c>
      <c r="C53" s="503">
        <f>YR1991_93!C48+YR1994_96!C48+YR1997_99!C48</f>
        <v>3763691</v>
      </c>
      <c r="D53" s="503">
        <f>YR1991_93!D48+YR1994_96!D48+YR1997_99!D48</f>
        <v>30000</v>
      </c>
      <c r="E53" s="503">
        <f>YR1991_93!E48+YR1994_96!E48+YR1997_99!E48</f>
        <v>0</v>
      </c>
      <c r="F53" s="503">
        <f>YR1991_93!F48+YR1994_96!F48+YR1997_99!F48</f>
        <v>0</v>
      </c>
      <c r="G53" s="504">
        <v>0</v>
      </c>
    </row>
    <row r="54" spans="1:11" ht="17.25" customHeight="1">
      <c r="A54" s="506" t="s">
        <v>112</v>
      </c>
      <c r="B54" s="503">
        <f>YR1991_93!B49+YR1994_96!B49+YR1997_99!B49+YR2000_02!B42+YR2003_05!B42+YR2006_08!B46+YR2009_11!B48+YR2012_14!B50+YR2015_17!B50+YR2018_20!B50+YR2021_23!B50+YR2024_26!B50</f>
        <v>160014590.94999999</v>
      </c>
      <c r="C54" s="503">
        <f>YR1991_93!C49+YR1994_96!C49+YR1997_99!C49+YR2000_02!C42+YR2003_05!C42+YR2006_08!C46+YR2009_11!C48+YR2012_14!C50+YR2015_17!C50+YR2018_20!C50+YR2021_23!C50+YR2024_26!C50</f>
        <v>153571839.01999998</v>
      </c>
      <c r="D54" s="503">
        <f>YR1991_93!D49+YR1994_96!D49+YR1997_99!D49+YR2000_02!D42+YR2003_05!D42+YR2006_08!D46+YR2009_11!D48+YR2012_14!D50+YR2015_17!D50+YR2018_20!D50+YR2021_23!D50+YR2024_26!D50</f>
        <v>6442751.9000000004</v>
      </c>
      <c r="E54" s="503">
        <f>YR1991_93!E49+YR1994_96!E49+YR1997_99!E49+YR2000_02!E42+YR2003_05!E42+YR2006_08!E46+YR2009_11!E48+YR2012_14!E50+YR2015_17!E50+YR2018_20!E50+YR2021_23!E50+YR2024_26!E50</f>
        <v>0</v>
      </c>
      <c r="F54" s="503">
        <f>YR1991_93!F49+YR1994_96!F49+YR1997_99!F49+YR2000_02!F42+YR2003_05!F42+YR2006_08!F46+YR2009_11!F48+YR2012_14!F50+YR2015_17!F50+YR2018_20!F50+YR2021_23!F50+YR2024_26!F50</f>
        <v>2.9999994090758264E-2</v>
      </c>
      <c r="G54" s="504">
        <f>[3]Summary!$D$132</f>
        <v>3123009.5305774738</v>
      </c>
    </row>
    <row r="55" spans="1:11" ht="17.25" customHeight="1">
      <c r="A55" s="506" t="s">
        <v>113</v>
      </c>
      <c r="B55" s="503">
        <f>YR1991_93!B50+YR1994_96!B50+YR1997_99!B50+YR2000_02!B43+YR2003_05!B43+YR2006_08!B47+YR2009_11!B49+YR2012_14!B51+YR2015_17!B51+YR2018_20!B51+YR2021_23!B51+YR2024_26!B51</f>
        <v>65779756.979999997</v>
      </c>
      <c r="C55" s="503">
        <f>YR1991_93!C50+YR1994_96!C50+YR1997_99!C50+YR2000_02!C43+YR2003_05!C43+YR2006_08!C47+YR2009_11!C49+YR2012_14!C51+YR2015_17!C51+YR2018_20!C51+YR2021_23!C51+YR2024_26!C51</f>
        <v>64205428.989999995</v>
      </c>
      <c r="D55" s="503">
        <f>YR1991_93!D50+YR1994_96!D50+YR1997_99!D50+YR2000_02!D43+YR2003_05!D43+YR2006_08!D47+YR2009_11!D49+YR2012_14!D51+YR2015_17!D51+YR2018_20!D51+YR2021_23!D51+YR2024_26!D51</f>
        <v>1574328</v>
      </c>
      <c r="E55" s="503">
        <f>YR1991_93!E50+YR1994_96!E50+YR1997_99!E50+YR2000_02!E43+YR2003_05!E43+YR2006_08!E47+YR2009_11!E49+YR2012_14!E51+YR2015_17!E51+YR2018_20!E51+YR2021_23!E51+YR2024_26!E51</f>
        <v>0</v>
      </c>
      <c r="F55" s="503">
        <f>YR1991_93!F50+YR1994_96!F50+YR1997_99!F50+YR2000_02!F43+YR2003_05!F43+YR2006_08!F47+YR2009_11!F49+YR2012_14!F51+YR2015_17!F51+YR2018_20!F51+YR2021_23!F51+YR2024_26!F51</f>
        <v>-9.9999997764825821E-3</v>
      </c>
      <c r="G55" s="504">
        <f>[2]Summary!$D$133</f>
        <v>874336.74799752771</v>
      </c>
    </row>
    <row r="56" spans="1:11" ht="17.25" customHeight="1">
      <c r="A56" s="506" t="s">
        <v>114</v>
      </c>
      <c r="B56" s="503">
        <f>YR1991_93!B51+YR1994_96!B51+YR1997_99!B51+YR2000_02!B44+YR2003_05!B44+YR2006_08!B48+YR2009_11!B50+YR2012_14!B52+YR2015_17!B52+YR2018_20!B52+YR2021_23!B52+YR2024_26!B52</f>
        <v>74211214.849999994</v>
      </c>
      <c r="C56" s="503">
        <f>YR1991_93!C51+YR1994_96!C51+YR1997_99!C51+YR2000_02!C44+YR2003_05!C44+YR2006_08!C48+YR2009_11!C50+YR2012_14!C52+YR2015_17!C52+YR2018_20!C52+YR2021_23!C52+YR2024_26!C52</f>
        <v>72297983.770000011</v>
      </c>
      <c r="D56" s="503">
        <f>YR1991_93!D51+YR1994_96!D51+YR1997_99!D51+YR2000_02!D44+YR2003_05!D44+YR2006_08!D48+YR2009_11!D50+YR2012_14!D52+YR2015_17!D52+YR2018_20!D52+YR2021_23!D52+YR2024_26!D52</f>
        <v>1913230</v>
      </c>
      <c r="E56" s="503">
        <f>YR1991_93!E51+YR1994_96!E51+YR1997_99!E51+YR2000_02!E44+YR2003_05!E44+YR2006_08!E48+YR2009_11!E50+YR2012_14!E52+YR2015_17!E52+YR2018_20!E52+YR2021_23!E52+YR2024_26!E52</f>
        <v>0</v>
      </c>
      <c r="F56" s="503">
        <f>YR1991_93!F51+YR1994_96!F51+YR1997_99!F51+YR2000_02!F44+YR2003_05!F44+YR2006_08!F48+YR2009_11!F50+YR2012_14!F52+YR2015_17!F52+YR2018_20!F52+YR2021_23!F52+YR2024_26!F52</f>
        <v>1.0800000000745058</v>
      </c>
      <c r="G56" s="504">
        <f>[2]Summary!$D$134</f>
        <v>-2130301.7809921568</v>
      </c>
    </row>
    <row r="57" spans="1:11" ht="17.25" customHeight="1">
      <c r="A57" s="506" t="s">
        <v>115</v>
      </c>
      <c r="B57" s="503">
        <f>YR1991_93!B52+YR1994_96!B52+YR1997_99!B52+YR2000_02!B45+YR2003_05!B45+YR2006_08!B49+YR2009_11!B51+YR2012_14!B53+YR2015_17!B53+YR2018_20!B53+YR2021_23!B53+YR2024_26!B53</f>
        <v>204984.73</v>
      </c>
      <c r="C57" s="503">
        <f>YR1991_93!C52+YR1994_96!C52+YR1997_99!C52+YR2000_02!C45+YR2003_05!C45+YR2006_08!C49+YR2009_11!C51+YR2012_14!C53+YR2015_17!C53+YR2018_20!C53+YR2021_23!C53+YR2024_26!C53</f>
        <v>49086</v>
      </c>
      <c r="D57" s="503">
        <f>YR1991_93!D52+YR1994_96!D52+YR1997_99!D52+YR2000_02!D45+YR2003_05!D45+YR2006_08!D49+YR2009_11!D51+YR2012_14!D53+YR2015_17!D53+YR2018_20!D53+YR2021_23!D53+YR2024_26!D53</f>
        <v>0</v>
      </c>
      <c r="E57" s="503">
        <f>YR1991_93!E52+YR1994_96!E52+YR1997_99!E52+YR2000_02!E45+YR2003_05!E45+YR2006_08!E49+YR2009_11!E51+YR2012_14!E53+YR2015_17!E53+YR2018_20!E53+YR2021_23!E53+YR2024_26!E53</f>
        <v>0</v>
      </c>
      <c r="F57" s="503">
        <f>YR1991_93!F52+YR1994_96!F52+YR1997_99!F52+YR2000_02!F45+YR2003_05!F45+YR2006_08!F49+YR2009_11!F51+YR2012_14!F53+YR2015_17!F53+YR2018_20!F53+YR2021_23!F53+YR2024_26!F53</f>
        <v>155898.72999999998</v>
      </c>
      <c r="G57" s="504">
        <v>0</v>
      </c>
    </row>
    <row r="58" spans="1:11" ht="17.25" customHeight="1">
      <c r="A58" s="506" t="s">
        <v>116</v>
      </c>
      <c r="B58" s="503">
        <f>YR1991_93!B53+YR1994_96!B53+YR1997_99!B53+YR2000_02!B46+YR2003_05!B46</f>
        <v>293245.01</v>
      </c>
      <c r="C58" s="503">
        <f>YR1991_93!C53+YR1994_96!C53+YR1997_99!C53+YR2000_02!C46+YR2003_05!C46</f>
        <v>5763.67</v>
      </c>
      <c r="D58" s="503">
        <f>YR1991_93!D53+YR1994_96!D53+YR1997_99!D53+YR2000_02!D46+YR2003_05!D46</f>
        <v>0</v>
      </c>
      <c r="E58" s="503">
        <f>YR1991_93!E53+YR1994_96!E53+YR1997_99!E53+YR2000_02!E46+YR2003_05!E46</f>
        <v>0</v>
      </c>
      <c r="F58" s="503">
        <f>YR1991_93!F53+YR1994_96!F53+YR1997_99!F53+YR2000_02!F46+YR2003_05!F46</f>
        <v>287481.34000000003</v>
      </c>
      <c r="G58" s="504">
        <v>0</v>
      </c>
    </row>
    <row r="59" spans="1:11" ht="17.25" customHeight="1">
      <c r="A59" s="506" t="s">
        <v>117</v>
      </c>
      <c r="B59" s="503">
        <f>YR1991_93!B54+YR1994_96!B54+YR1997_99!B54+YR2000_02!B47+YR2003_05!B47+YR2006_08!B50+YR2009_11!B52+YR2012_14!B54+YR2015_17!B54+YR2018_20!B54+YR2021_23!B54+YR2024_26!B54</f>
        <v>11650917.91</v>
      </c>
      <c r="C59" s="503">
        <f>YR1991_93!C54+YR1994_96!C54+YR1997_99!C54+YR2000_02!C47+YR2003_05!C47+YR2006_08!C50+YR2009_11!C52+YR2012_14!C54+YR2015_17!C54+YR2018_20!C54+YR2021_23!C54+YR2024_26!C54</f>
        <v>1303750.1000000001</v>
      </c>
      <c r="D59" s="503">
        <f>YR1991_93!D54+YR1994_96!D54+YR1997_99!D54+YR2000_02!D47+YR2003_05!D47+YR2006_08!D50+YR2009_11!D52+YR2012_14!D54+YR2015_17!D54+YR2018_20!D54+YR2021_23!D54+YR2024_26!D54</f>
        <v>0</v>
      </c>
      <c r="E59" s="503">
        <f>YR1991_93!E54+YR1994_96!E54+YR1997_99!E54+YR2000_02!E47+YR2003_05!E47+YR2006_08!E50+YR2009_11!E52+YR2012_14!E54+YR2015_17!E54+YR2018_20!E54+YR2021_23!E54+YR2024_26!E54</f>
        <v>0</v>
      </c>
      <c r="F59" s="503">
        <f>YR1991_93!F54+YR1994_96!F54+YR1997_99!F54+YR2000_02!F47+YR2003_05!F47+YR2006_08!F50+YR2009_11!F52+YR2012_14!F54+YR2015_17!F54+YR2018_20!F54+YR2021_23!F54+YR2024_26!F54</f>
        <v>10347167.810000001</v>
      </c>
      <c r="G59" s="504">
        <v>0</v>
      </c>
    </row>
    <row r="60" spans="1:11" ht="17.25" customHeight="1">
      <c r="A60" s="506" t="s">
        <v>118</v>
      </c>
      <c r="B60" s="503">
        <f>YR1991_93!B55</f>
        <v>559639</v>
      </c>
      <c r="C60" s="503">
        <f>YR1991_93!C55</f>
        <v>559639</v>
      </c>
      <c r="D60" s="503">
        <f>YR1991_93!D55</f>
        <v>0</v>
      </c>
      <c r="E60" s="503">
        <f>YR1991_93!E55</f>
        <v>0</v>
      </c>
      <c r="F60" s="503">
        <f>YR1991_93!F55</f>
        <v>0</v>
      </c>
      <c r="G60" s="504">
        <v>0</v>
      </c>
    </row>
    <row r="61" spans="1:11" ht="17.25" customHeight="1">
      <c r="A61" s="506" t="s">
        <v>119</v>
      </c>
      <c r="B61" s="503">
        <f>YR1991_93!B56+YR1994_96!B56+YR1997_99!B56+YR2000_02!B48+YR2003_05!B48+YR2006_08!B51+YR2009_11!B53+YR2012_14!B55+YR2015_17!B55+YR2018_20!B55+YR2021_23!B55+YR2024_26!B55</f>
        <v>337524473.93000001</v>
      </c>
      <c r="C61" s="503">
        <f>YR1991_93!C56+YR1994_96!C56+YR1997_99!C56+YR2000_02!C48+YR2003_05!C48+YR2006_08!C51+YR2009_11!C53+YR2012_14!C55+YR2015_17!C55+YR2018_20!C55+YR2021_23!C55+YR2024_26!C55</f>
        <v>323972746.15000004</v>
      </c>
      <c r="D61" s="503">
        <f>YR1991_93!D56+YR1994_96!D56+YR1997_99!D56+YR2000_02!D48+YR2003_05!D48+YR2006_08!D51+YR2009_11!D53+YR2012_14!D55+YR2015_17!D55+YR2018_20!D55+YR2021_23!D55+YR2024_26!D55</f>
        <v>565000</v>
      </c>
      <c r="E61" s="503">
        <f>YR1991_93!E56+YR1994_96!E56+YR1997_99!E56+YR2000_02!E48+YR2003_05!E48+YR2006_08!E51+YR2009_11!E53+YR2012_14!E55+YR2015_17!E55+YR2018_20!E55+YR2021_23!E55+YR2024_26!E55</f>
        <v>0</v>
      </c>
      <c r="F61" s="503">
        <f>YR1991_93!F56+YR1994_96!F56+YR1997_99!F56+YR2000_02!F48+YR2003_05!F48+YR2006_08!F51+YR2009_11!F53+YR2012_14!F55+YR2015_17!F55+YR2018_20!F55+YR2021_23!F55+YR2024_26!F55</f>
        <v>12986727.779999994</v>
      </c>
      <c r="G61" s="504">
        <f>[2]Summary!$D$135</f>
        <v>1185228.5003438238</v>
      </c>
      <c r="H61" s="28"/>
    </row>
    <row r="62" spans="1:11" ht="17.25" customHeight="1">
      <c r="A62" s="506" t="s">
        <v>120</v>
      </c>
      <c r="B62" s="503">
        <f>YR1991_93!B57+YR1994_96!B57+YR1997_99!B57+YR2000_02!B49+YR2003_05!B49+YR2006_08!B52+YR2009_11!B54+YR2012_14!B56+YR2015_17!B56+YR2018_20!B56+YR2021_23!B56+YR2024_26!B56</f>
        <v>1076541575.5899999</v>
      </c>
      <c r="C62" s="503">
        <f>YR1991_93!C57+YR1994_96!C57+YR1997_99!C57+YR2000_02!C49+YR2003_05!C49+YR2006_08!C52+YR2009_11!C54+YR2012_14!C56+YR2015_17!C56+YR2018_20!C56+YR2021_23!C56+YR2024_26!C56</f>
        <v>1054974385</v>
      </c>
      <c r="D62" s="503">
        <f>YR1991_93!D57+YR1994_96!D57+YR1997_99!D57+YR2000_02!D49+YR2003_05!D49+YR2006_08!D52+YR2009_11!D54+YR2012_14!D56+YR2015_17!D56+YR2018_20!D56+YR2021_23!D56+YR2024_26!D56</f>
        <v>21567191</v>
      </c>
      <c r="E62" s="503">
        <f>YR1991_93!E57+YR1994_96!E57+YR1997_99!E57+YR2000_02!E49+YR2003_05!E49+YR2006_08!E52+YR2009_11!E54+YR2012_14!E56+YR2015_17!E56+YR2018_20!E56+YR2021_23!E56+YR2024_26!E56</f>
        <v>0</v>
      </c>
      <c r="F62" s="503">
        <f>YR1991_93!F57+YR1994_96!F57+YR1997_99!F57+YR2000_02!F49+YR2003_05!F49+YR2006_08!F52+YR2009_11!F54+YR2012_14!F56+YR2015_17!F56+YR2018_20!F56+YR2021_23!F56+YR2024_26!F56</f>
        <v>-0.41000010073184967</v>
      </c>
      <c r="G62" s="685">
        <v>0</v>
      </c>
      <c r="H62" s="28"/>
      <c r="I62" s="28"/>
      <c r="J62" s="493"/>
    </row>
    <row r="63" spans="1:11" ht="17.25" customHeight="1" thickBot="1">
      <c r="A63" s="507" t="s">
        <v>121</v>
      </c>
      <c r="B63" s="503">
        <f>YR1991_93!B58+YR1994_96!B58+YR1997_99!B58+YR2000_02!B50+YR2003_05!B50+YR2006_08!B53+YR2009_11!B55+YR2012_14!B57+YR2015_17!B57+YR2018_20!B57+YR2021_23!B57+YR2024_26!B57</f>
        <v>1336169</v>
      </c>
      <c r="C63" s="503">
        <f>YR1991_93!C58+YR1994_96!C58+YR1997_99!C58+YR2000_02!C50+YR2003_05!C50+YR2006_08!C53+YR2009_11!C55+YR2012_14!C57+YR2015_17!C57+YR2018_20!C57+YR2021_23!C57+YR2024_26!C57</f>
        <v>472506</v>
      </c>
      <c r="D63" s="503">
        <f>YR1991_93!D58+YR1994_96!D58+YR1997_99!D58+YR2000_02!D50+YR2003_05!D50+YR2006_08!D53+YR2009_11!D55+YR2012_14!D57+YR2015_17!D57+YR2018_20!D57+YR2021_23!D57+YR2024_26!D57</f>
        <v>0</v>
      </c>
      <c r="E63" s="503">
        <f>YR1991_93!E58+YR1994_96!E58+YR1997_99!E58+YR2000_02!E50+YR2003_05!E50+YR2006_08!E53+YR2009_11!E55+YR2012_14!E57+YR2015_17!E57+YR2018_20!E57+YR2021_23!E57+YR2024_26!E57</f>
        <v>0</v>
      </c>
      <c r="F63" s="503">
        <f>YR1991_93!F58+YR1994_96!F58+YR1997_99!F58+YR2000_02!F50+YR2003_05!F50+YR2006_08!F53+YR2009_11!F55+YR2012_14!F57+YR2015_17!F57+YR2018_20!F57+YR2021_23!F57+YR2024_26!F57</f>
        <v>863663</v>
      </c>
      <c r="G63" s="508">
        <v>0</v>
      </c>
      <c r="I63" s="28"/>
      <c r="J63" s="493"/>
    </row>
    <row r="64" spans="1:11" ht="17.25" customHeight="1" thickBot="1">
      <c r="A64" s="509" t="s">
        <v>122</v>
      </c>
      <c r="B64" s="82">
        <f t="shared" ref="B64:G64" si="0">SUM(B9:B63)</f>
        <v>4792310473.6901188</v>
      </c>
      <c r="C64" s="82">
        <f t="shared" si="0"/>
        <v>4345293307.0782166</v>
      </c>
      <c r="D64" s="82">
        <f t="shared" si="0"/>
        <v>188759809.12</v>
      </c>
      <c r="E64" s="82">
        <f t="shared" si="0"/>
        <v>-0.10985664278268814</v>
      </c>
      <c r="F64" s="82">
        <f t="shared" si="0"/>
        <v>258257357.60175961</v>
      </c>
      <c r="G64" s="145">
        <f t="shared" si="0"/>
        <v>30045913.190725416</v>
      </c>
      <c r="H64" s="28"/>
      <c r="I64" s="356"/>
      <c r="J64" s="356"/>
      <c r="K64" s="356"/>
    </row>
    <row r="65" spans="1:10" ht="17.25" customHeight="1" thickBot="1">
      <c r="A65" s="510" t="s">
        <v>123</v>
      </c>
      <c r="B65" s="511">
        <f>YR1994_96!B60+YR2006_08!B55+YR2009_11!B57+YR2012_14!B59+YR2015_17!B59+YR2018_20!B59+YR2021_23!B59</f>
        <v>50765644.399999999</v>
      </c>
      <c r="C65" s="511">
        <v>0</v>
      </c>
      <c r="D65" s="511">
        <v>0</v>
      </c>
      <c r="E65" s="511">
        <v>0</v>
      </c>
      <c r="F65" s="512">
        <f>B65-C65-D65-E65</f>
        <v>50765644.399999999</v>
      </c>
      <c r="G65" s="513"/>
      <c r="H65" s="28"/>
      <c r="J65" s="356"/>
    </row>
    <row r="66" spans="1:10" s="16" customFormat="1" ht="17.25" customHeight="1" thickBot="1">
      <c r="A66" s="514" t="s">
        <v>124</v>
      </c>
      <c r="B66" s="82">
        <f>B64+B65</f>
        <v>4843076118.0901184</v>
      </c>
      <c r="C66" s="82">
        <f>C64+C65</f>
        <v>4345293307.0782166</v>
      </c>
      <c r="D66" s="82">
        <f>D64+D65</f>
        <v>188759809.12</v>
      </c>
      <c r="E66" s="82">
        <f>E64+E65</f>
        <v>-0.10985664278268814</v>
      </c>
      <c r="F66" s="83">
        <f>F64+F65</f>
        <v>309023002.00175959</v>
      </c>
      <c r="G66" s="84"/>
      <c r="I66" s="496"/>
    </row>
    <row r="67" spans="1:10" ht="3" customHeight="1">
      <c r="A67" s="85"/>
      <c r="B67" s="86"/>
      <c r="C67" s="86"/>
      <c r="D67" s="86"/>
      <c r="E67" s="86"/>
      <c r="F67" s="86"/>
      <c r="G67" s="87"/>
    </row>
    <row r="68" spans="1:10" ht="40.5" customHeight="1">
      <c r="A68" s="736" t="s">
        <v>125</v>
      </c>
      <c r="B68" s="736"/>
      <c r="C68" s="736"/>
      <c r="D68" s="736"/>
      <c r="E68" s="736"/>
      <c r="F68" s="736"/>
      <c r="G68" s="736"/>
    </row>
    <row r="69" spans="1:10" ht="5.25" customHeight="1">
      <c r="A69" s="737" t="s">
        <v>126</v>
      </c>
      <c r="B69" s="737"/>
      <c r="C69" s="737"/>
      <c r="D69" s="737"/>
      <c r="E69" s="737"/>
      <c r="F69" s="737"/>
      <c r="G69" s="737"/>
    </row>
    <row r="70" spans="1:10" ht="30.75" customHeight="1">
      <c r="A70" s="736" t="s">
        <v>127</v>
      </c>
      <c r="B70" s="736"/>
      <c r="C70" s="736"/>
      <c r="D70" s="736"/>
      <c r="E70" s="736"/>
      <c r="F70" s="736"/>
      <c r="G70" s="736"/>
    </row>
    <row r="71" spans="1:10" ht="5.25" customHeight="1">
      <c r="A71" s="88"/>
      <c r="B71" s="89"/>
      <c r="C71" s="89"/>
      <c r="D71" s="89"/>
      <c r="E71" s="89"/>
      <c r="F71" s="89"/>
      <c r="G71" s="89"/>
    </row>
    <row r="72" spans="1:10" ht="18" customHeight="1">
      <c r="A72" s="734" t="s">
        <v>128</v>
      </c>
      <c r="B72" s="734"/>
      <c r="C72" s="734"/>
      <c r="D72" s="734"/>
      <c r="E72" s="734"/>
      <c r="F72" s="734"/>
      <c r="G72" s="734"/>
    </row>
    <row r="73" spans="1:10" ht="18" hidden="1" customHeight="1">
      <c r="A73" s="90"/>
      <c r="B73" s="62">
        <v>3502991126.0963788</v>
      </c>
      <c r="C73" s="62">
        <v>3196724255.358716</v>
      </c>
      <c r="D73" s="62">
        <v>156978593.31</v>
      </c>
      <c r="E73" s="62">
        <v>7591090.7338935453</v>
      </c>
      <c r="F73" s="62">
        <v>141697186.69376969</v>
      </c>
      <c r="G73" s="91">
        <v>15633531.794175597</v>
      </c>
    </row>
    <row r="74" spans="1:10" hidden="1">
      <c r="B74" s="92">
        <f>B64-B73</f>
        <v>1289319347.59374</v>
      </c>
      <c r="C74" s="92">
        <f t="shared" ref="C74:G74" si="1">C64-C73</f>
        <v>1148569051.7195005</v>
      </c>
      <c r="D74" s="92">
        <f t="shared" si="1"/>
        <v>31781215.810000002</v>
      </c>
      <c r="E74" s="92">
        <f t="shared" si="1"/>
        <v>-7591090.8437501881</v>
      </c>
      <c r="F74" s="92">
        <f t="shared" si="1"/>
        <v>116560170.90798992</v>
      </c>
      <c r="G74" s="92">
        <f t="shared" si="1"/>
        <v>14412381.396549819</v>
      </c>
    </row>
    <row r="75" spans="1:10">
      <c r="B75" s="92"/>
      <c r="C75" s="92"/>
      <c r="D75" s="92"/>
      <c r="E75" s="92"/>
      <c r="F75" s="92"/>
    </row>
    <row r="77" spans="1:10">
      <c r="A77"/>
    </row>
    <row r="78" spans="1:10">
      <c r="A78" s="481"/>
      <c r="G78" s="62"/>
    </row>
    <row r="79" spans="1:10">
      <c r="A79"/>
      <c r="B79" s="482"/>
      <c r="D79" s="92"/>
      <c r="E79" s="92"/>
      <c r="F79" s="92"/>
      <c r="G79" s="93"/>
    </row>
    <row r="80" spans="1:10">
      <c r="A80"/>
      <c r="B80" s="482"/>
      <c r="D80" s="92"/>
      <c r="E80" s="92"/>
      <c r="F80" s="92"/>
      <c r="G80" s="93"/>
    </row>
    <row r="81" spans="1:7">
      <c r="A81"/>
      <c r="B81" s="482"/>
      <c r="E81" s="92"/>
      <c r="G81" s="93"/>
    </row>
    <row r="82" spans="1:7">
      <c r="A82"/>
      <c r="B82" s="482"/>
      <c r="E82" s="92"/>
      <c r="G82" s="93"/>
    </row>
    <row r="83" spans="1:7">
      <c r="A83"/>
      <c r="B83" s="482"/>
      <c r="E83" s="92"/>
      <c r="G83" s="93"/>
    </row>
    <row r="84" spans="1:7">
      <c r="A84"/>
      <c r="B84" s="482"/>
      <c r="E84" s="92"/>
      <c r="G84" s="93"/>
    </row>
    <row r="85" spans="1:7">
      <c r="A85"/>
      <c r="B85" s="482"/>
      <c r="E85" s="92"/>
      <c r="G85" s="93"/>
    </row>
    <row r="86" spans="1:7">
      <c r="A86" s="481"/>
      <c r="B86" s="482"/>
      <c r="E86" s="92"/>
      <c r="G86" s="93"/>
    </row>
    <row r="87" spans="1:7">
      <c r="A87"/>
      <c r="B87" s="482"/>
      <c r="E87" s="92"/>
      <c r="G87" s="93"/>
    </row>
    <row r="88" spans="1:7">
      <c r="A88"/>
      <c r="B88" s="482"/>
      <c r="D88" s="92"/>
      <c r="E88" s="92"/>
      <c r="G88" s="93"/>
    </row>
    <row r="89" spans="1:7">
      <c r="A89"/>
      <c r="B89" s="482"/>
      <c r="G89" s="93"/>
    </row>
    <row r="90" spans="1:7">
      <c r="G90" s="93"/>
    </row>
    <row r="91" spans="1:7">
      <c r="G91" s="93"/>
    </row>
    <row r="92" spans="1:7">
      <c r="G92" s="93"/>
    </row>
    <row r="93" spans="1:7">
      <c r="G93" s="93"/>
    </row>
    <row r="94" spans="1:7">
      <c r="G94" s="93"/>
    </row>
    <row r="95" spans="1:7">
      <c r="G95" s="93"/>
    </row>
    <row r="96" spans="1:7">
      <c r="G96" s="93"/>
    </row>
    <row r="97" spans="7:7">
      <c r="G97" s="93"/>
    </row>
    <row r="98" spans="7:7">
      <c r="G98" s="93"/>
    </row>
    <row r="99" spans="7:7">
      <c r="G99" s="93"/>
    </row>
    <row r="100" spans="7:7">
      <c r="G100" s="93"/>
    </row>
    <row r="101" spans="7:7">
      <c r="G101" s="93"/>
    </row>
    <row r="102" spans="7:7">
      <c r="G102" s="92"/>
    </row>
    <row r="103" spans="7:7">
      <c r="G103" s="92"/>
    </row>
    <row r="104" spans="7:7">
      <c r="G104" s="92"/>
    </row>
    <row r="105" spans="7:7">
      <c r="G105" s="92"/>
    </row>
    <row r="106" spans="7:7">
      <c r="G106" s="92"/>
    </row>
    <row r="107" spans="7:7">
      <c r="G107" s="92"/>
    </row>
    <row r="108" spans="7:7">
      <c r="G108" s="92"/>
    </row>
    <row r="109" spans="7:7">
      <c r="G109" s="93"/>
    </row>
    <row r="110" spans="7:7">
      <c r="G110" s="93"/>
    </row>
    <row r="111" spans="7:7">
      <c r="G111" s="93"/>
    </row>
    <row r="112" spans="7:7">
      <c r="G112" s="93"/>
    </row>
    <row r="113" spans="7:7">
      <c r="G113" s="93"/>
    </row>
    <row r="114" spans="7:7">
      <c r="G114" s="93"/>
    </row>
    <row r="115" spans="7:7">
      <c r="G115" s="93"/>
    </row>
    <row r="116" spans="7:7">
      <c r="G116" s="93"/>
    </row>
    <row r="117" spans="7:7">
      <c r="G117" s="93"/>
    </row>
    <row r="118" spans="7:7">
      <c r="G118" s="93"/>
    </row>
    <row r="119" spans="7:7">
      <c r="G119" s="93"/>
    </row>
    <row r="120" spans="7:7">
      <c r="G120" s="93"/>
    </row>
    <row r="121" spans="7:7">
      <c r="G121" s="93"/>
    </row>
    <row r="122" spans="7:7">
      <c r="G122" s="93"/>
    </row>
    <row r="123" spans="7:7">
      <c r="G123" s="93"/>
    </row>
    <row r="124" spans="7:7">
      <c r="G124" s="93"/>
    </row>
    <row r="125" spans="7:7">
      <c r="G125" s="93"/>
    </row>
    <row r="126" spans="7:7">
      <c r="G126" s="93"/>
    </row>
    <row r="127" spans="7:7">
      <c r="G127" s="93"/>
    </row>
    <row r="128" spans="7:7">
      <c r="G128" s="93"/>
    </row>
    <row r="129" spans="7:7">
      <c r="G129" s="93"/>
    </row>
    <row r="130" spans="7:7">
      <c r="G130" s="93"/>
    </row>
    <row r="131" spans="7:7">
      <c r="G131" s="93"/>
    </row>
    <row r="132" spans="7:7">
      <c r="G132" s="93"/>
    </row>
    <row r="133" spans="7:7">
      <c r="G133" s="93"/>
    </row>
    <row r="134" spans="7:7">
      <c r="G134" s="93"/>
    </row>
    <row r="135" spans="7:7">
      <c r="G135" s="93"/>
    </row>
    <row r="136" spans="7:7">
      <c r="G136" s="93"/>
    </row>
    <row r="137" spans="7:7">
      <c r="G137" s="93"/>
    </row>
    <row r="138" spans="7:7">
      <c r="G138" s="93"/>
    </row>
    <row r="139" spans="7:7">
      <c r="G139" s="93"/>
    </row>
    <row r="140" spans="7:7">
      <c r="G140" s="93"/>
    </row>
    <row r="141" spans="7:7">
      <c r="G141" s="93"/>
    </row>
    <row r="142" spans="7:7">
      <c r="G142" s="93"/>
    </row>
    <row r="143" spans="7:7">
      <c r="G143" s="93"/>
    </row>
    <row r="144" spans="7:7">
      <c r="G144" s="93"/>
    </row>
    <row r="145" spans="7:7">
      <c r="G145" s="93"/>
    </row>
    <row r="146" spans="7:7">
      <c r="G146" s="93"/>
    </row>
    <row r="147" spans="7:7">
      <c r="G147" s="93"/>
    </row>
    <row r="148" spans="7:7">
      <c r="G148" s="93"/>
    </row>
  </sheetData>
  <mergeCells count="7">
    <mergeCell ref="A72:G72"/>
    <mergeCell ref="A5:G5"/>
    <mergeCell ref="A6:G6"/>
    <mergeCell ref="A7:G7"/>
    <mergeCell ref="A68:G68"/>
    <mergeCell ref="A69:G69"/>
    <mergeCell ref="A70:G70"/>
  </mergeCells>
  <printOptions horizontalCentered="1"/>
  <pageMargins left="0.11811023622047245" right="0.11811023622047245" top="0.27559055118110237" bottom="0.19685039370078741" header="0.27559055118110237" footer="0.11811023622047245"/>
  <pageSetup scale="60" orientation="portrait"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4FD52-1D54-4B53-B2E5-067601194DAD}">
  <dimension ref="A1:F59"/>
  <sheetViews>
    <sheetView topLeftCell="A40" workbookViewId="0">
      <selection activeCell="B57" sqref="B57"/>
    </sheetView>
  </sheetViews>
  <sheetFormatPr defaultRowHeight="14.5"/>
  <cols>
    <col min="1" max="1" width="24.26953125" customWidth="1"/>
    <col min="2" max="2" width="16.453125" customWidth="1"/>
    <col min="3" max="3" width="14.7265625" customWidth="1"/>
    <col min="4" max="4" width="16" customWidth="1"/>
    <col min="5" max="5" width="14.7265625" customWidth="1"/>
    <col min="6" max="6" width="15.54296875" customWidth="1"/>
  </cols>
  <sheetData>
    <row r="1" spans="1:6" ht="15" customHeight="1">
      <c r="F1" s="321" t="str">
        <f>Status!C1</f>
        <v>UNEP/OzL.Pro/ExCom/94/3</v>
      </c>
    </row>
    <row r="2" spans="1:6" ht="15" customHeight="1">
      <c r="F2" s="5" t="s">
        <v>190</v>
      </c>
    </row>
    <row r="3" spans="1:6" ht="15" customHeight="1">
      <c r="F3" s="5"/>
    </row>
    <row r="4" spans="1:6">
      <c r="A4" s="760" t="s">
        <v>2</v>
      </c>
      <c r="B4" s="760"/>
      <c r="C4" s="760"/>
      <c r="D4" s="760"/>
      <c r="E4" s="760"/>
      <c r="F4" s="760"/>
    </row>
    <row r="5" spans="1:6">
      <c r="A5" s="761" t="s">
        <v>186</v>
      </c>
      <c r="B5" s="761"/>
      <c r="C5" s="761"/>
      <c r="D5" s="761"/>
      <c r="E5" s="761"/>
      <c r="F5" s="761"/>
    </row>
    <row r="6" spans="1:6" ht="15" thickBot="1">
      <c r="A6" s="762" t="str">
        <f>Status!A6</f>
        <v>As at 24/05/2024</v>
      </c>
      <c r="B6" s="762"/>
      <c r="C6" s="762"/>
      <c r="D6" s="762"/>
      <c r="E6" s="762"/>
      <c r="F6" s="762"/>
    </row>
    <row r="7" spans="1:6" ht="26.5" thickBot="1">
      <c r="A7" s="322" t="s">
        <v>60</v>
      </c>
      <c r="B7" s="323" t="s">
        <v>61</v>
      </c>
      <c r="C7" s="323" t="s">
        <v>62</v>
      </c>
      <c r="D7" s="323" t="s">
        <v>63</v>
      </c>
      <c r="E7" s="323" t="s">
        <v>64</v>
      </c>
      <c r="F7" s="324" t="s">
        <v>65</v>
      </c>
    </row>
    <row r="8" spans="1:6" ht="15" customHeight="1" thickBot="1">
      <c r="A8" s="325" t="s">
        <v>130</v>
      </c>
      <c r="B8" s="326">
        <f>'YR2003'!B8+'YR2004'!B8+'YR2005'!B8</f>
        <v>9452416.7400000002</v>
      </c>
      <c r="C8" s="326">
        <f>'YR2003'!C8+'YR2004'!C8+'YR2005'!C8-1</f>
        <v>9452416.5800000001</v>
      </c>
      <c r="D8" s="326">
        <f>'YR2003'!D8+'YR2004'!D8+'YR2005'!D8</f>
        <v>0</v>
      </c>
      <c r="E8" s="326">
        <f>'YR2003'!E8+'YR2004'!E8+'YR2005'!E8</f>
        <v>0</v>
      </c>
      <c r="F8" s="328">
        <f t="shared" ref="F8:F50" si="0">B8-C8-D8-E8</f>
        <v>0.16000000014901161</v>
      </c>
    </row>
    <row r="9" spans="1:6" ht="15" thickBot="1">
      <c r="A9" s="329" t="s">
        <v>69</v>
      </c>
      <c r="B9" s="326">
        <f>'YR2003'!B9+'YR2004'!B9+'YR2005'!B9</f>
        <v>5498539.9799999995</v>
      </c>
      <c r="C9" s="326">
        <f>'YR2003'!C9+'YR2004'!C9+'YR2005'!C9</f>
        <v>5498539.9799999995</v>
      </c>
      <c r="D9" s="326">
        <f>'YR2003'!D9+'YR2004'!D9+'YR2005'!D9</f>
        <v>0</v>
      </c>
      <c r="E9" s="326">
        <f>'YR2003'!E9+'YR2004'!E9+'YR2005'!E9</f>
        <v>0</v>
      </c>
      <c r="F9" s="328">
        <f t="shared" si="0"/>
        <v>0</v>
      </c>
    </row>
    <row r="10" spans="1:6" ht="15" thickBot="1">
      <c r="A10" s="331" t="s">
        <v>70</v>
      </c>
      <c r="B10" s="326">
        <f>'YR2003'!B10+'YR2004'!B10+'YR2005'!B10</f>
        <v>23054.674946801581</v>
      </c>
      <c r="C10" s="326">
        <f>'YR2003'!C10+'YR2004'!C10+'YR2005'!C10</f>
        <v>0</v>
      </c>
      <c r="D10" s="326">
        <f>'YR2003'!D10+'YR2004'!D10+'YR2005'!D10</f>
        <v>0</v>
      </c>
      <c r="E10" s="326">
        <f>'YR2003'!E10+'YR2004'!E10+'YR2005'!E10</f>
        <v>0</v>
      </c>
      <c r="F10" s="328">
        <f t="shared" si="0"/>
        <v>23054.674946801581</v>
      </c>
    </row>
    <row r="11" spans="1:6" ht="15" thickBot="1">
      <c r="A11" s="329" t="s">
        <v>71</v>
      </c>
      <c r="B11" s="326">
        <f>'YR2003'!B11+'YR2004'!B11+'YR2005'!B11</f>
        <v>109509.72</v>
      </c>
      <c r="C11" s="326">
        <f>'YR2003'!C11+'YR2004'!C11+'YR2005'!C11</f>
        <v>0</v>
      </c>
      <c r="D11" s="326">
        <f>'YR2003'!D11+'YR2004'!D11+'YR2005'!D11</f>
        <v>0</v>
      </c>
      <c r="E11" s="326">
        <f>'YR2003'!E11+'YR2004'!E11+'YR2005'!E11</f>
        <v>0</v>
      </c>
      <c r="F11" s="328">
        <f t="shared" si="0"/>
        <v>109509.72</v>
      </c>
    </row>
    <row r="12" spans="1:6" ht="15" thickBot="1">
      <c r="A12" s="329" t="s">
        <v>72</v>
      </c>
      <c r="B12" s="326">
        <f>'YR2003'!B12+'YR2004'!B12+'YR2005'!B12</f>
        <v>6559055.0099999998</v>
      </c>
      <c r="C12" s="326">
        <f>'YR2003'!C12+'YR2004'!C12+'YR2005'!C12</f>
        <v>6559055.3399999999</v>
      </c>
      <c r="D12" s="326">
        <f>'YR2003'!D12+'YR2004'!D12+'YR2005'!D12</f>
        <v>0</v>
      </c>
      <c r="E12" s="326">
        <f>'YR2003'!E12+'YR2004'!E12+'YR2005'!E12</f>
        <v>0</v>
      </c>
      <c r="F12" s="328">
        <f t="shared" si="0"/>
        <v>-0.33000000007450581</v>
      </c>
    </row>
    <row r="13" spans="1:6" ht="15" thickBot="1">
      <c r="A13" s="329" t="s">
        <v>73</v>
      </c>
      <c r="B13" s="326">
        <f>'YR2003'!B13+'YR2004'!B13+'YR2005'!B13</f>
        <v>74927.700000000012</v>
      </c>
      <c r="C13" s="326">
        <f>'YR2003'!C13+'YR2004'!C13+'YR2005'!C13</f>
        <v>74927.700000000012</v>
      </c>
      <c r="D13" s="326">
        <f>'YR2003'!D13+'YR2004'!D13+'YR2005'!D13</f>
        <v>0</v>
      </c>
      <c r="E13" s="326">
        <f>'YR2003'!E13+'YR2004'!E13+'YR2005'!E13</f>
        <v>0</v>
      </c>
      <c r="F13" s="328">
        <f t="shared" si="0"/>
        <v>0</v>
      </c>
    </row>
    <row r="14" spans="1:6" ht="15" thickBot="1">
      <c r="A14" s="329" t="s">
        <v>131</v>
      </c>
      <c r="B14" s="326">
        <f>'YR2003'!B14+'YR2004'!B14+'YR2005'!B14</f>
        <v>14864501.669999998</v>
      </c>
      <c r="C14" s="326">
        <f>'YR2003'!C14+'YR2004'!C14+'YR2005'!C14</f>
        <v>13594192.220000001</v>
      </c>
      <c r="D14" s="326">
        <f>'YR2003'!D14+'YR2004'!D14+'YR2005'!D14</f>
        <v>1270310.1000000001</v>
      </c>
      <c r="E14" s="326">
        <f>'YR2003'!E14+'YR2004'!E14+'YR2005'!E14</f>
        <v>0</v>
      </c>
      <c r="F14" s="328">
        <f t="shared" si="0"/>
        <v>-0.65000000270083547</v>
      </c>
    </row>
    <row r="15" spans="1:6" ht="15" thickBot="1">
      <c r="A15" s="329" t="s">
        <v>77</v>
      </c>
      <c r="B15" s="326">
        <f>'YR2003'!B15+'YR2004'!B15+'YR2005'!B15</f>
        <v>991351.02</v>
      </c>
      <c r="C15" s="326">
        <f>'YR2003'!C15+'YR2004'!C15+'YR2005'!C15</f>
        <v>925260.68000000017</v>
      </c>
      <c r="D15" s="326">
        <f>'YR2003'!D15+'YR2004'!D15+'YR2005'!D15</f>
        <v>66090</v>
      </c>
      <c r="E15" s="326">
        <f>'YR2003'!E15+'YR2004'!E15+'YR2005'!E15</f>
        <v>0</v>
      </c>
      <c r="F15" s="328">
        <f t="shared" si="0"/>
        <v>0.33999999985098839</v>
      </c>
    </row>
    <row r="16" spans="1:6" ht="15" thickBot="1">
      <c r="A16" s="329" t="s">
        <v>78</v>
      </c>
      <c r="B16" s="326">
        <f>'YR2003'!B16+'YR2004'!B16+'YR2005'!B16</f>
        <v>4351569.9000000004</v>
      </c>
      <c r="C16" s="326">
        <f>'YR2003'!C16+'YR2004'!C16+'YR2005'!C16</f>
        <v>4351569.5999999996</v>
      </c>
      <c r="D16" s="326">
        <f>'YR2003'!D16+'YR2004'!D16+'YR2005'!D16</f>
        <v>0</v>
      </c>
      <c r="E16" s="326">
        <f>'YR2003'!E16+'YR2004'!E16+'YR2005'!E16</f>
        <v>0</v>
      </c>
      <c r="F16" s="328">
        <f t="shared" si="0"/>
        <v>0.30000000074505806</v>
      </c>
    </row>
    <row r="17" spans="1:6" ht="15" thickBot="1">
      <c r="A17" s="329" t="s">
        <v>79</v>
      </c>
      <c r="B17" s="326">
        <f>'YR2003'!B17+'YR2004'!B17+'YR2005'!B17</f>
        <v>57636.69</v>
      </c>
      <c r="C17" s="326">
        <f>'YR2003'!C17+'YR2004'!C17+'YR2005'!C17</f>
        <v>57636.229999999996</v>
      </c>
      <c r="D17" s="326">
        <f>'YR2003'!D17+'YR2004'!D17+'YR2005'!D17</f>
        <v>0</v>
      </c>
      <c r="E17" s="326">
        <f>'YR2003'!E17+'YR2004'!E17+'YR2005'!E17</f>
        <v>0</v>
      </c>
      <c r="F17" s="328">
        <f t="shared" si="0"/>
        <v>0.46000000000640284</v>
      </c>
    </row>
    <row r="18" spans="1:6" ht="15" thickBot="1">
      <c r="A18" s="329" t="s">
        <v>80</v>
      </c>
      <c r="B18" s="326">
        <f>'YR2003'!B18+'YR2004'!B18+'YR2005'!B18</f>
        <v>3031689.75</v>
      </c>
      <c r="C18" s="326">
        <f>'YR2003'!C18+'YR2004'!C18+'YR2005'!C18</f>
        <v>3031689.5</v>
      </c>
      <c r="D18" s="326">
        <f>'YR2003'!D18+'YR2004'!D18+'YR2005'!D18</f>
        <v>0</v>
      </c>
      <c r="E18" s="326">
        <f>'YR2003'!E18+'YR2004'!E18+'YR2005'!E18</f>
        <v>0</v>
      </c>
      <c r="F18" s="328">
        <f t="shared" si="0"/>
        <v>0.25</v>
      </c>
    </row>
    <row r="19" spans="1:6" ht="15" thickBot="1">
      <c r="A19" s="329" t="s">
        <v>132</v>
      </c>
      <c r="B19" s="326">
        <f>'YR2003'!B19+'YR2004'!B19+'YR2005'!B19</f>
        <v>37556066</v>
      </c>
      <c r="C19" s="326">
        <f>'YR2003'!C19+'YR2004'!C19+'YR2005'!C19</f>
        <v>33209077</v>
      </c>
      <c r="D19" s="326">
        <f>'YR2003'!D19+'YR2004'!D19+'YR2005'!D19</f>
        <v>4403689</v>
      </c>
      <c r="E19" s="326">
        <f>'YR2003'!E19+'YR2004'!E19+'YR2005'!E19</f>
        <v>0</v>
      </c>
      <c r="F19" s="328">
        <f t="shared" si="0"/>
        <v>-56700</v>
      </c>
    </row>
    <row r="20" spans="1:6" ht="15" thickBot="1">
      <c r="A20" s="329" t="s">
        <v>133</v>
      </c>
      <c r="B20" s="326">
        <f>'YR2003'!B20+'YR2004'!B20+'YR2005'!B20</f>
        <v>56743318.710000001</v>
      </c>
      <c r="C20" s="326">
        <f>'YR2003'!C20+'YR2004'!C20+'YR2005'!C20</f>
        <v>46753040.350000001</v>
      </c>
      <c r="D20" s="326">
        <f>'YR2003'!D20+'YR2004'!D20+'YR2005'!D20</f>
        <v>9990279</v>
      </c>
      <c r="E20" s="326">
        <f>'YR2003'!E20+'YR2004'!E20+'YR2005'!E20</f>
        <v>4.999999888241291E-2</v>
      </c>
      <c r="F20" s="328">
        <f t="shared" si="0"/>
        <v>-0.68999999947845936</v>
      </c>
    </row>
    <row r="21" spans="1:6" ht="15" thickBot="1">
      <c r="A21" s="329" t="s">
        <v>83</v>
      </c>
      <c r="B21" s="326">
        <f>'YR2003'!B21+'YR2004'!B21+'YR2005'!B21</f>
        <v>3129672.12</v>
      </c>
      <c r="C21" s="326">
        <f>'YR2003'!C21+'YR2004'!C21+'YR2005'!C21</f>
        <v>4208790.74</v>
      </c>
      <c r="D21" s="326">
        <f>'YR2003'!D21+'YR2004'!D21+'YR2005'!D21</f>
        <v>0</v>
      </c>
      <c r="E21" s="326">
        <f>'YR2003'!E21+'YR2004'!E21+'YR2005'!E21</f>
        <v>0</v>
      </c>
      <c r="F21" s="328">
        <f t="shared" si="0"/>
        <v>-1079118.6200000001</v>
      </c>
    </row>
    <row r="22" spans="1:6" ht="15" thickBot="1">
      <c r="A22" s="329" t="s">
        <v>85</v>
      </c>
      <c r="B22" s="326">
        <f>'YR2003'!B22+'YR2004'!B22+'YR2005'!B22</f>
        <v>697403.94</v>
      </c>
      <c r="C22" s="326">
        <f>'YR2003'!C22+'YR2004'!C22+'YR2005'!C22</f>
        <v>650909.93999999994</v>
      </c>
      <c r="D22" s="326">
        <f>'YR2003'!D22+'YR2004'!D22+'YR2005'!D22</f>
        <v>46494</v>
      </c>
      <c r="E22" s="326">
        <f>'YR2003'!E22+'YR2004'!E22+'YR2005'!E22</f>
        <v>0</v>
      </c>
      <c r="F22" s="328">
        <f t="shared" si="0"/>
        <v>0</v>
      </c>
    </row>
    <row r="23" spans="1:6" ht="15" thickBot="1">
      <c r="A23" s="329" t="s">
        <v>86</v>
      </c>
      <c r="B23" s="326">
        <f>'YR2003'!B23+'YR2004'!B23+'YR2005'!B23</f>
        <v>190201.08000000002</v>
      </c>
      <c r="C23" s="326">
        <f>'YR2003'!C23+'YR2004'!C23+'YR2005'!C23</f>
        <v>190201.08000000002</v>
      </c>
      <c r="D23" s="326">
        <f>'YR2003'!D23+'YR2004'!D23+'YR2005'!D23</f>
        <v>0</v>
      </c>
      <c r="E23" s="326">
        <f>'YR2003'!E23+'YR2004'!E23+'YR2005'!E23</f>
        <v>0</v>
      </c>
      <c r="F23" s="328">
        <f t="shared" si="0"/>
        <v>0</v>
      </c>
    </row>
    <row r="24" spans="1:6" ht="15" thickBot="1">
      <c r="A24" s="329" t="s">
        <v>134</v>
      </c>
      <c r="B24" s="326">
        <f>'YR2003'!B24+'YR2004'!B24+'YR2005'!B24</f>
        <v>1711809.5999999999</v>
      </c>
      <c r="C24" s="326">
        <f>'YR2003'!C24+'YR2004'!C24+'YR2005'!C24</f>
        <v>1711809.4</v>
      </c>
      <c r="D24" s="326">
        <f>'YR2003'!D24+'YR2004'!D24+'YR2005'!D24</f>
        <v>0</v>
      </c>
      <c r="E24" s="326">
        <f>'YR2003'!E24+'YR2004'!E24+'YR2005'!E24</f>
        <v>0</v>
      </c>
      <c r="F24" s="328">
        <f t="shared" si="0"/>
        <v>0.19999999995343387</v>
      </c>
    </row>
    <row r="25" spans="1:6" ht="15" thickBot="1">
      <c r="A25" s="329" t="s">
        <v>88</v>
      </c>
      <c r="B25" s="326">
        <f>'YR2003'!B25+'YR2004'!B25+'YR2005'!B25</f>
        <v>2409213.54</v>
      </c>
      <c r="C25" s="326">
        <f>'YR2003'!C25+'YR2004'!C25+'YR2005'!C25</f>
        <v>70024</v>
      </c>
      <c r="D25" s="326">
        <f>'YR2003'!D25+'YR2004'!D25+'YR2005'!D25</f>
        <v>0</v>
      </c>
      <c r="E25" s="326">
        <f>'YR2003'!E25+'YR2004'!E25+'YR2005'!E25</f>
        <v>0</v>
      </c>
      <c r="F25" s="328">
        <f t="shared" si="0"/>
        <v>2339189.54</v>
      </c>
    </row>
    <row r="26" spans="1:6" ht="15" thickBot="1">
      <c r="A26" s="329" t="s">
        <v>89</v>
      </c>
      <c r="B26" s="326">
        <f>'YR2003'!B26+'YR2004'!B26+'YR2005'!B26</f>
        <v>29417765.219999999</v>
      </c>
      <c r="C26" s="326">
        <f>'YR2003'!C26+'YR2004'!C26+'YR2005'!C26</f>
        <v>24947765.219999999</v>
      </c>
      <c r="D26" s="326">
        <f>'YR2003'!D26+'YR2004'!D26+'YR2005'!D26</f>
        <v>4470000</v>
      </c>
      <c r="E26" s="326">
        <f>'YR2003'!E26+'YR2004'!E26+'YR2005'!E26</f>
        <v>0</v>
      </c>
      <c r="F26" s="328">
        <f t="shared" si="0"/>
        <v>0</v>
      </c>
    </row>
    <row r="27" spans="1:6" ht="15" thickBot="1">
      <c r="A27" s="329" t="s">
        <v>135</v>
      </c>
      <c r="B27" s="326">
        <f>'YR2003'!B27+'YR2004'!B27+'YR2005'!B27</f>
        <v>104280000</v>
      </c>
      <c r="C27" s="326">
        <f>'YR2003'!C27+'YR2004'!C27+'YR2005'!C27</f>
        <v>94065778</v>
      </c>
      <c r="D27" s="326">
        <f>'YR2003'!D27+'YR2004'!D27+'YR2005'!D27</f>
        <v>10214222</v>
      </c>
      <c r="E27" s="326">
        <f>'YR2003'!E27+'YR2004'!E27+'YR2005'!E27</f>
        <v>0</v>
      </c>
      <c r="F27" s="328">
        <f t="shared" si="0"/>
        <v>0</v>
      </c>
    </row>
    <row r="28" spans="1:6" ht="15" thickBot="1">
      <c r="A28" s="74" t="s">
        <v>91</v>
      </c>
      <c r="B28" s="326">
        <f>'YR2003'!B28+'YR2004'!B28+'YR2005'!B28</f>
        <v>0</v>
      </c>
      <c r="C28" s="326">
        <f>'YR2003'!C28+'YR2004'!C28+'YR2005'!C28</f>
        <v>0</v>
      </c>
      <c r="D28" s="326">
        <f>'YR2003'!D28+'YR2004'!D28+'YR2005'!D28</f>
        <v>0</v>
      </c>
      <c r="E28" s="326">
        <f>'YR2003'!E28+'YR2004'!E28+'YR2005'!E28</f>
        <v>0</v>
      </c>
      <c r="F28" s="328">
        <f t="shared" si="0"/>
        <v>0</v>
      </c>
    </row>
    <row r="29" spans="1:6" ht="15" thickBot="1">
      <c r="A29" s="329" t="s">
        <v>93</v>
      </c>
      <c r="B29" s="326">
        <f>'YR2003'!B29+'YR2004'!B29+'YR2005'!B29</f>
        <v>57636.69</v>
      </c>
      <c r="C29" s="326">
        <f>'YR2003'!C29+'YR2004'!C29+'YR2005'!C29</f>
        <v>57636.229999999996</v>
      </c>
      <c r="D29" s="326">
        <f>'YR2003'!D29+'YR2004'!D29+'YR2005'!D29</f>
        <v>0</v>
      </c>
      <c r="E29" s="326">
        <f>'YR2003'!E29+'YR2004'!E29+'YR2005'!E29</f>
        <v>0</v>
      </c>
      <c r="F29" s="328">
        <f t="shared" si="0"/>
        <v>0.46000000000640284</v>
      </c>
    </row>
    <row r="30" spans="1:6" ht="15" thickBot="1">
      <c r="A30" s="329" t="s">
        <v>94</v>
      </c>
      <c r="B30" s="326">
        <f>'YR2003'!B30+'YR2004'!B30+'YR2005'!B30</f>
        <v>34582.020000000004</v>
      </c>
      <c r="C30" s="326">
        <f>'YR2003'!C30+'YR2004'!C30+'YR2005'!C30</f>
        <v>34581.68</v>
      </c>
      <c r="D30" s="326">
        <f>'YR2003'!D30+'YR2004'!D30+'YR2005'!D30</f>
        <v>0</v>
      </c>
      <c r="E30" s="326">
        <f>'YR2003'!E30+'YR2004'!E30+'YR2005'!E30</f>
        <v>0</v>
      </c>
      <c r="F30" s="328">
        <f t="shared" si="0"/>
        <v>0.3400000000037835</v>
      </c>
    </row>
    <row r="31" spans="1:6" ht="15" thickBot="1">
      <c r="A31" s="329" t="s">
        <v>95</v>
      </c>
      <c r="B31" s="326">
        <f>'YR2003'!B31+'YR2004'!B31+'YR2005'!B31</f>
        <v>97982.37</v>
      </c>
      <c r="C31" s="326">
        <f>'YR2003'!C31+'YR2004'!C31+'YR2005'!C31</f>
        <v>0</v>
      </c>
      <c r="D31" s="326">
        <f>'YR2003'!D31+'YR2004'!D31+'YR2005'!D31</f>
        <v>0</v>
      </c>
      <c r="E31" s="326">
        <f>'YR2003'!E31+'YR2004'!E31+'YR2005'!E31</f>
        <v>0</v>
      </c>
      <c r="F31" s="328">
        <f t="shared" si="0"/>
        <v>97982.37</v>
      </c>
    </row>
    <row r="32" spans="1:6" ht="15" thickBot="1">
      <c r="A32" s="329" t="s">
        <v>96</v>
      </c>
      <c r="B32" s="326">
        <f>'YR2003'!B32+'YR2004'!B32+'YR2005'!B32</f>
        <v>461093.49</v>
      </c>
      <c r="C32" s="326">
        <f>'YR2003'!C32+'YR2004'!C32+'YR2005'!C32</f>
        <v>461093.49</v>
      </c>
      <c r="D32" s="326">
        <f>'YR2003'!D32+'YR2004'!D32+'YR2005'!D32</f>
        <v>0</v>
      </c>
      <c r="E32" s="326">
        <f>'YR2003'!E32+'YR2004'!E32+'YR2005'!E32</f>
        <v>0</v>
      </c>
      <c r="F32" s="328">
        <f t="shared" si="0"/>
        <v>0</v>
      </c>
    </row>
    <row r="33" spans="1:6" ht="15" thickBot="1">
      <c r="A33" s="329" t="s">
        <v>98</v>
      </c>
      <c r="B33" s="326">
        <f>'YR2003'!B33+'YR2004'!B33+'YR2005'!B33</f>
        <v>23054.670000000002</v>
      </c>
      <c r="C33" s="326">
        <f>'YR2003'!C33+'YR2004'!C33+'YR2005'!C33</f>
        <v>23074.670000000002</v>
      </c>
      <c r="D33" s="326">
        <f>'YR2003'!D33+'YR2004'!D33+'YR2005'!D33</f>
        <v>0</v>
      </c>
      <c r="E33" s="326">
        <f>'YR2003'!E33+'YR2004'!E33+'YR2005'!E33</f>
        <v>0</v>
      </c>
      <c r="F33" s="328">
        <f t="shared" si="0"/>
        <v>-20</v>
      </c>
    </row>
    <row r="34" spans="1:6" ht="15" thickBot="1">
      <c r="A34" s="329" t="s">
        <v>99</v>
      </c>
      <c r="B34" s="326">
        <f>'YR2003'!B34+'YR2004'!B34+'YR2005'!B34</f>
        <v>10092183.959999999</v>
      </c>
      <c r="C34" s="326">
        <f>'YR2003'!C34+'YR2004'!C34+'YR2005'!C34</f>
        <v>10092183.959999999</v>
      </c>
      <c r="D34" s="326">
        <f>'YR2003'!D34+'YR2004'!D34+'YR2005'!D34</f>
        <v>0</v>
      </c>
      <c r="E34" s="326">
        <f>'YR2003'!E34+'YR2004'!E34+'YR2005'!E34</f>
        <v>0</v>
      </c>
      <c r="F34" s="328">
        <f t="shared" si="0"/>
        <v>0</v>
      </c>
    </row>
    <row r="35" spans="1:6" ht="15" thickBot="1">
      <c r="A35" s="329" t="s">
        <v>100</v>
      </c>
      <c r="B35" s="326">
        <f>'YR2003'!B35+'YR2004'!B35+'YR2005'!B35</f>
        <v>1400571.51</v>
      </c>
      <c r="C35" s="326">
        <f>'YR2003'!C35+'YR2004'!C35+'YR2005'!C35</f>
        <v>1400571.51</v>
      </c>
      <c r="D35" s="326">
        <f>'YR2003'!D35+'YR2004'!D35+'YR2005'!D35</f>
        <v>0</v>
      </c>
      <c r="E35" s="326">
        <f>'YR2003'!E35+'YR2004'!E35+'YR2005'!E35</f>
        <v>0</v>
      </c>
      <c r="F35" s="328">
        <f t="shared" si="0"/>
        <v>0</v>
      </c>
    </row>
    <row r="36" spans="1:6" ht="15" thickBot="1">
      <c r="A36" s="329" t="s">
        <v>101</v>
      </c>
      <c r="B36" s="326">
        <f>'YR2003'!B36+'YR2004'!B36+'YR2005'!B36</f>
        <v>3757912.0200000005</v>
      </c>
      <c r="C36" s="326">
        <f>'YR2003'!C36+'YR2004'!C36+'YR2005'!C36</f>
        <v>3757911.6799999997</v>
      </c>
      <c r="D36" s="326">
        <f>'YR2003'!D36+'YR2004'!D36+'YR2005'!D36</f>
        <v>0</v>
      </c>
      <c r="E36" s="326">
        <f>'YR2003'!E36+'YR2004'!E36+'YR2005'!E36</f>
        <v>0</v>
      </c>
      <c r="F36" s="328">
        <f t="shared" si="0"/>
        <v>0.34000000078231096</v>
      </c>
    </row>
    <row r="37" spans="1:6" ht="15" thickBot="1">
      <c r="A37" s="329" t="s">
        <v>103</v>
      </c>
      <c r="B37" s="326">
        <f>'YR2003'!B37+'YR2004'!B37+'YR2005'!B37</f>
        <v>1838610.33</v>
      </c>
      <c r="C37" s="326">
        <f>'YR2003'!C37+'YR2004'!C37+'YR2005'!C37</f>
        <v>1838610.1099999999</v>
      </c>
      <c r="D37" s="326">
        <f>'YR2003'!D37+'YR2004'!D37+'YR2005'!D37</f>
        <v>0</v>
      </c>
      <c r="E37" s="326">
        <f>'YR2003'!E37+'YR2004'!E37+'YR2005'!E37</f>
        <v>0</v>
      </c>
      <c r="F37" s="328">
        <f t="shared" si="0"/>
        <v>0.22000000020489097</v>
      </c>
    </row>
    <row r="38" spans="1:6" ht="15" thickBot="1">
      <c r="A38" s="329" t="s">
        <v>104</v>
      </c>
      <c r="B38" s="326">
        <f>'YR2003'!B38+'YR2004'!B38+'YR2005'!B38</f>
        <v>2685869.64</v>
      </c>
      <c r="C38" s="326">
        <f>'YR2003'!C38+'YR2004'!C38+'YR2005'!C38</f>
        <v>2638126.6399999997</v>
      </c>
      <c r="D38" s="326">
        <f>'YR2003'!D38+'YR2004'!D38+'YR2005'!D38</f>
        <v>47743</v>
      </c>
      <c r="E38" s="326">
        <f>'YR2003'!E38+'YR2004'!E38+'YR2005'!E38</f>
        <v>0</v>
      </c>
      <c r="F38" s="328">
        <f t="shared" si="0"/>
        <v>4.6566128730773926E-10</v>
      </c>
    </row>
    <row r="39" spans="1:6" ht="15" thickBot="1">
      <c r="A39" s="329" t="s">
        <v>106</v>
      </c>
      <c r="B39" s="326">
        <f>'YR2003'!B39+'YR2004'!B39+'YR2005'!B39</f>
        <v>6916402.4700000007</v>
      </c>
      <c r="C39" s="326">
        <f>'YR2003'!C39+'YR2004'!C39+'YR2005'!C39</f>
        <v>0</v>
      </c>
      <c r="D39" s="326">
        <f>'YR2003'!D39+'YR2004'!D39+'YR2005'!D39</f>
        <v>0</v>
      </c>
      <c r="E39" s="326">
        <f>'YR2003'!E39+'YR2004'!E39+'YR2005'!E39</f>
        <v>0</v>
      </c>
      <c r="F39" s="328">
        <f t="shared" si="0"/>
        <v>6916402.4700000007</v>
      </c>
    </row>
    <row r="40" spans="1:6" ht="15" thickBot="1">
      <c r="A40" s="333" t="s">
        <v>109</v>
      </c>
      <c r="B40" s="326">
        <f>'YR2003'!B40+'YR2004'!B40+'YR2005'!B40</f>
        <v>247838.18</v>
      </c>
      <c r="C40" s="326">
        <f>'YR2003'!C40+'YR2004'!C40+'YR2005'!C40</f>
        <v>231315.18</v>
      </c>
      <c r="D40" s="326">
        <f>'YR2003'!D40+'YR2004'!D40+'YR2005'!D40</f>
        <v>16523</v>
      </c>
      <c r="E40" s="326">
        <f>'YR2003'!E40+'YR2004'!E40+'YR2005'!E40</f>
        <v>0</v>
      </c>
      <c r="F40" s="328">
        <f t="shared" si="0"/>
        <v>0</v>
      </c>
    </row>
    <row r="41" spans="1:6" ht="15" thickBot="1">
      <c r="A41" s="329" t="s">
        <v>110</v>
      </c>
      <c r="B41" s="326">
        <f>'YR2003'!B41+'YR2004'!B41+'YR2005'!B41</f>
        <v>466857.18</v>
      </c>
      <c r="C41" s="326">
        <f>'YR2003'!C41+'YR2004'!C41+'YR2005'!C41</f>
        <v>466857.06</v>
      </c>
      <c r="D41" s="326">
        <f>'YR2003'!D41+'YR2004'!D41+'YR2005'!D41</f>
        <v>0</v>
      </c>
      <c r="E41" s="326">
        <f>'YR2003'!E41+'YR2004'!E41+'YR2005'!E41</f>
        <v>0</v>
      </c>
      <c r="F41" s="328">
        <f t="shared" si="0"/>
        <v>0.11999999999534339</v>
      </c>
    </row>
    <row r="42" spans="1:6" ht="15" thickBot="1">
      <c r="A42" s="329" t="s">
        <v>112</v>
      </c>
      <c r="B42" s="326">
        <f>'YR2003'!B42+'YR2004'!B42+'YR2005'!B42</f>
        <v>14633954.939999998</v>
      </c>
      <c r="C42" s="326">
        <f>'YR2003'!C42+'YR2004'!C42+'YR2005'!C42</f>
        <v>13069353.970000001</v>
      </c>
      <c r="D42" s="326">
        <f>'YR2003'!D42+'YR2004'!D42+'YR2005'!D42</f>
        <v>1560201</v>
      </c>
      <c r="E42" s="326">
        <f>'YR2003'!E42+'YR2004'!E42+'YR2005'!E42</f>
        <v>0</v>
      </c>
      <c r="F42" s="328">
        <f t="shared" si="0"/>
        <v>4399.9699999969453</v>
      </c>
    </row>
    <row r="43" spans="1:6" ht="15" thickBot="1">
      <c r="A43" s="329" t="s">
        <v>136</v>
      </c>
      <c r="B43" s="326">
        <f>'YR2003'!B43+'YR2004'!B43+'YR2005'!B43</f>
        <v>5965397.4199999999</v>
      </c>
      <c r="C43" s="326">
        <f>'YR2003'!C43+'YR2004'!C43+'YR2005'!C43</f>
        <v>5533585.4299999997</v>
      </c>
      <c r="D43" s="326">
        <f>'YR2003'!D43+'YR2004'!D43+'YR2005'!D43</f>
        <v>431812</v>
      </c>
      <c r="E43" s="326">
        <f>'YR2003'!E43+'YR2004'!E43+'YR2005'!E43</f>
        <v>0</v>
      </c>
      <c r="F43" s="328">
        <f t="shared" si="0"/>
        <v>-9.9999997764825821E-3</v>
      </c>
    </row>
    <row r="44" spans="1:6" ht="15" thickBot="1">
      <c r="A44" s="329" t="s">
        <v>114</v>
      </c>
      <c r="B44" s="326">
        <f>'YR2003'!B44+'YR2004'!B44+'YR2005'!B44</f>
        <v>7342913.9700000007</v>
      </c>
      <c r="C44" s="326">
        <f>'YR2003'!C44+'YR2004'!C44+'YR2005'!C44</f>
        <v>6653985.6799999997</v>
      </c>
      <c r="D44" s="326">
        <f>'YR2003'!D44+'YR2004'!D44+'YR2005'!D44</f>
        <v>978943</v>
      </c>
      <c r="E44" s="326">
        <f>'YR2003'!E44+'YR2004'!E44+'YR2005'!E44</f>
        <v>0</v>
      </c>
      <c r="F44" s="328">
        <f t="shared" si="0"/>
        <v>-290014.70999999903</v>
      </c>
    </row>
    <row r="45" spans="1:6" ht="15" thickBot="1">
      <c r="A45" s="329" t="s">
        <v>115</v>
      </c>
      <c r="B45" s="326">
        <f>'YR2003'!B45+'YR2004'!B45+'YR2005'!B45</f>
        <v>5763.66</v>
      </c>
      <c r="C45" s="326">
        <f>'YR2003'!C45+'YR2004'!C45+'YR2005'!C45</f>
        <v>0</v>
      </c>
      <c r="D45" s="326">
        <f>'YR2003'!D45+'YR2004'!D45+'YR2005'!D45</f>
        <v>0</v>
      </c>
      <c r="E45" s="326">
        <f>'YR2003'!E45+'YR2004'!E45+'YR2005'!E45</f>
        <v>0</v>
      </c>
      <c r="F45" s="328">
        <f t="shared" si="0"/>
        <v>5763.66</v>
      </c>
    </row>
    <row r="46" spans="1:6" ht="15" thickBot="1">
      <c r="A46" s="329" t="s">
        <v>187</v>
      </c>
      <c r="B46" s="326">
        <f>'YR2003'!B46+'YR2004'!B46+'YR2005'!B46</f>
        <v>17291.010000000002</v>
      </c>
      <c r="C46" s="326">
        <f>'YR2003'!C46+'YR2004'!C46+'YR2005'!C46</f>
        <v>5763.67</v>
      </c>
      <c r="D46" s="326">
        <f>'YR2003'!D46+'YR2004'!D46+'YR2005'!D46</f>
        <v>0</v>
      </c>
      <c r="E46" s="326">
        <f>'YR2003'!E46+'YR2004'!E46+'YR2005'!E46</f>
        <v>0</v>
      </c>
      <c r="F46" s="328">
        <f t="shared" si="0"/>
        <v>11527.340000000002</v>
      </c>
    </row>
    <row r="47" spans="1:6" ht="15" thickBot="1">
      <c r="A47" s="329" t="s">
        <v>117</v>
      </c>
      <c r="B47" s="326">
        <f>'YR2003'!B47+'YR2004'!B47+'YR2005'!B47</f>
        <v>305474.43</v>
      </c>
      <c r="C47" s="326">
        <f>'YR2003'!C47+'YR2004'!C47+'YR2005'!C47</f>
        <v>0</v>
      </c>
      <c r="D47" s="326">
        <f>'YR2003'!D47+'YR2004'!D47+'YR2005'!D47</f>
        <v>0</v>
      </c>
      <c r="E47" s="326">
        <f>'YR2003'!E47+'YR2004'!E47+'YR2005'!E47</f>
        <v>0</v>
      </c>
      <c r="F47" s="328">
        <f t="shared" si="0"/>
        <v>305474.43</v>
      </c>
    </row>
    <row r="48" spans="1:6" ht="15" thickBot="1">
      <c r="A48" s="329" t="s">
        <v>119</v>
      </c>
      <c r="B48" s="326">
        <f>'YR2003'!B48+'YR2004'!B48+'YR2005'!B48</f>
        <v>32155507.890000001</v>
      </c>
      <c r="C48" s="326">
        <f>'YR2003'!C48+'YR2004'!C48+'YR2005'!C48</f>
        <v>32155508.300000004</v>
      </c>
      <c r="D48" s="326">
        <f>'YR2003'!D48+'YR2004'!D48+'YR2005'!D48</f>
        <v>0</v>
      </c>
      <c r="E48" s="326">
        <f>'YR2003'!E48+'YR2004'!E48+'YR2005'!E48</f>
        <v>0</v>
      </c>
      <c r="F48" s="328">
        <f t="shared" si="0"/>
        <v>-0.41000000387430191</v>
      </c>
    </row>
    <row r="49" spans="1:6" ht="15" thickBot="1">
      <c r="A49" s="329" t="s">
        <v>120</v>
      </c>
      <c r="B49" s="326">
        <f>'YR2003'!B49+'YR2004'!B49+'YR2005'!B49</f>
        <v>104280000</v>
      </c>
      <c r="C49" s="326">
        <f>'YR2003'!C49+'YR2004'!C49+'YR2005'!C49</f>
        <v>93530000</v>
      </c>
      <c r="D49" s="326">
        <f>'YR2003'!D49+'YR2004'!D49+'YR2005'!D49</f>
        <v>10750000</v>
      </c>
      <c r="E49" s="326">
        <f>'YR2003'!E49+'YR2004'!E49+'YR2005'!E49</f>
        <v>0</v>
      </c>
      <c r="F49" s="328">
        <f t="shared" si="0"/>
        <v>0</v>
      </c>
    </row>
    <row r="50" spans="1:6" ht="15" thickBot="1">
      <c r="A50" s="334" t="s">
        <v>121</v>
      </c>
      <c r="B50" s="326">
        <f>'YR2003'!B50+'YR2004'!B50+'YR2005'!B50</f>
        <v>63400.350000000006</v>
      </c>
      <c r="C50" s="326">
        <f>'YR2003'!C50+'YR2004'!C50+'YR2005'!C50</f>
        <v>21133</v>
      </c>
      <c r="D50" s="326">
        <f>'YR2003'!D50+'YR2004'!D50+'YR2005'!D50</f>
        <v>0</v>
      </c>
      <c r="E50" s="326">
        <f>'YR2003'!E50+'YR2004'!E50+'YR2005'!E50</f>
        <v>0</v>
      </c>
      <c r="F50" s="328">
        <f t="shared" si="0"/>
        <v>42267.350000000006</v>
      </c>
    </row>
    <row r="51" spans="1:6" ht="15" thickBot="1">
      <c r="A51" s="338" t="s">
        <v>124</v>
      </c>
      <c r="B51" s="339">
        <f>SUM(B8:B50)</f>
        <v>474000001.26494682</v>
      </c>
      <c r="C51" s="340">
        <f>SUM(C8:C50)</f>
        <v>421323975.82000011</v>
      </c>
      <c r="D51" s="341">
        <f>SUM(D8:D50)</f>
        <v>44246306.100000001</v>
      </c>
      <c r="E51" s="342">
        <f>SUM(E8:E50)</f>
        <v>4.999999888241291E-2</v>
      </c>
      <c r="F51" s="342">
        <f>SUM(F8:F50)</f>
        <v>8429719.2949467972</v>
      </c>
    </row>
    <row r="52" spans="1:6">
      <c r="A52" s="210"/>
      <c r="B52" s="110"/>
      <c r="C52" s="110"/>
      <c r="D52" s="110"/>
      <c r="E52" s="110"/>
      <c r="F52" s="110"/>
    </row>
    <row r="53" spans="1:6">
      <c r="A53" s="210"/>
      <c r="B53" s="110"/>
      <c r="C53" s="110"/>
      <c r="D53" s="110"/>
      <c r="E53" s="110"/>
      <c r="F53" s="110"/>
    </row>
    <row r="54" spans="1:6">
      <c r="A54" s="210"/>
      <c r="B54" s="110"/>
      <c r="C54" s="110"/>
      <c r="D54" s="110"/>
      <c r="E54" s="110"/>
      <c r="F54" s="110"/>
    </row>
    <row r="55" spans="1:6">
      <c r="A55" s="116"/>
      <c r="B55" s="116"/>
      <c r="C55" s="116"/>
      <c r="D55" s="116"/>
      <c r="E55" s="116"/>
      <c r="F55" s="116"/>
    </row>
    <row r="56" spans="1:6" ht="15" thickBot="1">
      <c r="A56" s="110"/>
      <c r="B56" s="110"/>
      <c r="C56" s="110"/>
      <c r="D56" s="110"/>
      <c r="E56" s="110"/>
      <c r="F56" s="110"/>
    </row>
    <row r="57" spans="1:6" ht="15" thickBot="1">
      <c r="A57" s="102" t="s">
        <v>139</v>
      </c>
      <c r="B57" s="172">
        <f>B10+B11+B13+B15+B17+B22+B29+B31+B37+B39+B40+B41+B45+B46+B47+B50</f>
        <v>11971140.414946802</v>
      </c>
      <c r="C57" s="172">
        <f>C10+C11+C13+C15+C17+C22+C29+C31+C37+C39+C40+C41+C45+C46+C47+C50</f>
        <v>4330049.8</v>
      </c>
      <c r="D57" s="172">
        <f>D10+D11+D13+D15+D17+D22+D29+D31+D37+D39+D40+D41+D45+D46+D47+D50</f>
        <v>129107</v>
      </c>
      <c r="E57" s="172">
        <f>E10+E11+E13+E15+E17+E22+E29+E31+E37+E39+E40+E41+E45+E46+E47+E50</f>
        <v>0</v>
      </c>
      <c r="F57" s="173">
        <f>B57-C57-D57-E57</f>
        <v>7511983.6149468021</v>
      </c>
    </row>
    <row r="58" spans="1:6">
      <c r="A58" s="116"/>
      <c r="B58" s="116"/>
      <c r="C58" s="116"/>
      <c r="D58" s="116"/>
      <c r="E58" s="116"/>
      <c r="F58" s="116"/>
    </row>
    <row r="59" spans="1:6">
      <c r="A59" s="343"/>
      <c r="B59" s="150"/>
      <c r="C59" s="150"/>
      <c r="D59" s="150"/>
      <c r="E59" s="150"/>
      <c r="F59" s="150"/>
    </row>
  </sheetData>
  <mergeCells count="3">
    <mergeCell ref="A4:F4"/>
    <mergeCell ref="A5:F5"/>
    <mergeCell ref="A6:F6"/>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C5AFB-C396-46B4-A074-49DB4E7F399C}">
  <dimension ref="A1:I63"/>
  <sheetViews>
    <sheetView workbookViewId="0">
      <selection activeCell="A3" sqref="A3"/>
    </sheetView>
  </sheetViews>
  <sheetFormatPr defaultRowHeight="14.5"/>
  <cols>
    <col min="1" max="1" width="24.453125" customWidth="1"/>
    <col min="2" max="2" width="17.54296875" customWidth="1"/>
    <col min="3" max="3" width="16.26953125" customWidth="1"/>
    <col min="4" max="4" width="15.453125" customWidth="1"/>
    <col min="5" max="5" width="15.26953125" customWidth="1"/>
    <col min="6" max="6" width="16.7265625" customWidth="1"/>
    <col min="8" max="8" width="15" customWidth="1"/>
  </cols>
  <sheetData>
    <row r="1" spans="1:6">
      <c r="A1" s="294" t="str">
        <f>Status!C1</f>
        <v>UNEP/OzL.Pro/ExCom/94/3</v>
      </c>
    </row>
    <row r="2" spans="1:6">
      <c r="A2" s="344" t="s">
        <v>194</v>
      </c>
    </row>
    <row r="4" spans="1:6">
      <c r="A4" s="760" t="s">
        <v>2</v>
      </c>
      <c r="B4" s="760"/>
      <c r="C4" s="760"/>
      <c r="D4" s="760"/>
      <c r="E4" s="760"/>
      <c r="F4" s="760"/>
    </row>
    <row r="5" spans="1:6">
      <c r="A5" s="761" t="s">
        <v>189</v>
      </c>
      <c r="B5" s="761"/>
      <c r="C5" s="761"/>
      <c r="D5" s="761"/>
      <c r="E5" s="761"/>
      <c r="F5" s="761"/>
    </row>
    <row r="6" spans="1:6" ht="15" thickBot="1">
      <c r="A6" s="762" t="str">
        <f>Status!A6</f>
        <v>As at 24/05/2024</v>
      </c>
      <c r="B6" s="762"/>
      <c r="C6" s="762"/>
      <c r="D6" s="762"/>
      <c r="E6" s="762"/>
      <c r="F6" s="762"/>
    </row>
    <row r="7" spans="1:6" ht="26.25" customHeight="1" thickBot="1">
      <c r="A7" s="345" t="s">
        <v>60</v>
      </c>
      <c r="B7" s="346" t="s">
        <v>61</v>
      </c>
      <c r="C7" s="346" t="s">
        <v>62</v>
      </c>
      <c r="D7" s="346" t="s">
        <v>63</v>
      </c>
      <c r="E7" s="346" t="s">
        <v>64</v>
      </c>
      <c r="F7" s="347" t="s">
        <v>65</v>
      </c>
    </row>
    <row r="8" spans="1:6" ht="18" customHeight="1">
      <c r="A8" s="325" t="s">
        <v>130</v>
      </c>
      <c r="B8" s="326">
        <v>3150805.58</v>
      </c>
      <c r="C8" s="327">
        <v>3150805.58</v>
      </c>
      <c r="D8" s="327"/>
      <c r="E8" s="327"/>
      <c r="F8" s="328">
        <f t="shared" ref="F8:F50" si="0">B8-C8-D8-E8</f>
        <v>0</v>
      </c>
    </row>
    <row r="9" spans="1:6" ht="18" customHeight="1">
      <c r="A9" s="329" t="s">
        <v>69</v>
      </c>
      <c r="B9" s="332">
        <v>1832846.66</v>
      </c>
      <c r="C9" s="330">
        <v>1832846.66</v>
      </c>
      <c r="D9" s="330"/>
      <c r="E9" s="330"/>
      <c r="F9" s="328">
        <f t="shared" si="0"/>
        <v>0</v>
      </c>
    </row>
    <row r="10" spans="1:6" ht="18" customHeight="1">
      <c r="A10" s="331" t="s">
        <v>70</v>
      </c>
      <c r="B10" s="332">
        <v>7684.8916489338599</v>
      </c>
      <c r="C10" s="330"/>
      <c r="D10" s="330"/>
      <c r="E10" s="330"/>
      <c r="F10" s="328">
        <f t="shared" si="0"/>
        <v>7684.8916489338599</v>
      </c>
    </row>
    <row r="11" spans="1:6" ht="18" customHeight="1">
      <c r="A11" s="329" t="s">
        <v>71</v>
      </c>
      <c r="B11" s="332">
        <v>36503.24</v>
      </c>
      <c r="C11" s="330"/>
      <c r="D11" s="330"/>
      <c r="E11" s="330"/>
      <c r="F11" s="328">
        <f t="shared" si="0"/>
        <v>36503.24</v>
      </c>
    </row>
    <row r="12" spans="1:6" ht="18" customHeight="1">
      <c r="A12" s="329" t="s">
        <v>72</v>
      </c>
      <c r="B12" s="332">
        <v>2186351.67</v>
      </c>
      <c r="C12" s="330">
        <v>2186351.67</v>
      </c>
      <c r="D12" s="330"/>
      <c r="E12" s="330"/>
      <c r="F12" s="328">
        <f t="shared" si="0"/>
        <v>0</v>
      </c>
    </row>
    <row r="13" spans="1:6" ht="18" customHeight="1">
      <c r="A13" s="329" t="s">
        <v>73</v>
      </c>
      <c r="B13" s="332">
        <v>24975.9</v>
      </c>
      <c r="C13" s="332">
        <f>24975.9</f>
        <v>24975.9</v>
      </c>
      <c r="D13" s="330"/>
      <c r="E13" s="330"/>
      <c r="F13" s="328">
        <f t="shared" si="0"/>
        <v>0</v>
      </c>
    </row>
    <row r="14" spans="1:6" ht="18" customHeight="1">
      <c r="A14" s="329" t="s">
        <v>131</v>
      </c>
      <c r="B14" s="332">
        <v>4954833.8899999997</v>
      </c>
      <c r="C14" s="330">
        <f>785692+300450.77+21617.15+3963867.1-294802+750+2000+732.9</f>
        <v>4780307.92</v>
      </c>
      <c r="D14" s="330">
        <f>70060+330413-222464-750-2000-732.9</f>
        <v>174526.1</v>
      </c>
      <c r="E14" s="330">
        <f>3963867.1-3963867.1</f>
        <v>0</v>
      </c>
      <c r="F14" s="328">
        <f t="shared" si="0"/>
        <v>-0.13000000026659109</v>
      </c>
    </row>
    <row r="15" spans="1:6" ht="18" customHeight="1">
      <c r="A15" s="329" t="s">
        <v>77</v>
      </c>
      <c r="B15" s="332">
        <v>330450.34000000003</v>
      </c>
      <c r="C15" s="330">
        <v>330450.34000000003</v>
      </c>
      <c r="D15" s="330"/>
      <c r="E15" s="330"/>
      <c r="F15" s="328">
        <f t="shared" si="0"/>
        <v>0</v>
      </c>
    </row>
    <row r="16" spans="1:6" ht="18" customHeight="1">
      <c r="A16" s="329" t="s">
        <v>78</v>
      </c>
      <c r="B16" s="332">
        <v>1450523.3</v>
      </c>
      <c r="C16" s="332">
        <v>1450523.3</v>
      </c>
      <c r="D16" s="330"/>
      <c r="E16" s="330"/>
      <c r="F16" s="328">
        <f t="shared" si="0"/>
        <v>0</v>
      </c>
    </row>
    <row r="17" spans="1:9" ht="18" customHeight="1">
      <c r="A17" s="329" t="s">
        <v>79</v>
      </c>
      <c r="B17" s="332">
        <v>19212.23</v>
      </c>
      <c r="C17" s="332">
        <v>19212.23</v>
      </c>
      <c r="D17" s="330"/>
      <c r="E17" s="330"/>
      <c r="F17" s="328">
        <f t="shared" si="0"/>
        <v>0</v>
      </c>
    </row>
    <row r="18" spans="1:9" ht="18" customHeight="1">
      <c r="A18" s="329" t="s">
        <v>80</v>
      </c>
      <c r="B18" s="332">
        <v>1010563.25</v>
      </c>
      <c r="C18" s="332">
        <v>1010563.25</v>
      </c>
      <c r="D18" s="330"/>
      <c r="E18" s="330"/>
      <c r="F18" s="328">
        <f t="shared" si="0"/>
        <v>0</v>
      </c>
    </row>
    <row r="19" spans="1:9" ht="18" customHeight="1">
      <c r="A19" s="329" t="s">
        <v>132</v>
      </c>
      <c r="B19" s="332">
        <v>12518688.5</v>
      </c>
      <c r="C19" s="348">
        <f>9924992.5+49074+436843</f>
        <v>10410909.5</v>
      </c>
      <c r="D19" s="348">
        <f>550001+1866000+177695+45765+45560-49074-436843</f>
        <v>2199104</v>
      </c>
      <c r="E19" s="330">
        <v>0</v>
      </c>
      <c r="F19" s="328">
        <f t="shared" si="0"/>
        <v>-91325</v>
      </c>
      <c r="H19" s="349">
        <v>-46318</v>
      </c>
      <c r="I19" s="349">
        <v>46318</v>
      </c>
    </row>
    <row r="20" spans="1:9" ht="18" customHeight="1">
      <c r="A20" s="329" t="s">
        <v>133</v>
      </c>
      <c r="B20" s="332">
        <v>18914439.57</v>
      </c>
      <c r="C20" s="330">
        <f>1260962.64+1260962.64+1260962.64+1260962.64+1260962.64+1260962.63+2058765</f>
        <v>9624540.8299999982</v>
      </c>
      <c r="D20" s="330">
        <f>918527+670454+414056+1527263+252587+1-2058765</f>
        <v>1724123</v>
      </c>
      <c r="E20" s="330">
        <f>7565775.83-1260962.64-1260962.64-1260962.64-1260962.64-1260962.64-1260962.63</f>
        <v>0</v>
      </c>
      <c r="F20" s="328">
        <f t="shared" si="0"/>
        <v>7565775.7400000021</v>
      </c>
    </row>
    <row r="21" spans="1:9" ht="18" customHeight="1">
      <c r="A21" s="329" t="s">
        <v>83</v>
      </c>
      <c r="B21" s="332">
        <v>1043224.04</v>
      </c>
      <c r="C21" s="330">
        <v>1501378.14</v>
      </c>
      <c r="D21" s="330"/>
      <c r="E21" s="330"/>
      <c r="F21" s="328">
        <f t="shared" si="0"/>
        <v>-458154.09999999986</v>
      </c>
    </row>
    <row r="22" spans="1:9" ht="18" customHeight="1">
      <c r="A22" s="329" t="s">
        <v>85</v>
      </c>
      <c r="B22" s="332">
        <v>232467.97</v>
      </c>
      <c r="C22" s="332">
        <v>232467.97</v>
      </c>
      <c r="D22" s="330"/>
      <c r="E22" s="330"/>
      <c r="F22" s="328">
        <f t="shared" si="0"/>
        <v>0</v>
      </c>
    </row>
    <row r="23" spans="1:9" ht="18" customHeight="1">
      <c r="A23" s="329" t="s">
        <v>86</v>
      </c>
      <c r="B23" s="332">
        <v>63400.36</v>
      </c>
      <c r="C23" s="332">
        <v>63400.36</v>
      </c>
      <c r="D23" s="330"/>
      <c r="E23" s="330"/>
      <c r="F23" s="328">
        <f t="shared" si="0"/>
        <v>0</v>
      </c>
    </row>
    <row r="24" spans="1:9" ht="18" customHeight="1">
      <c r="A24" s="329" t="s">
        <v>134</v>
      </c>
      <c r="B24" s="332">
        <v>570603.19999999995</v>
      </c>
      <c r="C24" s="330">
        <v>570603.19999999995</v>
      </c>
      <c r="D24" s="330"/>
      <c r="E24" s="330"/>
      <c r="F24" s="328">
        <f t="shared" si="0"/>
        <v>0</v>
      </c>
    </row>
    <row r="25" spans="1:9" ht="18" customHeight="1">
      <c r="A25" s="329" t="s">
        <v>88</v>
      </c>
      <c r="B25" s="332">
        <v>803071.18</v>
      </c>
      <c r="C25" s="330"/>
      <c r="D25" s="330"/>
      <c r="E25" s="330"/>
      <c r="F25" s="328">
        <f t="shared" si="0"/>
        <v>803071.18</v>
      </c>
    </row>
    <row r="26" spans="1:9" ht="18" customHeight="1">
      <c r="A26" s="329" t="s">
        <v>89</v>
      </c>
      <c r="B26" s="332">
        <v>9805921.7400000002</v>
      </c>
      <c r="C26" s="330">
        <f>7844737.39+1413553.83</f>
        <v>9258291.2199999988</v>
      </c>
      <c r="D26" s="330">
        <v>547630.52</v>
      </c>
      <c r="E26" s="330"/>
      <c r="F26" s="328">
        <f t="shared" si="0"/>
        <v>1.3969838619232178E-9</v>
      </c>
    </row>
    <row r="27" spans="1:9" ht="18" customHeight="1">
      <c r="A27" s="329" t="s">
        <v>135</v>
      </c>
      <c r="B27" s="332">
        <v>34760000</v>
      </c>
      <c r="C27" s="330">
        <f>34760000-2818307-3559500-791000+1654765</f>
        <v>29245958</v>
      </c>
      <c r="D27" s="330">
        <f>2818307+3559500+791000-1654765</f>
        <v>5514042</v>
      </c>
      <c r="E27" s="330"/>
      <c r="F27" s="328">
        <f t="shared" si="0"/>
        <v>0</v>
      </c>
    </row>
    <row r="28" spans="1:9">
      <c r="A28" s="74" t="s">
        <v>91</v>
      </c>
      <c r="B28" s="179">
        <v>0</v>
      </c>
      <c r="C28" s="105">
        <v>0</v>
      </c>
      <c r="D28" s="159"/>
      <c r="E28" s="159"/>
      <c r="F28" s="328">
        <f t="shared" si="0"/>
        <v>0</v>
      </c>
      <c r="H28" s="112"/>
      <c r="I28" s="112"/>
    </row>
    <row r="29" spans="1:9" ht="18" customHeight="1">
      <c r="A29" s="329" t="s">
        <v>93</v>
      </c>
      <c r="B29" s="332">
        <v>19212.23</v>
      </c>
      <c r="C29" s="330">
        <v>19212</v>
      </c>
      <c r="D29" s="330"/>
      <c r="E29" s="330"/>
      <c r="F29" s="328">
        <f t="shared" si="0"/>
        <v>0.22999999999956344</v>
      </c>
    </row>
    <row r="30" spans="1:9" ht="18" customHeight="1">
      <c r="A30" s="329" t="s">
        <v>94</v>
      </c>
      <c r="B30" s="332">
        <v>11527.34</v>
      </c>
      <c r="C30" s="332">
        <v>11527.34</v>
      </c>
      <c r="D30" s="330"/>
      <c r="E30" s="330"/>
      <c r="F30" s="328">
        <f t="shared" si="0"/>
        <v>0</v>
      </c>
    </row>
    <row r="31" spans="1:9" ht="18" customHeight="1">
      <c r="A31" s="329" t="s">
        <v>95</v>
      </c>
      <c r="B31" s="332">
        <v>32660.79</v>
      </c>
      <c r="C31" s="330"/>
      <c r="D31" s="330"/>
      <c r="E31" s="330"/>
      <c r="F31" s="328">
        <f t="shared" si="0"/>
        <v>32660.79</v>
      </c>
    </row>
    <row r="32" spans="1:9" ht="18" customHeight="1">
      <c r="A32" s="329" t="s">
        <v>96</v>
      </c>
      <c r="B32" s="332">
        <v>153697.82999999999</v>
      </c>
      <c r="C32" s="332">
        <v>153697.82999999999</v>
      </c>
      <c r="D32" s="330"/>
      <c r="E32" s="330"/>
      <c r="F32" s="328">
        <f t="shared" si="0"/>
        <v>0</v>
      </c>
    </row>
    <row r="33" spans="1:6" ht="18" customHeight="1">
      <c r="A33" s="329" t="s">
        <v>98</v>
      </c>
      <c r="B33" s="332">
        <v>7684.89</v>
      </c>
      <c r="C33" s="332">
        <v>7684.89</v>
      </c>
      <c r="D33" s="330"/>
      <c r="E33" s="330"/>
      <c r="F33" s="328">
        <f t="shared" si="0"/>
        <v>0</v>
      </c>
    </row>
    <row r="34" spans="1:6" ht="18" customHeight="1">
      <c r="A34" s="329" t="s">
        <v>99</v>
      </c>
      <c r="B34" s="332">
        <v>3364061.32</v>
      </c>
      <c r="C34" s="332">
        <v>3364061.32</v>
      </c>
      <c r="D34" s="330"/>
      <c r="E34" s="330">
        <f>3364061.32-3364061.32</f>
        <v>0</v>
      </c>
      <c r="F34" s="328">
        <f t="shared" si="0"/>
        <v>0</v>
      </c>
    </row>
    <row r="35" spans="1:6" ht="18" customHeight="1">
      <c r="A35" s="329" t="s">
        <v>100</v>
      </c>
      <c r="B35" s="332">
        <v>466857.17</v>
      </c>
      <c r="C35" s="332">
        <v>466857.17</v>
      </c>
      <c r="D35" s="330"/>
      <c r="E35" s="330"/>
      <c r="F35" s="328">
        <f t="shared" si="0"/>
        <v>0</v>
      </c>
    </row>
    <row r="36" spans="1:6" ht="18" customHeight="1">
      <c r="A36" s="329" t="s">
        <v>101</v>
      </c>
      <c r="B36" s="332">
        <v>1252637.3400000001</v>
      </c>
      <c r="C36" s="330">
        <v>1252637.3400000001</v>
      </c>
      <c r="D36" s="330"/>
      <c r="E36" s="330"/>
      <c r="F36" s="328">
        <f t="shared" si="0"/>
        <v>0</v>
      </c>
    </row>
    <row r="37" spans="1:6" ht="18" customHeight="1">
      <c r="A37" s="329" t="s">
        <v>103</v>
      </c>
      <c r="B37" s="332">
        <v>612870.11</v>
      </c>
      <c r="C37" s="332">
        <v>612870.11</v>
      </c>
      <c r="D37" s="330"/>
      <c r="E37" s="330"/>
      <c r="F37" s="328">
        <f t="shared" si="0"/>
        <v>0</v>
      </c>
    </row>
    <row r="38" spans="1:6" ht="18" customHeight="1">
      <c r="A38" s="329" t="s">
        <v>104</v>
      </c>
      <c r="B38" s="332">
        <v>895289.88</v>
      </c>
      <c r="C38" s="332">
        <f>793589.88+53765+192</f>
        <v>847546.88</v>
      </c>
      <c r="D38" s="330">
        <f>101700-53765-192</f>
        <v>47743</v>
      </c>
      <c r="E38" s="330"/>
      <c r="F38" s="328">
        <f t="shared" si="0"/>
        <v>0</v>
      </c>
    </row>
    <row r="39" spans="1:6" ht="18" customHeight="1">
      <c r="A39" s="329" t="s">
        <v>106</v>
      </c>
      <c r="B39" s="332">
        <v>2305467.4900000002</v>
      </c>
      <c r="C39" s="330"/>
      <c r="D39" s="330"/>
      <c r="E39" s="330"/>
      <c r="F39" s="328">
        <f t="shared" si="0"/>
        <v>2305467.4900000002</v>
      </c>
    </row>
    <row r="40" spans="1:6" ht="18" customHeight="1">
      <c r="A40" s="333" t="s">
        <v>109</v>
      </c>
      <c r="B40" s="332">
        <v>82612.59</v>
      </c>
      <c r="C40" s="332">
        <v>82612.59</v>
      </c>
      <c r="D40" s="330"/>
      <c r="E40" s="330"/>
      <c r="F40" s="328">
        <f t="shared" si="0"/>
        <v>0</v>
      </c>
    </row>
    <row r="41" spans="1:6" ht="18" customHeight="1">
      <c r="A41" s="329" t="s">
        <v>110</v>
      </c>
      <c r="B41" s="332">
        <v>155619.06</v>
      </c>
      <c r="C41" s="330">
        <v>155619.06</v>
      </c>
      <c r="D41" s="330"/>
      <c r="E41" s="330"/>
      <c r="F41" s="328">
        <f t="shared" si="0"/>
        <v>0</v>
      </c>
    </row>
    <row r="42" spans="1:6" ht="18" customHeight="1">
      <c r="A42" s="329" t="s">
        <v>112</v>
      </c>
      <c r="B42" s="332">
        <v>4877984.97</v>
      </c>
      <c r="C42" s="330">
        <f>4082143.97+240</f>
        <v>4082383.97</v>
      </c>
      <c r="D42" s="330">
        <f>655841+135600-240</f>
        <v>791201</v>
      </c>
      <c r="E42" s="330"/>
      <c r="F42" s="328">
        <f t="shared" si="0"/>
        <v>4399.9999999995343</v>
      </c>
    </row>
    <row r="43" spans="1:6" ht="18" customHeight="1">
      <c r="A43" s="329" t="s">
        <v>136</v>
      </c>
      <c r="B43" s="332">
        <v>1988465.71</v>
      </c>
      <c r="C43" s="330">
        <f>1590773+200000+6437+250860+94037</f>
        <v>2142107</v>
      </c>
      <c r="D43" s="330">
        <f>135035+23113+185320-250860-94037+1429</f>
        <v>0</v>
      </c>
      <c r="E43" s="330"/>
      <c r="F43" s="328">
        <f t="shared" si="0"/>
        <v>-153641.29000000004</v>
      </c>
    </row>
    <row r="44" spans="1:6" ht="18" customHeight="1">
      <c r="A44" s="329" t="s">
        <v>114</v>
      </c>
      <c r="B44" s="332">
        <v>2447637.9900000002</v>
      </c>
      <c r="C44" s="330">
        <f>305349+2142289</f>
        <v>2447638</v>
      </c>
      <c r="D44" s="330">
        <v>290015</v>
      </c>
      <c r="E44" s="330"/>
      <c r="F44" s="328">
        <f t="shared" si="0"/>
        <v>-290015.00999999978</v>
      </c>
    </row>
    <row r="45" spans="1:6" ht="18" customHeight="1">
      <c r="A45" s="329" t="s">
        <v>115</v>
      </c>
      <c r="B45" s="332">
        <v>1921.22</v>
      </c>
      <c r="C45" s="330"/>
      <c r="D45" s="330"/>
      <c r="E45" s="330"/>
      <c r="F45" s="328">
        <f t="shared" si="0"/>
        <v>1921.22</v>
      </c>
    </row>
    <row r="46" spans="1:6" ht="18" customHeight="1">
      <c r="A46" s="329" t="s">
        <v>187</v>
      </c>
      <c r="B46" s="332">
        <v>5763.67</v>
      </c>
      <c r="C46" s="332"/>
      <c r="D46" s="330"/>
      <c r="E46" s="330"/>
      <c r="F46" s="328">
        <f t="shared" si="0"/>
        <v>5763.67</v>
      </c>
    </row>
    <row r="47" spans="1:6" ht="18" customHeight="1">
      <c r="A47" s="329" t="s">
        <v>117</v>
      </c>
      <c r="B47" s="332">
        <v>101824.81</v>
      </c>
      <c r="C47" s="330"/>
      <c r="D47" s="330"/>
      <c r="E47" s="330"/>
      <c r="F47" s="328">
        <f t="shared" si="0"/>
        <v>101824.81</v>
      </c>
    </row>
    <row r="48" spans="1:6" ht="18" customHeight="1">
      <c r="A48" s="329" t="s">
        <v>119</v>
      </c>
      <c r="B48" s="332">
        <v>10718502.630000001</v>
      </c>
      <c r="C48" s="332">
        <v>10718502.630000001</v>
      </c>
      <c r="D48" s="330"/>
      <c r="E48" s="332"/>
      <c r="F48" s="328">
        <f t="shared" si="0"/>
        <v>0</v>
      </c>
    </row>
    <row r="49" spans="1:6" ht="18" customHeight="1">
      <c r="A49" s="329" t="s">
        <v>120</v>
      </c>
      <c r="B49" s="332">
        <v>34760000</v>
      </c>
      <c r="C49" s="330">
        <f>18000000-357038+4000000+427038+2500000+2500000+2315000</f>
        <v>29385000</v>
      </c>
      <c r="D49" s="330">
        <v>5375000</v>
      </c>
      <c r="E49" s="330">
        <f>7315000-2500000-2500000-2315000</f>
        <v>0</v>
      </c>
      <c r="F49" s="328">
        <f t="shared" si="0"/>
        <v>0</v>
      </c>
    </row>
    <row r="50" spans="1:6" ht="18" customHeight="1" thickBot="1">
      <c r="A50" s="334" t="s">
        <v>121</v>
      </c>
      <c r="B50" s="332">
        <v>21133.45</v>
      </c>
      <c r="C50" s="335"/>
      <c r="D50" s="336"/>
      <c r="E50" s="337"/>
      <c r="F50" s="328">
        <f t="shared" si="0"/>
        <v>21133.45</v>
      </c>
    </row>
    <row r="51" spans="1:6" ht="18" customHeight="1" thickBot="1">
      <c r="A51" s="338" t="s">
        <v>124</v>
      </c>
      <c r="B51" s="339">
        <f>SUM(B8:B50)</f>
        <v>158000000.0016489</v>
      </c>
      <c r="C51" s="340">
        <f>SUM(C8:C50)</f>
        <v>131443544.19999999</v>
      </c>
      <c r="D51" s="341">
        <f>SUM(D8:D50)</f>
        <v>16663384.620000001</v>
      </c>
      <c r="E51" s="342">
        <f>SUM(E8:E50)</f>
        <v>0</v>
      </c>
      <c r="F51" s="342">
        <f>SUM(F8:F50)</f>
        <v>9893071.1816489398</v>
      </c>
    </row>
    <row r="52" spans="1:6">
      <c r="A52" s="210"/>
      <c r="B52" s="110"/>
      <c r="C52" s="110"/>
      <c r="D52" s="110"/>
      <c r="E52" s="110"/>
      <c r="F52" s="110"/>
    </row>
    <row r="53" spans="1:6">
      <c r="A53" s="210"/>
      <c r="B53" s="110"/>
      <c r="C53" s="110"/>
      <c r="D53" s="110"/>
      <c r="E53" s="110"/>
      <c r="F53" s="110"/>
    </row>
    <row r="54" spans="1:6">
      <c r="A54" s="210"/>
      <c r="B54" s="110"/>
      <c r="C54" s="110"/>
      <c r="D54" s="110"/>
      <c r="E54" s="110"/>
      <c r="F54" s="110"/>
    </row>
    <row r="55" spans="1:6">
      <c r="A55" s="116"/>
      <c r="B55" s="116"/>
      <c r="C55" s="116"/>
      <c r="D55" s="116"/>
      <c r="E55" s="116"/>
      <c r="F55" s="116"/>
    </row>
    <row r="56" spans="1:6" ht="15" thickBot="1">
      <c r="A56" s="110"/>
      <c r="B56" s="110"/>
      <c r="C56" s="110"/>
      <c r="D56" s="110"/>
      <c r="E56" s="110"/>
      <c r="F56" s="110"/>
    </row>
    <row r="57" spans="1:6" ht="15" thickBot="1">
      <c r="A57" s="102" t="s">
        <v>139</v>
      </c>
      <c r="B57" s="172">
        <f>B10+B11+B13+B15+B17+B22+B29+B31+B37+B39+B40+B41+B45+B46+B47+B50</f>
        <v>3990379.9916489343</v>
      </c>
      <c r="C57" s="172">
        <f>C10+C11+C13+C15+C17+C22+C29+C31+C37+C39+C40+C41+C45+C46+C47+C50</f>
        <v>1477420.2000000002</v>
      </c>
      <c r="D57" s="172">
        <f>D10+D11+D13+D15+D17+D22+D29+D31+D37+D39+D40+D41+D45+D46+D47+D50</f>
        <v>0</v>
      </c>
      <c r="E57" s="172">
        <f>E10+E11+E13+E15+E17+E22+E29+E31+E37+E39+E40+E41+E45+E46+E47+E50</f>
        <v>0</v>
      </c>
      <c r="F57" s="173">
        <f>B57-C57-D57-E57</f>
        <v>2512959.7916489341</v>
      </c>
    </row>
    <row r="58" spans="1:6">
      <c r="A58" s="116"/>
      <c r="B58" s="116"/>
      <c r="C58" s="116"/>
      <c r="D58" s="116"/>
      <c r="E58" s="116"/>
      <c r="F58" s="116"/>
    </row>
    <row r="59" spans="1:6">
      <c r="A59" s="343"/>
      <c r="B59" s="116"/>
      <c r="C59" s="116"/>
      <c r="D59" s="116"/>
      <c r="E59" s="116"/>
      <c r="F59" s="116"/>
    </row>
    <row r="60" spans="1:6">
      <c r="A60" s="116"/>
      <c r="B60" s="116"/>
      <c r="C60" s="116"/>
      <c r="D60" s="116"/>
      <c r="E60" s="116"/>
      <c r="F60" s="116"/>
    </row>
    <row r="61" spans="1:6">
      <c r="A61" s="116"/>
      <c r="B61" s="116"/>
      <c r="C61" s="116"/>
      <c r="D61" s="116"/>
      <c r="E61" s="116"/>
      <c r="F61" s="116"/>
    </row>
    <row r="62" spans="1:6">
      <c r="A62" s="116"/>
      <c r="B62" s="116"/>
      <c r="C62" s="116"/>
      <c r="D62" s="116"/>
      <c r="E62" s="116"/>
      <c r="F62" s="116"/>
    </row>
    <row r="63" spans="1:6">
      <c r="A63" s="116"/>
      <c r="B63" s="116"/>
      <c r="C63" s="116"/>
      <c r="D63" s="116"/>
      <c r="E63" s="116"/>
      <c r="F63" s="116"/>
    </row>
  </sheetData>
  <mergeCells count="3">
    <mergeCell ref="A4:F4"/>
    <mergeCell ref="A5:F5"/>
    <mergeCell ref="A6:F6"/>
  </mergeCells>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80D83-32BE-4493-A6F0-BF9742454B76}">
  <dimension ref="A1:I59"/>
  <sheetViews>
    <sheetView topLeftCell="A19" workbookViewId="0">
      <selection activeCell="F3" sqref="F3"/>
    </sheetView>
  </sheetViews>
  <sheetFormatPr defaultColWidth="9.7265625" defaultRowHeight="13"/>
  <cols>
    <col min="1" max="1" width="22.7265625" style="116" customWidth="1"/>
    <col min="2" max="2" width="16.7265625" style="116" customWidth="1"/>
    <col min="3" max="3" width="18.26953125" style="116" customWidth="1"/>
    <col min="4" max="4" width="15.26953125" style="116" customWidth="1"/>
    <col min="5" max="5" width="16.26953125" style="116" customWidth="1"/>
    <col min="6" max="6" width="18.54296875" style="116" customWidth="1"/>
    <col min="7" max="7" width="3" style="116" customWidth="1"/>
    <col min="8" max="16384" width="9.7265625" style="116"/>
  </cols>
  <sheetData>
    <row r="1" spans="1:7">
      <c r="B1" s="350"/>
      <c r="F1" s="351" t="str">
        <f>Status!C1</f>
        <v>UNEP/OzL.Pro/ExCom/94/3</v>
      </c>
    </row>
    <row r="2" spans="1:7">
      <c r="B2" s="352"/>
      <c r="F2" s="351" t="s">
        <v>242</v>
      </c>
    </row>
    <row r="3" spans="1:7">
      <c r="B3" s="352"/>
      <c r="F3" s="351"/>
    </row>
    <row r="4" spans="1:7">
      <c r="A4" s="760" t="s">
        <v>2</v>
      </c>
      <c r="B4" s="760"/>
      <c r="C4" s="760"/>
      <c r="D4" s="760"/>
      <c r="E4" s="760"/>
      <c r="F4" s="760"/>
    </row>
    <row r="5" spans="1:7">
      <c r="A5" s="761" t="s">
        <v>191</v>
      </c>
      <c r="B5" s="761"/>
      <c r="C5" s="761"/>
      <c r="D5" s="761"/>
      <c r="E5" s="761"/>
      <c r="F5" s="761"/>
    </row>
    <row r="6" spans="1:7" ht="13.5" thickBot="1">
      <c r="A6" s="762" t="str">
        <f>Status!A6</f>
        <v>As at 24/05/2024</v>
      </c>
      <c r="B6" s="762"/>
      <c r="C6" s="762"/>
      <c r="D6" s="762"/>
      <c r="E6" s="762"/>
      <c r="F6" s="762"/>
    </row>
    <row r="7" spans="1:7" ht="26.5" thickBot="1">
      <c r="A7" s="322" t="s">
        <v>60</v>
      </c>
      <c r="B7" s="323" t="s">
        <v>61</v>
      </c>
      <c r="C7" s="323" t="s">
        <v>62</v>
      </c>
      <c r="D7" s="323" t="s">
        <v>63</v>
      </c>
      <c r="E7" s="323" t="s">
        <v>64</v>
      </c>
      <c r="F7" s="324" t="s">
        <v>65</v>
      </c>
      <c r="G7" s="353"/>
    </row>
    <row r="8" spans="1:7" ht="18" customHeight="1">
      <c r="A8" s="325" t="s">
        <v>130</v>
      </c>
      <c r="B8" s="326">
        <v>3150805.58</v>
      </c>
      <c r="C8" s="327">
        <f>3058937+91869</f>
        <v>3150806</v>
      </c>
      <c r="D8" s="327"/>
      <c r="E8" s="327"/>
      <c r="F8" s="328">
        <f t="shared" ref="F8:F50" si="0">B8-C8-D8-E8</f>
        <v>-0.41999999992549419</v>
      </c>
      <c r="G8" s="354"/>
    </row>
    <row r="9" spans="1:7" ht="18" customHeight="1">
      <c r="A9" s="329" t="s">
        <v>69</v>
      </c>
      <c r="B9" s="332">
        <v>1832846.66</v>
      </c>
      <c r="C9" s="330">
        <v>1832846.66</v>
      </c>
      <c r="D9" s="330"/>
      <c r="E9" s="330"/>
      <c r="F9" s="328">
        <f t="shared" si="0"/>
        <v>0</v>
      </c>
      <c r="G9" s="354"/>
    </row>
    <row r="10" spans="1:7" ht="18" customHeight="1">
      <c r="A10" s="331" t="s">
        <v>70</v>
      </c>
      <c r="B10" s="332">
        <v>7684.8916489338599</v>
      </c>
      <c r="C10" s="330">
        <v>0</v>
      </c>
      <c r="D10" s="330"/>
      <c r="E10" s="330"/>
      <c r="F10" s="328">
        <f t="shared" si="0"/>
        <v>7684.8916489338599</v>
      </c>
      <c r="G10" s="354"/>
    </row>
    <row r="11" spans="1:7" ht="18" customHeight="1">
      <c r="A11" s="329" t="s">
        <v>71</v>
      </c>
      <c r="B11" s="332">
        <v>36503.24</v>
      </c>
      <c r="C11" s="330">
        <v>0</v>
      </c>
      <c r="D11" s="330"/>
      <c r="E11" s="330"/>
      <c r="F11" s="328">
        <f t="shared" si="0"/>
        <v>36503.24</v>
      </c>
      <c r="G11" s="354"/>
    </row>
    <row r="12" spans="1:7" ht="18" customHeight="1">
      <c r="A12" s="329" t="s">
        <v>72</v>
      </c>
      <c r="B12" s="332">
        <v>2186351.67</v>
      </c>
      <c r="C12" s="330">
        <v>2186351.67</v>
      </c>
      <c r="D12" s="330"/>
      <c r="E12" s="330"/>
      <c r="F12" s="328">
        <f t="shared" si="0"/>
        <v>0</v>
      </c>
      <c r="G12" s="354"/>
    </row>
    <row r="13" spans="1:7" ht="18" customHeight="1">
      <c r="A13" s="329" t="s">
        <v>73</v>
      </c>
      <c r="B13" s="332">
        <v>24975.9</v>
      </c>
      <c r="C13" s="330">
        <v>24975.9</v>
      </c>
      <c r="D13" s="330"/>
      <c r="E13" s="330"/>
      <c r="F13" s="328">
        <f t="shared" si="0"/>
        <v>0</v>
      </c>
      <c r="G13" s="354"/>
    </row>
    <row r="14" spans="1:7" ht="18" customHeight="1">
      <c r="A14" s="329" t="s">
        <v>131</v>
      </c>
      <c r="B14" s="332">
        <v>4954833.8899999997</v>
      </c>
      <c r="C14" s="330">
        <f>499078-61354+3963867+265918</f>
        <v>4667509</v>
      </c>
      <c r="D14" s="330">
        <f>214700+468125-395500</f>
        <v>287325</v>
      </c>
      <c r="E14" s="330">
        <f>3963867-3963867</f>
        <v>0</v>
      </c>
      <c r="F14" s="328">
        <f t="shared" si="0"/>
        <v>-0.11000000033527613</v>
      </c>
      <c r="G14" s="354"/>
    </row>
    <row r="15" spans="1:7" ht="18" customHeight="1">
      <c r="A15" s="329" t="s">
        <v>77</v>
      </c>
      <c r="B15" s="332">
        <v>330450.34000000003</v>
      </c>
      <c r="C15" s="330">
        <f>330450+330450-330450</f>
        <v>330450</v>
      </c>
      <c r="D15" s="330"/>
      <c r="E15" s="330"/>
      <c r="F15" s="328">
        <f t="shared" si="0"/>
        <v>0.34000000002561137</v>
      </c>
      <c r="G15" s="354"/>
    </row>
    <row r="16" spans="1:7" ht="18" customHeight="1">
      <c r="A16" s="329" t="s">
        <v>78</v>
      </c>
      <c r="B16" s="332">
        <v>1450523.3</v>
      </c>
      <c r="C16" s="332">
        <v>1450523.3</v>
      </c>
      <c r="D16" s="330"/>
      <c r="E16" s="330"/>
      <c r="F16" s="328">
        <f t="shared" si="0"/>
        <v>0</v>
      </c>
      <c r="G16" s="354"/>
    </row>
    <row r="17" spans="1:9" ht="18" customHeight="1">
      <c r="A17" s="329" t="s">
        <v>79</v>
      </c>
      <c r="B17" s="332">
        <v>19212.23</v>
      </c>
      <c r="C17" s="330">
        <v>19212</v>
      </c>
      <c r="D17" s="330"/>
      <c r="E17" s="330"/>
      <c r="F17" s="328">
        <f t="shared" si="0"/>
        <v>0.22999999999956344</v>
      </c>
      <c r="G17" s="354"/>
    </row>
    <row r="18" spans="1:9" ht="18" customHeight="1">
      <c r="A18" s="329" t="s">
        <v>80</v>
      </c>
      <c r="B18" s="332">
        <v>1010563.25</v>
      </c>
      <c r="C18" s="330">
        <v>1010563</v>
      </c>
      <c r="D18" s="330"/>
      <c r="E18" s="330"/>
      <c r="F18" s="328">
        <f t="shared" si="0"/>
        <v>0.25</v>
      </c>
      <c r="G18" s="354"/>
    </row>
    <row r="19" spans="1:9" ht="18" customHeight="1">
      <c r="A19" s="329" t="s">
        <v>132</v>
      </c>
      <c r="B19" s="332">
        <v>12518688.5</v>
      </c>
      <c r="C19" s="348">
        <f>10216005.5+46318+37643+14137</f>
        <v>10314103.5</v>
      </c>
      <c r="D19" s="348">
        <f>991683+1085000+226000-46318-37643-14137</f>
        <v>2204585</v>
      </c>
      <c r="E19" s="330">
        <v>0</v>
      </c>
      <c r="F19" s="328">
        <f t="shared" si="0"/>
        <v>0</v>
      </c>
      <c r="G19" s="354"/>
    </row>
    <row r="20" spans="1:9" ht="18" customHeight="1">
      <c r="A20" s="329" t="s">
        <v>82</v>
      </c>
      <c r="B20" s="332">
        <v>18914439.57</v>
      </c>
      <c r="C20" s="330">
        <f>6304813.19+6304813.19+3152406.6+3152406.59+1204445</f>
        <v>20118884.57</v>
      </c>
      <c r="D20" s="330">
        <f>1901368+1866181+33984-18645-1204445</f>
        <v>2578443</v>
      </c>
      <c r="E20" s="330">
        <f>18914439.57-6304813.19-6304813.19-3152406.6-3152406.59</f>
        <v>0</v>
      </c>
      <c r="F20" s="328">
        <f t="shared" si="0"/>
        <v>-3782888</v>
      </c>
      <c r="G20" s="354"/>
    </row>
    <row r="21" spans="1:9" ht="18" customHeight="1">
      <c r="A21" s="329" t="s">
        <v>83</v>
      </c>
      <c r="B21" s="332">
        <v>1043224.04</v>
      </c>
      <c r="C21" s="330">
        <v>1172560.25</v>
      </c>
      <c r="D21" s="330"/>
      <c r="E21" s="330"/>
      <c r="F21" s="328">
        <f t="shared" si="0"/>
        <v>-129336.20999999996</v>
      </c>
      <c r="G21" s="354"/>
    </row>
    <row r="22" spans="1:9" ht="18" customHeight="1">
      <c r="A22" s="329" t="s">
        <v>85</v>
      </c>
      <c r="B22" s="332">
        <v>232467.97</v>
      </c>
      <c r="C22" s="332">
        <v>232467.97</v>
      </c>
      <c r="D22" s="330"/>
      <c r="E22" s="330"/>
      <c r="F22" s="328">
        <f t="shared" si="0"/>
        <v>0</v>
      </c>
      <c r="G22" s="354"/>
    </row>
    <row r="23" spans="1:9" ht="18" customHeight="1">
      <c r="A23" s="329" t="s">
        <v>86</v>
      </c>
      <c r="B23" s="332">
        <v>63400.36</v>
      </c>
      <c r="C23" s="332">
        <v>63400.36</v>
      </c>
      <c r="D23" s="330"/>
      <c r="E23" s="330"/>
      <c r="F23" s="328">
        <f t="shared" si="0"/>
        <v>0</v>
      </c>
      <c r="G23" s="354"/>
    </row>
    <row r="24" spans="1:9" ht="18" customHeight="1">
      <c r="A24" s="329" t="s">
        <v>134</v>
      </c>
      <c r="B24" s="332">
        <v>570603.19999999995</v>
      </c>
      <c r="C24" s="330">
        <v>570603.19999999995</v>
      </c>
      <c r="D24" s="330"/>
      <c r="E24" s="330"/>
      <c r="F24" s="328">
        <f t="shared" si="0"/>
        <v>0</v>
      </c>
      <c r="G24" s="354"/>
    </row>
    <row r="25" spans="1:9" ht="18" customHeight="1">
      <c r="A25" s="329" t="s">
        <v>88</v>
      </c>
      <c r="B25" s="332">
        <v>803071.18</v>
      </c>
      <c r="C25" s="330"/>
      <c r="D25" s="330"/>
      <c r="E25" s="330"/>
      <c r="F25" s="328">
        <f t="shared" si="0"/>
        <v>803071.18</v>
      </c>
      <c r="G25" s="354"/>
    </row>
    <row r="26" spans="1:9" ht="18" customHeight="1">
      <c r="A26" s="329" t="s">
        <v>192</v>
      </c>
      <c r="B26" s="332">
        <v>9805921.7400000002</v>
      </c>
      <c r="C26" s="330">
        <v>7844737</v>
      </c>
      <c r="D26" s="330">
        <v>1961184.74</v>
      </c>
      <c r="E26" s="330"/>
      <c r="F26" s="328">
        <f t="shared" si="0"/>
        <v>2.3283064365386963E-10</v>
      </c>
      <c r="G26" s="354"/>
    </row>
    <row r="27" spans="1:9" ht="18" customHeight="1">
      <c r="A27" s="329" t="s">
        <v>135</v>
      </c>
      <c r="B27" s="332">
        <v>34760000</v>
      </c>
      <c r="C27" s="330">
        <v>30098098</v>
      </c>
      <c r="D27" s="330">
        <v>4661902</v>
      </c>
      <c r="E27" s="330"/>
      <c r="F27" s="328">
        <f t="shared" si="0"/>
        <v>0</v>
      </c>
      <c r="G27" s="354"/>
    </row>
    <row r="28" spans="1:9" customFormat="1" ht="14.5">
      <c r="A28" s="74" t="s">
        <v>91</v>
      </c>
      <c r="B28" s="179">
        <v>0</v>
      </c>
      <c r="C28" s="105">
        <v>0</v>
      </c>
      <c r="D28" s="159"/>
      <c r="E28" s="159"/>
      <c r="F28" s="328">
        <f t="shared" si="0"/>
        <v>0</v>
      </c>
      <c r="H28" s="112"/>
      <c r="I28" s="112"/>
    </row>
    <row r="29" spans="1:9" ht="18" customHeight="1">
      <c r="A29" s="329" t="s">
        <v>93</v>
      </c>
      <c r="B29" s="332">
        <v>19212.23</v>
      </c>
      <c r="C29" s="330">
        <v>19212</v>
      </c>
      <c r="D29" s="330"/>
      <c r="E29" s="330"/>
      <c r="F29" s="328">
        <f t="shared" si="0"/>
        <v>0.22999999999956344</v>
      </c>
      <c r="G29" s="354"/>
    </row>
    <row r="30" spans="1:9" ht="18" customHeight="1">
      <c r="A30" s="329" t="s">
        <v>94</v>
      </c>
      <c r="B30" s="332">
        <v>11527.34</v>
      </c>
      <c r="C30" s="332">
        <v>11527.34</v>
      </c>
      <c r="D30" s="330"/>
      <c r="E30" s="330"/>
      <c r="F30" s="328">
        <f t="shared" si="0"/>
        <v>0</v>
      </c>
      <c r="G30" s="354"/>
    </row>
    <row r="31" spans="1:9" ht="18" customHeight="1">
      <c r="A31" s="329" t="s">
        <v>95</v>
      </c>
      <c r="B31" s="332">
        <v>32660.79</v>
      </c>
      <c r="C31" s="332"/>
      <c r="D31" s="330"/>
      <c r="E31" s="330"/>
      <c r="F31" s="328">
        <f t="shared" si="0"/>
        <v>32660.79</v>
      </c>
      <c r="G31" s="354"/>
    </row>
    <row r="32" spans="1:9" ht="18" customHeight="1">
      <c r="A32" s="329" t="s">
        <v>96</v>
      </c>
      <c r="B32" s="332">
        <v>153697.82999999999</v>
      </c>
      <c r="C32" s="332">
        <v>153697.82999999999</v>
      </c>
      <c r="D32" s="330"/>
      <c r="E32" s="330"/>
      <c r="F32" s="328">
        <f t="shared" si="0"/>
        <v>0</v>
      </c>
      <c r="G32" s="354"/>
    </row>
    <row r="33" spans="1:7" ht="18" customHeight="1">
      <c r="A33" s="329" t="s">
        <v>98</v>
      </c>
      <c r="B33" s="332">
        <v>7684.89</v>
      </c>
      <c r="C33" s="332">
        <v>7684.89</v>
      </c>
      <c r="D33" s="330"/>
      <c r="E33" s="330"/>
      <c r="F33" s="328">
        <f t="shared" si="0"/>
        <v>0</v>
      </c>
      <c r="G33" s="354"/>
    </row>
    <row r="34" spans="1:7" ht="18" customHeight="1">
      <c r="A34" s="329" t="s">
        <v>99</v>
      </c>
      <c r="B34" s="332">
        <v>3364061.32</v>
      </c>
      <c r="C34" s="330">
        <v>3364061.32</v>
      </c>
      <c r="D34" s="330"/>
      <c r="E34" s="330">
        <f>6728122.64-3364061.32-3364061.32</f>
        <v>0</v>
      </c>
      <c r="F34" s="328">
        <f t="shared" si="0"/>
        <v>0</v>
      </c>
      <c r="G34" s="354"/>
    </row>
    <row r="35" spans="1:7" ht="18" customHeight="1">
      <c r="A35" s="329" t="s">
        <v>100</v>
      </c>
      <c r="B35" s="332">
        <v>466857.17</v>
      </c>
      <c r="C35" s="332">
        <v>466857.17</v>
      </c>
      <c r="D35" s="330"/>
      <c r="E35" s="330"/>
      <c r="F35" s="328">
        <f t="shared" si="0"/>
        <v>0</v>
      </c>
      <c r="G35" s="354"/>
    </row>
    <row r="36" spans="1:7" ht="18" customHeight="1">
      <c r="A36" s="329" t="s">
        <v>101</v>
      </c>
      <c r="B36" s="332">
        <v>1252637.3400000001</v>
      </c>
      <c r="C36" s="330">
        <v>1252637</v>
      </c>
      <c r="D36" s="330"/>
      <c r="E36" s="330"/>
      <c r="F36" s="328">
        <f t="shared" si="0"/>
        <v>0.34000000008381903</v>
      </c>
      <c r="G36" s="354"/>
    </row>
    <row r="37" spans="1:7" ht="18" customHeight="1">
      <c r="A37" s="329" t="s">
        <v>103</v>
      </c>
      <c r="B37" s="332">
        <v>612870.11</v>
      </c>
      <c r="C37" s="330">
        <v>612870</v>
      </c>
      <c r="D37" s="330"/>
      <c r="E37" s="330"/>
      <c r="F37" s="328">
        <f t="shared" si="0"/>
        <v>0.10999999998603016</v>
      </c>
      <c r="G37" s="354"/>
    </row>
    <row r="38" spans="1:7" ht="18" customHeight="1">
      <c r="A38" s="329" t="s">
        <v>104</v>
      </c>
      <c r="B38" s="332">
        <v>895289.88</v>
      </c>
      <c r="C38" s="330">
        <v>895289.88</v>
      </c>
      <c r="D38" s="330"/>
      <c r="E38" s="330"/>
      <c r="F38" s="328">
        <f t="shared" si="0"/>
        <v>0</v>
      </c>
      <c r="G38" s="354"/>
    </row>
    <row r="39" spans="1:7" ht="18" customHeight="1">
      <c r="A39" s="329" t="s">
        <v>106</v>
      </c>
      <c r="B39" s="332">
        <v>2305467.4900000002</v>
      </c>
      <c r="C39" s="330">
        <v>0</v>
      </c>
      <c r="D39" s="330"/>
      <c r="E39" s="330"/>
      <c r="F39" s="328">
        <f t="shared" si="0"/>
        <v>2305467.4900000002</v>
      </c>
      <c r="G39" s="354"/>
    </row>
    <row r="40" spans="1:7" ht="18" customHeight="1">
      <c r="A40" s="333" t="s">
        <v>109</v>
      </c>
      <c r="B40" s="332">
        <v>82612.59</v>
      </c>
      <c r="C40" s="332">
        <v>82612.59</v>
      </c>
      <c r="D40" s="330"/>
      <c r="E40" s="330"/>
      <c r="F40" s="328">
        <f t="shared" si="0"/>
        <v>0</v>
      </c>
      <c r="G40" s="354"/>
    </row>
    <row r="41" spans="1:7" ht="18" customHeight="1">
      <c r="A41" s="329" t="s">
        <v>110</v>
      </c>
      <c r="B41" s="332">
        <v>155619.06</v>
      </c>
      <c r="C41" s="330">
        <v>155619</v>
      </c>
      <c r="D41" s="330"/>
      <c r="E41" s="330"/>
      <c r="F41" s="328">
        <f t="shared" si="0"/>
        <v>5.9999999997671694E-2</v>
      </c>
      <c r="G41" s="354"/>
    </row>
    <row r="42" spans="1:7" ht="18" customHeight="1">
      <c r="A42" s="329" t="s">
        <v>112</v>
      </c>
      <c r="B42" s="332">
        <v>4877984.97</v>
      </c>
      <c r="C42" s="330">
        <f>3902388+975597-795841+26841</f>
        <v>4108985</v>
      </c>
      <c r="D42" s="330">
        <f>795841-26841</f>
        <v>769000</v>
      </c>
      <c r="E42" s="330"/>
      <c r="F42" s="328">
        <f t="shared" si="0"/>
        <v>-3.0000000260770321E-2</v>
      </c>
      <c r="G42" s="354"/>
    </row>
    <row r="43" spans="1:7" ht="18" customHeight="1">
      <c r="A43" s="329" t="s">
        <v>136</v>
      </c>
      <c r="B43" s="332">
        <v>1988466</v>
      </c>
      <c r="C43" s="330">
        <f>1590767.76+45966</f>
        <v>1636733.76</v>
      </c>
      <c r="D43" s="330">
        <f>26553+234362+42000-45966-1429</f>
        <v>255520</v>
      </c>
      <c r="E43" s="330"/>
      <c r="F43" s="328">
        <f t="shared" si="0"/>
        <v>96212.239999999991</v>
      </c>
      <c r="G43" s="354"/>
    </row>
    <row r="44" spans="1:7" ht="18" customHeight="1">
      <c r="A44" s="329" t="s">
        <v>114</v>
      </c>
      <c r="B44" s="332">
        <v>2447637.9900000002</v>
      </c>
      <c r="C44" s="330">
        <f>364691.18+1718255.63-18888.12-305349</f>
        <v>1758709.6899999997</v>
      </c>
      <c r="D44" s="330">
        <f>398913+290015</f>
        <v>688928</v>
      </c>
      <c r="E44" s="330"/>
      <c r="F44" s="328">
        <f t="shared" si="0"/>
        <v>0.30000000051222742</v>
      </c>
      <c r="G44" s="354"/>
    </row>
    <row r="45" spans="1:7" ht="18" customHeight="1">
      <c r="A45" s="329" t="s">
        <v>115</v>
      </c>
      <c r="B45" s="332">
        <v>1921.22</v>
      </c>
      <c r="C45" s="330">
        <v>0</v>
      </c>
      <c r="D45" s="330"/>
      <c r="E45" s="330"/>
      <c r="F45" s="328">
        <f t="shared" si="0"/>
        <v>1921.22</v>
      </c>
      <c r="G45" s="354"/>
    </row>
    <row r="46" spans="1:7" ht="18" customHeight="1">
      <c r="A46" s="329" t="s">
        <v>187</v>
      </c>
      <c r="B46" s="332">
        <v>5763.67</v>
      </c>
      <c r="C46" s="332">
        <f>5763.67</f>
        <v>5763.67</v>
      </c>
      <c r="D46" s="330"/>
      <c r="E46" s="330"/>
      <c r="F46" s="328">
        <f t="shared" si="0"/>
        <v>0</v>
      </c>
      <c r="G46" s="354"/>
    </row>
    <row r="47" spans="1:7" ht="18" customHeight="1">
      <c r="A47" s="329" t="s">
        <v>117</v>
      </c>
      <c r="B47" s="332">
        <v>101824.81</v>
      </c>
      <c r="C47" s="330">
        <v>0</v>
      </c>
      <c r="D47" s="330"/>
      <c r="E47" s="330"/>
      <c r="F47" s="328">
        <f t="shared" si="0"/>
        <v>101824.81</v>
      </c>
      <c r="G47" s="354"/>
    </row>
    <row r="48" spans="1:7" ht="18" customHeight="1">
      <c r="A48" s="329" t="s">
        <v>119</v>
      </c>
      <c r="B48" s="332">
        <v>10718502.630000001</v>
      </c>
      <c r="C48" s="332">
        <v>10718502.630000001</v>
      </c>
      <c r="D48" s="330"/>
      <c r="E48" s="332">
        <f>10718502.63-1786417.11-5359251.32-3572834.2</f>
        <v>0</v>
      </c>
      <c r="F48" s="328">
        <f t="shared" si="0"/>
        <v>0</v>
      </c>
      <c r="G48" s="354"/>
    </row>
    <row r="49" spans="1:7" ht="18" customHeight="1">
      <c r="A49" s="329" t="s">
        <v>120</v>
      </c>
      <c r="B49" s="332">
        <v>34760000</v>
      </c>
      <c r="C49" s="330">
        <f>1877367+18000000+2000000+1070895+357038+2000000+2000000+2079700</f>
        <v>29385000</v>
      </c>
      <c r="D49" s="330">
        <f>5375000</f>
        <v>5375000</v>
      </c>
      <c r="E49" s="330">
        <f>4920000-2000000+3159700-2000000-2000000-2079700</f>
        <v>0</v>
      </c>
      <c r="F49" s="328">
        <f t="shared" si="0"/>
        <v>0</v>
      </c>
      <c r="G49" s="354"/>
    </row>
    <row r="50" spans="1:7" ht="18" customHeight="1" thickBot="1">
      <c r="A50" s="334" t="s">
        <v>121</v>
      </c>
      <c r="B50" s="332">
        <v>21133.45</v>
      </c>
      <c r="C50" s="335">
        <v>0</v>
      </c>
      <c r="D50" s="336"/>
      <c r="E50" s="337"/>
      <c r="F50" s="328">
        <f t="shared" si="0"/>
        <v>21133.45</v>
      </c>
      <c r="G50" s="354"/>
    </row>
    <row r="51" spans="1:7" ht="18" customHeight="1" thickBot="1">
      <c r="A51" s="338" t="s">
        <v>124</v>
      </c>
      <c r="B51" s="339">
        <f>SUM(B8:B50)</f>
        <v>158000000.29164892</v>
      </c>
      <c r="C51" s="340">
        <f>SUM(C8:C50)</f>
        <v>139723856.14999998</v>
      </c>
      <c r="D51" s="341">
        <f>SUM(D8:D50)</f>
        <v>18781887.740000002</v>
      </c>
      <c r="E51" s="342">
        <f>SUM(E8:E50)</f>
        <v>0</v>
      </c>
      <c r="F51" s="342">
        <f>SUM(F8:F50)</f>
        <v>-505743.59835106501</v>
      </c>
      <c r="G51" s="354"/>
    </row>
    <row r="52" spans="1:7" ht="18" customHeight="1">
      <c r="A52" s="210" t="s">
        <v>193</v>
      </c>
      <c r="B52" s="110"/>
      <c r="C52" s="110"/>
      <c r="D52" s="110"/>
      <c r="E52" s="110"/>
      <c r="F52" s="110"/>
      <c r="G52" s="354"/>
    </row>
    <row r="53" spans="1:7" ht="14.25" customHeight="1">
      <c r="A53" s="210"/>
      <c r="B53" s="110"/>
      <c r="C53" s="110"/>
      <c r="D53" s="110"/>
      <c r="E53" s="110"/>
      <c r="F53" s="110"/>
      <c r="G53" s="354"/>
    </row>
    <row r="54" spans="1:7" ht="14.25" customHeight="1">
      <c r="A54" s="210"/>
      <c r="B54" s="110"/>
      <c r="C54" s="110"/>
      <c r="D54" s="110"/>
      <c r="E54" s="110"/>
      <c r="F54" s="110"/>
      <c r="G54" s="354"/>
    </row>
    <row r="55" spans="1:7" ht="14.25" customHeight="1"/>
    <row r="56" spans="1:7" ht="14.25" customHeight="1" thickBot="1">
      <c r="A56" s="110"/>
      <c r="B56" s="110"/>
      <c r="C56" s="110"/>
      <c r="D56" s="110"/>
      <c r="E56" s="110"/>
      <c r="F56" s="110"/>
      <c r="G56" s="354"/>
    </row>
    <row r="57" spans="1:7" ht="14.25" customHeight="1" thickBot="1">
      <c r="A57" s="102" t="s">
        <v>139</v>
      </c>
      <c r="B57" s="172">
        <f>B10+B11+B13+B15+B17+B22+B29+B31+B37+B39+B40+B41+B45+B46+B47+B50</f>
        <v>3990379.9916489343</v>
      </c>
      <c r="C57" s="172">
        <f>C10+C11+C13+C15+C17+C22+C29+C31+C37+C39+C40+C41+C45+C46+C47+C50</f>
        <v>1483183.1300000001</v>
      </c>
      <c r="D57" s="172">
        <f>D10+D11+D13+D15+D17+D22+D29+D31+D37+D39+D40+D41+D45+D46+D47+D50</f>
        <v>0</v>
      </c>
      <c r="E57" s="172">
        <f>E10+E11+E13+E15+E17+E22+E29+E31+E37+E39+E40+E41+E45+E46+E47+E50</f>
        <v>0</v>
      </c>
      <c r="F57" s="173">
        <f>B57-C57-D57-E57</f>
        <v>2507196.861648934</v>
      </c>
      <c r="G57" s="354"/>
    </row>
    <row r="58" spans="1:7" ht="14.25" customHeight="1">
      <c r="G58" s="354"/>
    </row>
    <row r="59" spans="1:7">
      <c r="A59" s="343"/>
    </row>
  </sheetData>
  <mergeCells count="3">
    <mergeCell ref="A4:F4"/>
    <mergeCell ref="A5:F5"/>
    <mergeCell ref="A6:F6"/>
  </mergeCells>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0CC4F-57F6-4F7F-A536-EA72037264A6}">
  <dimension ref="A1:I59"/>
  <sheetViews>
    <sheetView workbookViewId="0">
      <selection activeCell="A3" sqref="A3"/>
    </sheetView>
  </sheetViews>
  <sheetFormatPr defaultColWidth="9.7265625" defaultRowHeight="15.5"/>
  <cols>
    <col min="1" max="1" width="27" style="1" customWidth="1"/>
    <col min="2" max="2" width="18.54296875" style="1" customWidth="1"/>
    <col min="3" max="5" width="17.26953125" style="1" customWidth="1"/>
    <col min="6" max="6" width="17.26953125" style="356" customWidth="1"/>
    <col min="7" max="7" width="3" style="1" customWidth="1"/>
    <col min="8" max="16384" width="9.7265625" style="1"/>
  </cols>
  <sheetData>
    <row r="1" spans="1:7" ht="16.5" customHeight="1">
      <c r="A1" s="1" t="str">
        <f>Status!C1</f>
        <v>UNEP/OzL.Pro/ExCom/94/3</v>
      </c>
      <c r="B1" s="355"/>
    </row>
    <row r="2" spans="1:7" ht="16.5" customHeight="1">
      <c r="A2" s="1" t="s">
        <v>198</v>
      </c>
      <c r="B2" s="22"/>
    </row>
    <row r="3" spans="1:7" ht="16.5" customHeight="1">
      <c r="B3" s="22"/>
      <c r="F3" s="357"/>
    </row>
    <row r="4" spans="1:7" ht="20.25" customHeight="1">
      <c r="A4" s="756" t="s">
        <v>2</v>
      </c>
      <c r="B4" s="756"/>
      <c r="C4" s="756"/>
      <c r="D4" s="756"/>
      <c r="E4" s="756"/>
      <c r="F4" s="756"/>
    </row>
    <row r="5" spans="1:7" ht="20.25" customHeight="1">
      <c r="A5" s="757" t="s">
        <v>195</v>
      </c>
      <c r="B5" s="757"/>
      <c r="C5" s="757"/>
      <c r="D5" s="757"/>
      <c r="E5" s="757"/>
      <c r="F5" s="757"/>
    </row>
    <row r="6" spans="1:7" ht="30" customHeight="1" thickBot="1">
      <c r="A6" s="767" t="str">
        <f>Status!A6</f>
        <v>As at 24/05/2024</v>
      </c>
      <c r="B6" s="767"/>
      <c r="C6" s="767"/>
      <c r="D6" s="767"/>
      <c r="E6" s="767"/>
      <c r="F6" s="767"/>
    </row>
    <row r="7" spans="1:7" ht="35.25" customHeight="1" thickBot="1">
      <c r="A7" s="358" t="s">
        <v>60</v>
      </c>
      <c r="B7" s="359" t="s">
        <v>61</v>
      </c>
      <c r="C7" s="359" t="s">
        <v>62</v>
      </c>
      <c r="D7" s="359" t="s">
        <v>63</v>
      </c>
      <c r="E7" s="359" t="s">
        <v>64</v>
      </c>
      <c r="F7" s="360" t="s">
        <v>65</v>
      </c>
      <c r="G7" s="361"/>
    </row>
    <row r="8" spans="1:7" ht="18" customHeight="1">
      <c r="A8" s="237" t="s">
        <v>130</v>
      </c>
      <c r="B8" s="362">
        <v>3150805.58</v>
      </c>
      <c r="C8" s="363">
        <f>3150806</f>
        <v>3150806</v>
      </c>
      <c r="D8" s="363"/>
      <c r="E8" s="363">
        <v>0</v>
      </c>
      <c r="F8" s="364">
        <f t="shared" ref="F8:F50" si="0">B8-C8-D8-E8</f>
        <v>-0.41999999992549419</v>
      </c>
      <c r="G8" s="365"/>
    </row>
    <row r="9" spans="1:7" ht="18" customHeight="1">
      <c r="A9" s="40" t="s">
        <v>69</v>
      </c>
      <c r="B9" s="366">
        <v>1832846.66</v>
      </c>
      <c r="C9" s="366">
        <v>1832846.66</v>
      </c>
      <c r="D9" s="367">
        <v>0</v>
      </c>
      <c r="E9" s="367">
        <v>0</v>
      </c>
      <c r="F9" s="368">
        <f t="shared" si="0"/>
        <v>0</v>
      </c>
      <c r="G9" s="365"/>
    </row>
    <row r="10" spans="1:7" ht="18" customHeight="1">
      <c r="A10" s="245" t="s">
        <v>70</v>
      </c>
      <c r="B10" s="366">
        <v>7684.8916489338599</v>
      </c>
      <c r="C10" s="367">
        <v>0</v>
      </c>
      <c r="D10" s="367">
        <v>0</v>
      </c>
      <c r="E10" s="367">
        <v>0</v>
      </c>
      <c r="F10" s="368">
        <f t="shared" si="0"/>
        <v>7684.8916489338599</v>
      </c>
      <c r="G10" s="365"/>
    </row>
    <row r="11" spans="1:7" ht="18" customHeight="1">
      <c r="A11" s="40" t="s">
        <v>71</v>
      </c>
      <c r="B11" s="366">
        <v>36503.24</v>
      </c>
      <c r="C11" s="367"/>
      <c r="D11" s="367">
        <v>0</v>
      </c>
      <c r="E11" s="367">
        <v>0</v>
      </c>
      <c r="F11" s="368">
        <f t="shared" si="0"/>
        <v>36503.24</v>
      </c>
      <c r="G11" s="365"/>
    </row>
    <row r="12" spans="1:7" ht="18" customHeight="1">
      <c r="A12" s="40" t="s">
        <v>72</v>
      </c>
      <c r="B12" s="366">
        <v>2186351.67</v>
      </c>
      <c r="C12" s="367">
        <f>2186352</f>
        <v>2186352</v>
      </c>
      <c r="D12" s="367">
        <v>0</v>
      </c>
      <c r="E12" s="367">
        <v>0</v>
      </c>
      <c r="F12" s="368">
        <f t="shared" si="0"/>
        <v>-0.33000000007450581</v>
      </c>
      <c r="G12" s="365"/>
    </row>
    <row r="13" spans="1:7" ht="18" customHeight="1">
      <c r="A13" s="40" t="s">
        <v>73</v>
      </c>
      <c r="B13" s="366">
        <v>24975.9</v>
      </c>
      <c r="C13" s="367">
        <v>24975.9</v>
      </c>
      <c r="D13" s="367">
        <v>0</v>
      </c>
      <c r="E13" s="367">
        <v>0</v>
      </c>
      <c r="F13" s="368">
        <f t="shared" si="0"/>
        <v>0</v>
      </c>
      <c r="G13" s="365"/>
    </row>
    <row r="14" spans="1:7" ht="18" customHeight="1">
      <c r="A14" s="40" t="s">
        <v>131</v>
      </c>
      <c r="B14" s="366">
        <v>4954833.8899999997</v>
      </c>
      <c r="C14" s="367">
        <f>(275881.77-28902.47)+3963867+158374-222845</f>
        <v>4146375.3</v>
      </c>
      <c r="D14" s="367">
        <f>329960+478499</f>
        <v>808459</v>
      </c>
      <c r="E14" s="367">
        <v>0</v>
      </c>
      <c r="F14" s="368">
        <f t="shared" si="0"/>
        <v>-0.41000000014901161</v>
      </c>
      <c r="G14" s="365"/>
    </row>
    <row r="15" spans="1:7" ht="18" customHeight="1">
      <c r="A15" s="40" t="s">
        <v>77</v>
      </c>
      <c r="B15" s="366">
        <v>330450.34000000003</v>
      </c>
      <c r="C15" s="366">
        <f>330450.34-66090</f>
        <v>264360.34000000003</v>
      </c>
      <c r="D15" s="367">
        <v>66090</v>
      </c>
      <c r="E15" s="367">
        <v>0</v>
      </c>
      <c r="F15" s="368">
        <f t="shared" si="0"/>
        <v>0</v>
      </c>
      <c r="G15" s="365"/>
    </row>
    <row r="16" spans="1:7" ht="18" customHeight="1">
      <c r="A16" s="40" t="s">
        <v>78</v>
      </c>
      <c r="B16" s="366">
        <v>1450523.3</v>
      </c>
      <c r="C16" s="367">
        <v>1450523</v>
      </c>
      <c r="D16" s="367">
        <v>0</v>
      </c>
      <c r="E16" s="367">
        <v>0</v>
      </c>
      <c r="F16" s="368">
        <f t="shared" si="0"/>
        <v>0.30000000004656613</v>
      </c>
      <c r="G16" s="365"/>
    </row>
    <row r="17" spans="1:9" ht="18" customHeight="1">
      <c r="A17" s="40" t="s">
        <v>79</v>
      </c>
      <c r="B17" s="366">
        <v>19212.23</v>
      </c>
      <c r="C17" s="367">
        <v>19212</v>
      </c>
      <c r="D17" s="367">
        <v>0</v>
      </c>
      <c r="E17" s="367">
        <v>0</v>
      </c>
      <c r="F17" s="368">
        <f t="shared" si="0"/>
        <v>0.22999999999956344</v>
      </c>
      <c r="G17" s="365"/>
    </row>
    <row r="18" spans="1:9" ht="18" customHeight="1">
      <c r="A18" s="40" t="s">
        <v>80</v>
      </c>
      <c r="B18" s="366">
        <v>1010563.25</v>
      </c>
      <c r="C18" s="366">
        <v>1010563.25</v>
      </c>
      <c r="D18" s="367">
        <v>0</v>
      </c>
      <c r="E18" s="367"/>
      <c r="F18" s="368">
        <f t="shared" si="0"/>
        <v>0</v>
      </c>
      <c r="G18" s="365"/>
    </row>
    <row r="19" spans="1:9" ht="18" customHeight="1">
      <c r="A19" s="40" t="s">
        <v>81</v>
      </c>
      <c r="B19" s="366">
        <v>12518689</v>
      </c>
      <c r="C19" s="367">
        <v>12484064</v>
      </c>
      <c r="D19" s="367">
        <v>0</v>
      </c>
      <c r="E19" s="20">
        <v>0</v>
      </c>
      <c r="F19" s="368">
        <f>B19-C19-D19-E19</f>
        <v>34625</v>
      </c>
      <c r="G19" s="365"/>
    </row>
    <row r="20" spans="1:9" ht="18" customHeight="1">
      <c r="A20" s="40" t="s">
        <v>82</v>
      </c>
      <c r="B20" s="366">
        <v>18914439.57</v>
      </c>
      <c r="C20" s="367">
        <f>3900473+2404340.57+6304813.19+6304813.19-1904825</f>
        <v>17009614.950000003</v>
      </c>
      <c r="D20" s="367">
        <f>2969479+847393-33984+1904825</f>
        <v>5687713</v>
      </c>
      <c r="E20" s="367">
        <f>18914440-3900473-2404340.57-6304813.19-6304813.19</f>
        <v>4.999999888241291E-2</v>
      </c>
      <c r="F20" s="368">
        <f>B20-C20-D20-E20</f>
        <v>-3782888.4300000016</v>
      </c>
      <c r="G20" s="365"/>
    </row>
    <row r="21" spans="1:9" ht="18" customHeight="1">
      <c r="A21" s="40" t="s">
        <v>83</v>
      </c>
      <c r="B21" s="366">
        <v>1043224.04</v>
      </c>
      <c r="C21" s="367">
        <f>567054.44+967797.91</f>
        <v>1534852.35</v>
      </c>
      <c r="D21" s="367">
        <v>0</v>
      </c>
      <c r="E21" s="367">
        <v>0</v>
      </c>
      <c r="F21" s="368">
        <f t="shared" si="0"/>
        <v>-491628.31000000006</v>
      </c>
      <c r="G21" s="365"/>
    </row>
    <row r="22" spans="1:9" ht="18" customHeight="1">
      <c r="A22" s="40" t="s">
        <v>85</v>
      </c>
      <c r="B22" s="366">
        <v>232468</v>
      </c>
      <c r="C22" s="367">
        <f>186000+46468-46494</f>
        <v>185974</v>
      </c>
      <c r="D22" s="367">
        <v>46494</v>
      </c>
      <c r="E22" s="367">
        <v>0</v>
      </c>
      <c r="F22" s="368">
        <f t="shared" si="0"/>
        <v>0</v>
      </c>
      <c r="G22" s="365"/>
    </row>
    <row r="23" spans="1:9" ht="18" customHeight="1">
      <c r="A23" s="40" t="s">
        <v>86</v>
      </c>
      <c r="B23" s="366">
        <v>63400.36</v>
      </c>
      <c r="C23" s="366">
        <v>63400.36</v>
      </c>
      <c r="D23" s="367">
        <v>0</v>
      </c>
      <c r="E23" s="367">
        <v>0</v>
      </c>
      <c r="F23" s="368">
        <f t="shared" si="0"/>
        <v>0</v>
      </c>
      <c r="G23" s="365"/>
    </row>
    <row r="24" spans="1:9" ht="18" customHeight="1">
      <c r="A24" s="40" t="s">
        <v>134</v>
      </c>
      <c r="B24" s="366">
        <v>570603.19999999995</v>
      </c>
      <c r="C24" s="367">
        <v>570603</v>
      </c>
      <c r="D24" s="367">
        <v>0</v>
      </c>
      <c r="E24" s="367">
        <v>0</v>
      </c>
      <c r="F24" s="368">
        <f t="shared" si="0"/>
        <v>0.19999999995343387</v>
      </c>
      <c r="G24" s="365"/>
    </row>
    <row r="25" spans="1:9" ht="18" customHeight="1">
      <c r="A25" s="40" t="s">
        <v>88</v>
      </c>
      <c r="B25" s="366">
        <v>803071.18</v>
      </c>
      <c r="C25" s="367">
        <v>70024</v>
      </c>
      <c r="D25" s="367">
        <v>0</v>
      </c>
      <c r="E25" s="367">
        <v>0</v>
      </c>
      <c r="F25" s="368">
        <f t="shared" si="0"/>
        <v>733047.18</v>
      </c>
      <c r="G25" s="365"/>
    </row>
    <row r="26" spans="1:9" ht="18" customHeight="1">
      <c r="A26" s="40" t="s">
        <v>192</v>
      </c>
      <c r="B26" s="366">
        <v>9805921.7400000002</v>
      </c>
      <c r="C26" s="367">
        <v>7844737</v>
      </c>
      <c r="D26" s="367">
        <v>1961184.74</v>
      </c>
      <c r="E26" s="367">
        <v>0</v>
      </c>
      <c r="F26" s="368">
        <f t="shared" si="0"/>
        <v>2.3283064365386963E-10</v>
      </c>
      <c r="G26" s="365"/>
    </row>
    <row r="27" spans="1:9" ht="18" customHeight="1">
      <c r="A27" s="40" t="s">
        <v>90</v>
      </c>
      <c r="B27" s="366">
        <v>34760000</v>
      </c>
      <c r="C27" s="367">
        <v>34721722</v>
      </c>
      <c r="D27" s="367">
        <v>38278</v>
      </c>
      <c r="E27" s="367">
        <v>0</v>
      </c>
      <c r="F27" s="368">
        <f t="shared" si="0"/>
        <v>0</v>
      </c>
      <c r="G27" s="365"/>
    </row>
    <row r="28" spans="1:9" customFormat="1">
      <c r="A28" s="74" t="s">
        <v>91</v>
      </c>
      <c r="B28" s="179">
        <v>0</v>
      </c>
      <c r="C28" s="105">
        <v>0</v>
      </c>
      <c r="D28" s="159"/>
      <c r="E28" s="159"/>
      <c r="F28" s="368">
        <f t="shared" si="0"/>
        <v>0</v>
      </c>
      <c r="H28" s="112"/>
      <c r="I28" s="112"/>
    </row>
    <row r="29" spans="1:9" ht="18" customHeight="1">
      <c r="A29" s="40" t="s">
        <v>93</v>
      </c>
      <c r="B29" s="366">
        <v>19212.23</v>
      </c>
      <c r="C29" s="366">
        <v>19212.23</v>
      </c>
      <c r="D29" s="367">
        <v>0</v>
      </c>
      <c r="E29" s="367">
        <v>0</v>
      </c>
      <c r="F29" s="368">
        <f t="shared" si="0"/>
        <v>0</v>
      </c>
      <c r="G29" s="365"/>
    </row>
    <row r="30" spans="1:9" ht="18" customHeight="1">
      <c r="A30" s="40" t="s">
        <v>94</v>
      </c>
      <c r="B30" s="366">
        <v>11527.34</v>
      </c>
      <c r="C30" s="367">
        <v>11527</v>
      </c>
      <c r="D30" s="367">
        <v>0</v>
      </c>
      <c r="E30" s="367">
        <v>0</v>
      </c>
      <c r="F30" s="368">
        <f t="shared" si="0"/>
        <v>0.34000000000014552</v>
      </c>
      <c r="G30" s="365"/>
    </row>
    <row r="31" spans="1:9" ht="18" customHeight="1">
      <c r="A31" s="40" t="s">
        <v>95</v>
      </c>
      <c r="B31" s="366">
        <v>32660.79</v>
      </c>
      <c r="C31" s="366"/>
      <c r="D31" s="367">
        <v>0</v>
      </c>
      <c r="E31" s="367">
        <v>0</v>
      </c>
      <c r="F31" s="368">
        <f t="shared" si="0"/>
        <v>32660.79</v>
      </c>
      <c r="G31" s="365"/>
    </row>
    <row r="32" spans="1:9" ht="18" customHeight="1">
      <c r="A32" s="40" t="s">
        <v>96</v>
      </c>
      <c r="B32" s="366">
        <v>153697.82999999999</v>
      </c>
      <c r="C32" s="366">
        <v>153697.82999999999</v>
      </c>
      <c r="D32" s="367">
        <v>0</v>
      </c>
      <c r="E32" s="367">
        <v>0</v>
      </c>
      <c r="F32" s="368">
        <f t="shared" si="0"/>
        <v>0</v>
      </c>
      <c r="G32" s="365"/>
    </row>
    <row r="33" spans="1:7" ht="18" customHeight="1">
      <c r="A33" s="40" t="s">
        <v>98</v>
      </c>
      <c r="B33" s="366">
        <v>7684.89</v>
      </c>
      <c r="C33" s="367">
        <v>7704.89</v>
      </c>
      <c r="D33" s="367">
        <v>0</v>
      </c>
      <c r="E33" s="367">
        <v>0</v>
      </c>
      <c r="F33" s="368">
        <f t="shared" si="0"/>
        <v>-20</v>
      </c>
      <c r="G33" s="365"/>
    </row>
    <row r="34" spans="1:7" ht="18" customHeight="1">
      <c r="A34" s="40" t="s">
        <v>99</v>
      </c>
      <c r="B34" s="366">
        <v>3364061.32</v>
      </c>
      <c r="C34" s="367">
        <v>3364061.32</v>
      </c>
      <c r="D34" s="367">
        <v>0</v>
      </c>
      <c r="E34" s="367">
        <f>10092194-3364061-6728133</f>
        <v>0</v>
      </c>
      <c r="F34" s="368">
        <f t="shared" si="0"/>
        <v>0</v>
      </c>
      <c r="G34" s="365"/>
    </row>
    <row r="35" spans="1:7" ht="18" customHeight="1">
      <c r="A35" s="40" t="s">
        <v>100</v>
      </c>
      <c r="B35" s="366">
        <v>466857.17</v>
      </c>
      <c r="C35" s="366">
        <v>466857.17</v>
      </c>
      <c r="D35" s="367">
        <v>0</v>
      </c>
      <c r="E35" s="367">
        <v>0</v>
      </c>
      <c r="F35" s="368">
        <f t="shared" si="0"/>
        <v>0</v>
      </c>
      <c r="G35" s="365"/>
    </row>
    <row r="36" spans="1:7" ht="18" customHeight="1">
      <c r="A36" s="40" t="s">
        <v>101</v>
      </c>
      <c r="B36" s="366">
        <v>1252637.3400000001</v>
      </c>
      <c r="C36" s="366">
        <v>1252637.3400000001</v>
      </c>
      <c r="D36" s="367">
        <v>0</v>
      </c>
      <c r="E36" s="367">
        <v>0</v>
      </c>
      <c r="F36" s="368">
        <f t="shared" si="0"/>
        <v>0</v>
      </c>
      <c r="G36" s="365"/>
    </row>
    <row r="37" spans="1:7" ht="18" customHeight="1">
      <c r="A37" s="40" t="s">
        <v>103</v>
      </c>
      <c r="B37" s="366">
        <v>612870.11</v>
      </c>
      <c r="C37" s="367">
        <f>150000+462870</f>
        <v>612870</v>
      </c>
      <c r="D37" s="367">
        <v>0</v>
      </c>
      <c r="E37" s="367">
        <v>0</v>
      </c>
      <c r="F37" s="368">
        <f t="shared" si="0"/>
        <v>0.10999999998603016</v>
      </c>
      <c r="G37" s="365"/>
    </row>
    <row r="38" spans="1:7" ht="18" customHeight="1">
      <c r="A38" s="40" t="s">
        <v>104</v>
      </c>
      <c r="B38" s="366">
        <v>895289.88</v>
      </c>
      <c r="C38" s="367">
        <f>58843.5+3272.36+518616.36+314557.66</f>
        <v>895289.87999999989</v>
      </c>
      <c r="D38" s="367">
        <v>0</v>
      </c>
      <c r="E38" s="367">
        <v>0</v>
      </c>
      <c r="F38" s="368">
        <f t="shared" si="0"/>
        <v>1.1641532182693481E-10</v>
      </c>
      <c r="G38" s="365"/>
    </row>
    <row r="39" spans="1:7" ht="18" customHeight="1">
      <c r="A39" s="40" t="s">
        <v>106</v>
      </c>
      <c r="B39" s="366">
        <v>2305467.4900000002</v>
      </c>
      <c r="C39" s="367">
        <v>0</v>
      </c>
      <c r="D39" s="367">
        <v>0</v>
      </c>
      <c r="E39" s="367">
        <v>0</v>
      </c>
      <c r="F39" s="368">
        <f t="shared" si="0"/>
        <v>2305467.4900000002</v>
      </c>
      <c r="G39" s="365"/>
    </row>
    <row r="40" spans="1:7" ht="18" customHeight="1">
      <c r="A40" s="30" t="s">
        <v>109</v>
      </c>
      <c r="B40" s="366">
        <v>82613</v>
      </c>
      <c r="C40" s="367">
        <f>82613-16523</f>
        <v>66090</v>
      </c>
      <c r="D40" s="367">
        <v>16523</v>
      </c>
      <c r="E40" s="367">
        <v>0</v>
      </c>
      <c r="F40" s="368">
        <f t="shared" si="0"/>
        <v>0</v>
      </c>
      <c r="G40" s="365"/>
    </row>
    <row r="41" spans="1:7" ht="18" customHeight="1">
      <c r="A41" s="40" t="s">
        <v>110</v>
      </c>
      <c r="B41" s="366">
        <v>155619.06</v>
      </c>
      <c r="C41" s="367">
        <v>155619</v>
      </c>
      <c r="D41" s="367">
        <v>0</v>
      </c>
      <c r="E41" s="367">
        <v>0</v>
      </c>
      <c r="F41" s="368">
        <f t="shared" si="0"/>
        <v>5.9999999997671694E-2</v>
      </c>
      <c r="G41" s="365"/>
    </row>
    <row r="42" spans="1:7" ht="18" customHeight="1">
      <c r="A42" s="40" t="s">
        <v>112</v>
      </c>
      <c r="B42" s="366">
        <v>4877985</v>
      </c>
      <c r="C42" s="367">
        <f>3902388+975597</f>
        <v>4877985</v>
      </c>
      <c r="D42" s="367">
        <v>0</v>
      </c>
      <c r="E42" s="367">
        <v>0</v>
      </c>
      <c r="F42" s="368">
        <f t="shared" si="0"/>
        <v>0</v>
      </c>
      <c r="G42" s="365"/>
    </row>
    <row r="43" spans="1:7" ht="18" customHeight="1">
      <c r="A43" s="40" t="s">
        <v>136</v>
      </c>
      <c r="B43" s="366">
        <v>1988465.71</v>
      </c>
      <c r="C43" s="367">
        <f>1590772.67+49926+114046</f>
        <v>1754744.67</v>
      </c>
      <c r="D43" s="367">
        <f>49450+73450+217364-49926-114046</f>
        <v>176292</v>
      </c>
      <c r="E43" s="367"/>
      <c r="F43" s="368">
        <f t="shared" si="0"/>
        <v>57429.040000000037</v>
      </c>
      <c r="G43" s="365"/>
    </row>
    <row r="44" spans="1:7" ht="18" customHeight="1">
      <c r="A44" s="40" t="s">
        <v>114</v>
      </c>
      <c r="B44" s="366">
        <v>2447637.9900000002</v>
      </c>
      <c r="C44" s="367">
        <f>2428749.87+18888.12</f>
        <v>2447637.9900000002</v>
      </c>
      <c r="D44" s="367">
        <v>0</v>
      </c>
      <c r="E44" s="367">
        <v>0</v>
      </c>
      <c r="F44" s="368">
        <f t="shared" si="0"/>
        <v>0</v>
      </c>
      <c r="G44" s="365"/>
    </row>
    <row r="45" spans="1:7" ht="18" customHeight="1">
      <c r="A45" s="40" t="s">
        <v>115</v>
      </c>
      <c r="B45" s="366">
        <v>1921.22</v>
      </c>
      <c r="C45" s="367">
        <v>0</v>
      </c>
      <c r="D45" s="367">
        <v>0</v>
      </c>
      <c r="E45" s="367">
        <v>0</v>
      </c>
      <c r="F45" s="368">
        <f t="shared" si="0"/>
        <v>1921.22</v>
      </c>
      <c r="G45" s="365"/>
    </row>
    <row r="46" spans="1:7" ht="18" customHeight="1">
      <c r="A46" s="40" t="s">
        <v>187</v>
      </c>
      <c r="B46" s="366">
        <v>5763.67</v>
      </c>
      <c r="C46" s="367">
        <v>0</v>
      </c>
      <c r="D46" s="367">
        <v>0</v>
      </c>
      <c r="E46" s="367">
        <v>0</v>
      </c>
      <c r="F46" s="368">
        <f t="shared" si="0"/>
        <v>5763.67</v>
      </c>
      <c r="G46" s="365"/>
    </row>
    <row r="47" spans="1:7" ht="18" customHeight="1">
      <c r="A47" s="40" t="s">
        <v>117</v>
      </c>
      <c r="B47" s="366">
        <v>101824.81</v>
      </c>
      <c r="C47" s="367">
        <v>0</v>
      </c>
      <c r="D47" s="367">
        <v>0</v>
      </c>
      <c r="E47" s="367">
        <v>0</v>
      </c>
      <c r="F47" s="368">
        <f t="shared" si="0"/>
        <v>101824.81</v>
      </c>
      <c r="G47" s="365"/>
    </row>
    <row r="48" spans="1:7" ht="18" customHeight="1">
      <c r="A48" s="40" t="s">
        <v>119</v>
      </c>
      <c r="B48" s="366">
        <v>10718502.630000001</v>
      </c>
      <c r="C48" s="367">
        <f>2134436.88-348019+1786417.11+3572834.21+3572834.21-0.37</f>
        <v>10718503.040000001</v>
      </c>
      <c r="D48" s="367">
        <v>0</v>
      </c>
      <c r="E48" s="367">
        <f>8584066+348019-1786417-3572834-3572834</f>
        <v>0</v>
      </c>
      <c r="F48" s="368">
        <f>B48-C48-D48-E48</f>
        <v>-0.41000000014901161</v>
      </c>
      <c r="G48" s="365"/>
    </row>
    <row r="49" spans="1:9" ht="18" customHeight="1">
      <c r="A49" s="40" t="s">
        <v>120</v>
      </c>
      <c r="B49" s="366">
        <v>34760000</v>
      </c>
      <c r="C49" s="367">
        <f>1246098+3000000-543832+17000000+3000000+(5000000-1877366)+3000000+4935100</f>
        <v>34760000</v>
      </c>
      <c r="D49" s="367">
        <v>0</v>
      </c>
      <c r="E49" s="367">
        <v>0</v>
      </c>
      <c r="F49" s="368">
        <f>B49-C49-D49-E49</f>
        <v>0</v>
      </c>
      <c r="G49" s="365"/>
      <c r="I49" s="1" t="s">
        <v>196</v>
      </c>
    </row>
    <row r="50" spans="1:9" ht="18" customHeight="1" thickBot="1">
      <c r="A50" s="251" t="s">
        <v>121</v>
      </c>
      <c r="B50" s="366">
        <v>21133.45</v>
      </c>
      <c r="C50" s="369">
        <v>21133</v>
      </c>
      <c r="D50" s="369">
        <v>0</v>
      </c>
      <c r="E50" s="369">
        <v>0</v>
      </c>
      <c r="F50" s="370">
        <f t="shared" si="0"/>
        <v>0.4500000000007276</v>
      </c>
      <c r="G50" s="365"/>
      <c r="I50" s="1">
        <f>C49-3702266</f>
        <v>31057734</v>
      </c>
    </row>
    <row r="51" spans="1:9" ht="20.25" customHeight="1" thickBot="1">
      <c r="A51" s="278" t="s">
        <v>124</v>
      </c>
      <c r="B51" s="371">
        <f>SUM(B8:B50)</f>
        <v>158000000.97164893</v>
      </c>
      <c r="C51" s="50">
        <f>SUM(C8:C50)</f>
        <v>150156576.47000003</v>
      </c>
      <c r="D51" s="50">
        <f>SUM(D8:D50)</f>
        <v>8801033.7400000002</v>
      </c>
      <c r="E51" s="50">
        <f>SUM(E8:E50)</f>
        <v>4.999999888241291E-2</v>
      </c>
      <c r="F51" s="372">
        <f>SUM(F8:F50)</f>
        <v>-957609.28835106688</v>
      </c>
      <c r="G51" s="365"/>
    </row>
    <row r="52" spans="1:9">
      <c r="A52" s="373" t="s">
        <v>193</v>
      </c>
      <c r="B52" s="289"/>
      <c r="C52" s="289"/>
      <c r="D52" s="289"/>
      <c r="E52" s="289"/>
      <c r="F52" s="374"/>
      <c r="G52" s="365"/>
    </row>
    <row r="53" spans="1:9">
      <c r="A53" s="375"/>
      <c r="B53" s="289"/>
      <c r="C53" s="289"/>
      <c r="D53" s="289"/>
      <c r="E53" s="289"/>
      <c r="F53" s="374"/>
      <c r="G53" s="365"/>
      <c r="I53" s="367"/>
    </row>
    <row r="54" spans="1:9" ht="25.5" customHeight="1">
      <c r="A54" s="375"/>
      <c r="B54" s="289"/>
      <c r="C54" s="289"/>
      <c r="D54" s="289"/>
      <c r="E54" s="289"/>
      <c r="F54" s="374"/>
      <c r="G54" s="365"/>
    </row>
    <row r="56" spans="1:9" ht="16" thickBot="1">
      <c r="A56" s="289"/>
      <c r="B56" s="289"/>
      <c r="C56" s="289"/>
      <c r="D56" s="289"/>
      <c r="E56" s="289"/>
      <c r="F56" s="374"/>
      <c r="G56" s="365"/>
    </row>
    <row r="57" spans="1:9" ht="16.5" customHeight="1" thickBot="1">
      <c r="A57" s="376" t="s">
        <v>139</v>
      </c>
      <c r="B57" s="377">
        <f>B10+B11+B13+B15+B17+B22+B29+B31+B37+B39+B40+B41+B45+B46+B47+B50</f>
        <v>3990380.4316489347</v>
      </c>
      <c r="C57" s="377">
        <f>C10+C11+C13+C15+C17+C22+C29+C31+C37+C39+C40+C41+C45+C46+C47+C50</f>
        <v>1369446.47</v>
      </c>
      <c r="D57" s="377">
        <f>D10+D11+D13+D15+D17+D22+D29+D31+D37+D39+D40+D41+D45+D46+D47+D50</f>
        <v>129107</v>
      </c>
      <c r="E57" s="377">
        <f>E10+E11+E13+E15+E17+E22+E29+E31+E37+E39+E40+E41+E45+E46+E47+E50</f>
        <v>0</v>
      </c>
      <c r="F57" s="378">
        <f>B57-C57-D57-E57</f>
        <v>2491826.9616489345</v>
      </c>
      <c r="G57" s="365"/>
    </row>
    <row r="58" spans="1:9">
      <c r="G58" s="365"/>
    </row>
    <row r="59" spans="1:9">
      <c r="A59" s="379"/>
    </row>
  </sheetData>
  <mergeCells count="3">
    <mergeCell ref="A4:F4"/>
    <mergeCell ref="A5:F5"/>
    <mergeCell ref="A6:F6"/>
  </mergeCells>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3F8AC-F865-4C52-9410-17A7176C570D}">
  <dimension ref="A1:I58"/>
  <sheetViews>
    <sheetView topLeftCell="A23" workbookViewId="0">
      <selection activeCell="B57" sqref="B57"/>
    </sheetView>
  </sheetViews>
  <sheetFormatPr defaultColWidth="9.7265625" defaultRowHeight="15.5"/>
  <cols>
    <col min="1" max="1" width="24.7265625" style="1" customWidth="1"/>
    <col min="2" max="2" width="17.26953125" style="1" customWidth="1"/>
    <col min="3" max="3" width="16.26953125" style="1" customWidth="1"/>
    <col min="4" max="4" width="13.7265625" style="1" customWidth="1"/>
    <col min="5" max="5" width="16.7265625" style="1" customWidth="1"/>
    <col min="6" max="6" width="16.26953125" style="1" customWidth="1"/>
    <col min="7" max="7" width="1.7265625" style="1" customWidth="1"/>
    <col min="8" max="16384" width="9.7265625" style="1"/>
  </cols>
  <sheetData>
    <row r="1" spans="1:6" ht="16.5" customHeight="1">
      <c r="B1" s="355"/>
      <c r="F1" s="380" t="str">
        <f>Status!C1</f>
        <v>UNEP/OzL.Pro/ExCom/94/3</v>
      </c>
    </row>
    <row r="2" spans="1:6" ht="16.5" customHeight="1">
      <c r="B2" s="22"/>
      <c r="F2" s="380" t="s">
        <v>201</v>
      </c>
    </row>
    <row r="3" spans="1:6" ht="16.5" customHeight="1">
      <c r="B3" s="22"/>
      <c r="F3" s="380"/>
    </row>
    <row r="4" spans="1:6" ht="20.25" customHeight="1">
      <c r="A4" s="381" t="s">
        <v>2</v>
      </c>
      <c r="B4" s="381"/>
      <c r="C4" s="381"/>
      <c r="D4" s="381"/>
      <c r="E4" s="381"/>
      <c r="F4" s="381"/>
    </row>
    <row r="5" spans="1:6" ht="20.25" customHeight="1">
      <c r="A5" s="382" t="s">
        <v>197</v>
      </c>
      <c r="B5" s="381"/>
      <c r="C5" s="381"/>
      <c r="D5" s="381"/>
      <c r="E5" s="381"/>
      <c r="F5" s="381"/>
    </row>
    <row r="6" spans="1:6" ht="30" customHeight="1" thickBot="1">
      <c r="A6" s="383" t="str">
        <f>Status!A6</f>
        <v>As at 24/05/2024</v>
      </c>
      <c r="B6" s="381"/>
      <c r="C6" s="381"/>
      <c r="D6" s="381"/>
      <c r="E6" s="381"/>
      <c r="F6" s="381"/>
    </row>
    <row r="7" spans="1:6" ht="30.5" thickBot="1">
      <c r="A7" s="358" t="s">
        <v>60</v>
      </c>
      <c r="B7" s="359" t="s">
        <v>61</v>
      </c>
      <c r="C7" s="359" t="s">
        <v>62</v>
      </c>
      <c r="D7" s="359" t="s">
        <v>63</v>
      </c>
      <c r="E7" s="359" t="s">
        <v>64</v>
      </c>
      <c r="F7" s="384" t="s">
        <v>65</v>
      </c>
    </row>
    <row r="8" spans="1:6" ht="18" customHeight="1">
      <c r="A8" s="237" t="s">
        <v>130</v>
      </c>
      <c r="B8" s="363">
        <f>'YR2000'!B8+'YR2001'!B8+'YR2002'!B8</f>
        <v>7446783</v>
      </c>
      <c r="C8" s="363">
        <f>'YR2000'!C8+'YR2001'!C8+'YR2002'!C8+69300.25</f>
        <v>6913302.9900000002</v>
      </c>
      <c r="D8" s="363">
        <f>'YR2000'!D8+'YR2001'!D8+'YR2002'!D8</f>
        <v>533480</v>
      </c>
      <c r="E8" s="363">
        <f>'YR2000'!E8+'YR2001'!E8+'YR2002'!E8</f>
        <v>0</v>
      </c>
      <c r="F8" s="385">
        <f t="shared" ref="F8:F50" si="0">B8-C8-D8-E8</f>
        <v>9.9999997764825821E-3</v>
      </c>
    </row>
    <row r="9" spans="1:6" ht="18" customHeight="1">
      <c r="A9" s="40" t="s">
        <v>69</v>
      </c>
      <c r="B9" s="367">
        <f>'YR2000'!B9+'YR2001'!B9+'YR2002'!B9</f>
        <v>4728354</v>
      </c>
      <c r="C9" s="367">
        <f>'YR2000'!C9+'YR2001'!C9+'YR2002'!C9</f>
        <v>4728354</v>
      </c>
      <c r="D9" s="367">
        <f>'YR2000'!D9+'YR2001'!D9+'YR2002'!D9</f>
        <v>0</v>
      </c>
      <c r="E9" s="367">
        <f>'YR2000'!E9+'YR2001'!E9+'YR2002'!E9</f>
        <v>0</v>
      </c>
      <c r="F9" s="386">
        <f t="shared" si="0"/>
        <v>0</v>
      </c>
    </row>
    <row r="10" spans="1:6" ht="18" customHeight="1">
      <c r="A10" s="245" t="s">
        <v>70</v>
      </c>
      <c r="B10" s="367">
        <f>'YR2000'!B10+'YR2001'!B10+'YR2002'!B10</f>
        <v>110547</v>
      </c>
      <c r="C10" s="367">
        <f>'YR2000'!C10+'YR2001'!C10+'YR2002'!C10</f>
        <v>0</v>
      </c>
      <c r="D10" s="367">
        <f>'YR2000'!D10+'YR2001'!D10+'YR2002'!D10</f>
        <v>0</v>
      </c>
      <c r="E10" s="367">
        <f>'YR2000'!E10+'YR2001'!E10+'YR2002'!E10</f>
        <v>0</v>
      </c>
      <c r="F10" s="386">
        <f t="shared" si="0"/>
        <v>110547</v>
      </c>
    </row>
    <row r="11" spans="1:6" ht="18" customHeight="1">
      <c r="A11" s="40" t="s">
        <v>71</v>
      </c>
      <c r="B11" s="367">
        <f>'YR2000'!B11+'YR2001'!B11+'YR2002'!B11</f>
        <v>412035</v>
      </c>
      <c r="C11" s="367">
        <f>'YR2000'!C11+'YR2001'!C11+'YR2002'!C11</f>
        <v>0</v>
      </c>
      <c r="D11" s="367">
        <f>'YR2000'!D11+'YR2001'!D11+'YR2002'!D11</f>
        <v>0</v>
      </c>
      <c r="E11" s="367">
        <f>'YR2000'!E11+'YR2001'!E11+'YR2002'!E11</f>
        <v>0</v>
      </c>
      <c r="F11" s="386">
        <f t="shared" si="0"/>
        <v>412035</v>
      </c>
    </row>
    <row r="12" spans="1:6" ht="18" customHeight="1">
      <c r="A12" s="40" t="s">
        <v>72</v>
      </c>
      <c r="B12" s="367">
        <f>'YR2000'!B12+'YR2001'!B12+'YR2002'!B12</f>
        <v>5542377</v>
      </c>
      <c r="C12" s="367">
        <f>'YR2000'!C12+'YR2001'!C12+'YR2002'!C12</f>
        <v>5542377</v>
      </c>
      <c r="D12" s="367">
        <f>'YR2000'!D12+'YR2001'!D12+'YR2002'!D12</f>
        <v>0</v>
      </c>
      <c r="E12" s="367">
        <f>'YR2000'!E12+'YR2001'!E12+'YR2002'!E12</f>
        <v>0</v>
      </c>
      <c r="F12" s="386">
        <f t="shared" si="0"/>
        <v>0</v>
      </c>
    </row>
    <row r="13" spans="1:6" ht="18" customHeight="1">
      <c r="A13" s="40" t="s">
        <v>73</v>
      </c>
      <c r="B13" s="367">
        <f>'YR2000'!B13+'YR2001'!B13+'YR2002'!B13</f>
        <v>95472</v>
      </c>
      <c r="C13" s="367">
        <f>'YR2000'!C13+'YR2001'!C13+'YR2002'!C13</f>
        <v>95472</v>
      </c>
      <c r="D13" s="367">
        <f>'YR2000'!D13+'YR2001'!D13+'YR2002'!D13</f>
        <v>0</v>
      </c>
      <c r="E13" s="367">
        <f>'YR2000'!E13+'YR2001'!E13+'YR2002'!E13</f>
        <v>0</v>
      </c>
      <c r="F13" s="386">
        <f t="shared" si="0"/>
        <v>0</v>
      </c>
    </row>
    <row r="14" spans="1:6" ht="18" customHeight="1">
      <c r="A14" s="40" t="s">
        <v>131</v>
      </c>
      <c r="B14" s="367">
        <f>'YR2000'!B14+'YR2001'!B14+'YR2002'!B14</f>
        <v>13838352</v>
      </c>
      <c r="C14" s="367">
        <f>'YR2000'!C14+'YR2001'!C14+'YR2002'!C14</f>
        <v>11517099</v>
      </c>
      <c r="D14" s="367">
        <f>'YR2000'!D14+'YR2001'!D14+'YR2002'!D14</f>
        <v>2321253</v>
      </c>
      <c r="E14" s="367">
        <f>'YR2000'!E14+'YR2001'!E14+'YR2002'!E14</f>
        <v>0</v>
      </c>
      <c r="F14" s="386">
        <f t="shared" si="0"/>
        <v>0</v>
      </c>
    </row>
    <row r="15" spans="1:6" ht="18" customHeight="1">
      <c r="A15" s="40" t="s">
        <v>77</v>
      </c>
      <c r="B15" s="367">
        <f>'YR2000'!B15+'YR2001'!B15+'YR2002'!B15</f>
        <v>608004</v>
      </c>
      <c r="C15" s="367">
        <f>'YR2000'!C15+'YR2001'!C15+'YR2002'!C15</f>
        <v>608004</v>
      </c>
      <c r="D15" s="367">
        <f>'YR2000'!D15+'YR2001'!D15+'YR2002'!D15</f>
        <v>0</v>
      </c>
      <c r="E15" s="367">
        <f>'YR2000'!E15+'YR2001'!E15+'YR2002'!E15</f>
        <v>0</v>
      </c>
      <c r="F15" s="386">
        <f t="shared" si="0"/>
        <v>0</v>
      </c>
    </row>
    <row r="16" spans="1:6" ht="18" customHeight="1">
      <c r="A16" s="40" t="s">
        <v>78</v>
      </c>
      <c r="B16" s="367">
        <f>'YR2000'!B16+'YR2001'!B16+'YR2002'!B16</f>
        <v>3472149</v>
      </c>
      <c r="C16" s="367">
        <f>'YR2000'!C16+'YR2001'!C16+'YR2002'!C16</f>
        <v>3472149</v>
      </c>
      <c r="D16" s="367">
        <f>'YR2000'!D16+'YR2001'!D16+'YR2002'!D16</f>
        <v>0</v>
      </c>
      <c r="E16" s="367">
        <f>'YR2000'!E16+'YR2001'!E16+'YR2002'!E16</f>
        <v>0</v>
      </c>
      <c r="F16" s="386">
        <f t="shared" si="0"/>
        <v>0</v>
      </c>
    </row>
    <row r="17" spans="1:9" ht="18" customHeight="1">
      <c r="A17" s="40" t="s">
        <v>79</v>
      </c>
      <c r="B17" s="367">
        <f>'YR2000'!B17+'YR2001'!B17+'YR2002'!B17</f>
        <v>75372</v>
      </c>
      <c r="C17" s="367">
        <f>'YR2000'!C17+'YR2001'!C17+'YR2002'!C17</f>
        <v>75372</v>
      </c>
      <c r="D17" s="367">
        <f>'YR2000'!D17+'YR2001'!D17+'YR2002'!D17</f>
        <v>0</v>
      </c>
      <c r="E17" s="367">
        <f>'YR2000'!E17+'YR2001'!E17+'YR2002'!E17</f>
        <v>0</v>
      </c>
      <c r="F17" s="386">
        <f t="shared" si="0"/>
        <v>0</v>
      </c>
    </row>
    <row r="18" spans="1:9" ht="18" customHeight="1">
      <c r="A18" s="40" t="s">
        <v>80</v>
      </c>
      <c r="B18" s="367">
        <f>'YR2000'!B18+'YR2001'!B18+'YR2002'!B18</f>
        <v>2723451</v>
      </c>
      <c r="C18" s="367">
        <f>'YR2000'!C18+'YR2001'!C18+'YR2002'!C18</f>
        <v>2723451</v>
      </c>
      <c r="D18" s="367">
        <f>'YR2000'!D18+'YR2001'!D18+'YR2002'!D18</f>
        <v>0</v>
      </c>
      <c r="E18" s="367">
        <f>'YR2000'!E18+'YR2001'!E18+'YR2002'!E18</f>
        <v>0</v>
      </c>
      <c r="F18" s="386">
        <f t="shared" si="0"/>
        <v>0</v>
      </c>
    </row>
    <row r="19" spans="1:9" ht="18" customHeight="1">
      <c r="A19" s="40" t="s">
        <v>81</v>
      </c>
      <c r="B19" s="367">
        <f>'YR2000'!B19+'YR2001'!B19+'YR2002'!B19</f>
        <v>32862321</v>
      </c>
      <c r="C19" s="367">
        <f>'YR2000'!C19+'YR2001'!C19+'YR2002'!C19</f>
        <v>32122086</v>
      </c>
      <c r="D19" s="367">
        <f>'YR2000'!D19+'YR2001'!D19+'YR2002'!D19</f>
        <v>774860</v>
      </c>
      <c r="E19" s="367">
        <f>'YR2000'!E19+'YR2001'!E19+'YR2002'!E19</f>
        <v>0</v>
      </c>
      <c r="F19" s="386">
        <f t="shared" si="0"/>
        <v>-34625</v>
      </c>
    </row>
    <row r="20" spans="1:9" ht="18" customHeight="1">
      <c r="A20" s="40" t="s">
        <v>82</v>
      </c>
      <c r="B20" s="367">
        <f>'YR2000'!B20+'YR2001'!B20+'YR2002'!B20</f>
        <v>49283430</v>
      </c>
      <c r="C20" s="367">
        <f>'YR2000'!C20+'YR2001'!C20+'YR2002'!C20</f>
        <v>38064112</v>
      </c>
      <c r="D20" s="367">
        <f>'YR2000'!D20+'YR2001'!D20+'YR2002'!D20</f>
        <v>11219318</v>
      </c>
      <c r="E20" s="367">
        <f>'YR2000'!E20+'YR2001'!E20+'YR2002'!E20</f>
        <v>0</v>
      </c>
      <c r="F20" s="386">
        <f t="shared" si="0"/>
        <v>0</v>
      </c>
    </row>
    <row r="21" spans="1:9" ht="18" customHeight="1">
      <c r="A21" s="40" t="s">
        <v>83</v>
      </c>
      <c r="B21" s="367">
        <f>'YR2000'!B21+'YR2001'!B21+'YR2002'!B21</f>
        <v>1763712</v>
      </c>
      <c r="C21" s="367">
        <f>'YR2000'!C21+'YR2001'!C21+'YR2002'!C21</f>
        <v>1814083.29</v>
      </c>
      <c r="D21" s="367">
        <f>'YR2000'!D21+'YR2001'!D21+'YR2002'!D21</f>
        <v>0</v>
      </c>
      <c r="E21" s="367">
        <f>'YR2000'!E21+'YR2001'!E21+'YR2002'!E21</f>
        <v>0</v>
      </c>
      <c r="F21" s="386">
        <f t="shared" si="0"/>
        <v>-50371.290000000037</v>
      </c>
    </row>
    <row r="22" spans="1:9" ht="18" customHeight="1">
      <c r="A22" s="40" t="s">
        <v>85</v>
      </c>
      <c r="B22" s="367">
        <f>'YR2000'!B22+'YR2001'!B22+'YR2002'!B22</f>
        <v>602979</v>
      </c>
      <c r="C22" s="367">
        <f>'YR2000'!C22+'YR2001'!C22+'YR2002'!C22</f>
        <v>602979</v>
      </c>
      <c r="D22" s="367">
        <f>'YR2000'!D22+'YR2001'!D22+'YR2002'!D22</f>
        <v>0</v>
      </c>
      <c r="E22" s="367">
        <f>'YR2000'!E22+'YR2001'!E22+'YR2002'!E22</f>
        <v>0</v>
      </c>
      <c r="F22" s="386">
        <f t="shared" si="0"/>
        <v>0</v>
      </c>
    </row>
    <row r="23" spans="1:9" ht="18" customHeight="1">
      <c r="A23" s="40" t="s">
        <v>86</v>
      </c>
      <c r="B23" s="367">
        <f>'YR2000'!B23+'YR2001'!B23+'YR2002'!B23</f>
        <v>160794</v>
      </c>
      <c r="C23" s="367">
        <f>'YR2000'!C23+'YR2001'!C23+'YR2002'!C23</f>
        <v>160794</v>
      </c>
      <c r="D23" s="367">
        <f>'YR2000'!D23+'YR2001'!D23+'YR2002'!D23</f>
        <v>0</v>
      </c>
      <c r="E23" s="367">
        <f>'YR2000'!E23+'YR2001'!E23+'YR2002'!E23</f>
        <v>0</v>
      </c>
      <c r="F23" s="386">
        <f t="shared" si="0"/>
        <v>0</v>
      </c>
    </row>
    <row r="24" spans="1:9" ht="18" customHeight="1">
      <c r="A24" s="40" t="s">
        <v>87</v>
      </c>
      <c r="B24" s="367">
        <f>'YR2000'!B24+'YR2001'!B24+'YR2002'!B24</f>
        <v>1125558</v>
      </c>
      <c r="C24" s="367">
        <f>'YR2000'!C24+'YR2001'!C24+'YR2002'!C24</f>
        <v>1125558</v>
      </c>
      <c r="D24" s="367">
        <f>'YR2000'!D24+'YR2001'!D24+'YR2002'!D24</f>
        <v>0</v>
      </c>
      <c r="E24" s="367">
        <f>'YR2000'!E24+'YR2001'!E24+'YR2002'!E24</f>
        <v>0</v>
      </c>
      <c r="F24" s="386">
        <f t="shared" si="0"/>
        <v>0</v>
      </c>
    </row>
    <row r="25" spans="1:9" ht="18" customHeight="1">
      <c r="A25" s="40" t="s">
        <v>88</v>
      </c>
      <c r="B25" s="367">
        <f>'YR2000'!B25+'YR2001'!B25+'YR2002'!B25</f>
        <v>1733562</v>
      </c>
      <c r="C25" s="367">
        <f>'YR2000'!C25+'YR2001'!C25+'YR2002'!C25</f>
        <v>705345</v>
      </c>
      <c r="D25" s="367">
        <f>'YR2000'!D25+'YR2001'!D25+'YR2002'!D25</f>
        <v>38106</v>
      </c>
      <c r="E25" s="367">
        <f>'YR2000'!E25+'YR2001'!E25+'YR2002'!E25</f>
        <v>0</v>
      </c>
      <c r="F25" s="386">
        <f t="shared" si="0"/>
        <v>990111</v>
      </c>
    </row>
    <row r="26" spans="1:9" ht="18" customHeight="1">
      <c r="A26" s="40" t="s">
        <v>89</v>
      </c>
      <c r="B26" s="367">
        <f>'YR2000'!B26+'YR2001'!B26+'YR2002'!B26</f>
        <v>27294819</v>
      </c>
      <c r="C26" s="367">
        <f>'YR2000'!C26+'YR2001'!C26+'YR2002'!C26</f>
        <v>22072579.219999999</v>
      </c>
      <c r="D26" s="367">
        <f>'YR2000'!D26+'YR2001'!D26+'YR2002'!D26</f>
        <v>5222239.78</v>
      </c>
      <c r="E26" s="367">
        <f>'YR2000'!E26+'YR2001'!E26+'YR2002'!E26</f>
        <v>0</v>
      </c>
      <c r="F26" s="386">
        <f t="shared" si="0"/>
        <v>9.3132257461547852E-10</v>
      </c>
    </row>
    <row r="27" spans="1:9" ht="18" customHeight="1">
      <c r="A27" s="40" t="s">
        <v>90</v>
      </c>
      <c r="B27" s="367">
        <f>'YR2000'!B27+'YR2001'!B27+'YR2002'!B27</f>
        <v>100415994</v>
      </c>
      <c r="C27" s="367">
        <f>'YR2000'!C27+'YR2001'!C27+'YR2002'!C27</f>
        <v>98909847.530000001</v>
      </c>
      <c r="D27" s="367">
        <f>'YR2000'!D27+'YR2001'!D27+'YR2002'!D27</f>
        <v>1506149.47</v>
      </c>
      <c r="E27" s="367">
        <f>'YR2000'!E27+'YR2001'!E27+'YR2002'!E27</f>
        <v>0</v>
      </c>
      <c r="F27" s="386">
        <f t="shared" si="0"/>
        <v>-3.0000000011641532</v>
      </c>
    </row>
    <row r="28" spans="1:9" customFormat="1">
      <c r="A28" s="40" t="s">
        <v>91</v>
      </c>
      <c r="B28" s="367">
        <f>'YR2001'!B28+'YR2002'!B28</f>
        <v>0</v>
      </c>
      <c r="C28" s="367">
        <f>'YR2001'!C28+'YR2002'!C28</f>
        <v>0</v>
      </c>
      <c r="D28" s="367">
        <f>'YR2001'!D28+'YR2002'!D28</f>
        <v>0</v>
      </c>
      <c r="E28" s="367">
        <f>'YR2001'!E28+'YR2002'!E28</f>
        <v>0</v>
      </c>
      <c r="F28" s="386">
        <f t="shared" si="0"/>
        <v>0</v>
      </c>
      <c r="H28" s="112"/>
      <c r="I28" s="112"/>
    </row>
    <row r="29" spans="1:9" ht="18" customHeight="1">
      <c r="A29" s="40" t="s">
        <v>93</v>
      </c>
      <c r="B29" s="367">
        <f>'YR2000'!B28+'YR2001'!B29+'YR2002'!B29</f>
        <v>120597</v>
      </c>
      <c r="C29" s="367">
        <f>'YR2000'!C28+'YR2001'!C29+'YR2002'!C29</f>
        <v>120597</v>
      </c>
      <c r="D29" s="367">
        <f>'YR2000'!D28+'YR2001'!D29+'YR2002'!D29</f>
        <v>0</v>
      </c>
      <c r="E29" s="367">
        <f>'YR2000'!E28+'YR2001'!E29+'YR2002'!E29</f>
        <v>0</v>
      </c>
      <c r="F29" s="386">
        <f t="shared" si="0"/>
        <v>0</v>
      </c>
    </row>
    <row r="30" spans="1:9" ht="18" customHeight="1">
      <c r="A30" s="40" t="s">
        <v>94</v>
      </c>
      <c r="B30" s="367">
        <f>'YR2000'!B29+'YR2001'!B30+'YR2002'!B30</f>
        <v>30150</v>
      </c>
      <c r="C30" s="367">
        <f>'YR2000'!C29+'YR2001'!C30+'YR2002'!C30</f>
        <v>30150</v>
      </c>
      <c r="D30" s="367">
        <f>'YR2000'!D29+'YR2001'!D30+'YR2002'!D30</f>
        <v>0</v>
      </c>
      <c r="E30" s="367">
        <f>'YR2000'!E29+'YR2001'!E30+'YR2002'!E30</f>
        <v>0</v>
      </c>
      <c r="F30" s="386">
        <f t="shared" si="0"/>
        <v>0</v>
      </c>
    </row>
    <row r="31" spans="1:9" ht="18" customHeight="1">
      <c r="A31" s="40" t="s">
        <v>95</v>
      </c>
      <c r="B31" s="367">
        <f>'YR2000'!B30+'YR2001'!B31+'YR2002'!B31</f>
        <v>110547</v>
      </c>
      <c r="C31" s="367">
        <f>'YR2000'!C30+'YR2001'!C31+'YR2002'!C31</f>
        <v>0</v>
      </c>
      <c r="D31" s="367">
        <f>'YR2000'!D30+'YR2001'!D31+'YR2002'!D31</f>
        <v>0</v>
      </c>
      <c r="E31" s="367">
        <f>'YR2000'!E30+'YR2001'!E31+'YR2002'!E31</f>
        <v>0</v>
      </c>
      <c r="F31" s="386">
        <f t="shared" si="0"/>
        <v>110547</v>
      </c>
    </row>
    <row r="32" spans="1:9" ht="18" customHeight="1">
      <c r="A32" s="40" t="s">
        <v>96</v>
      </c>
      <c r="B32" s="367">
        <f>'YR2000'!B31+'YR2001'!B32+'YR2002'!B32</f>
        <v>341688</v>
      </c>
      <c r="C32" s="367">
        <f>'YR2000'!C31+'YR2001'!C32+'YR2002'!C32</f>
        <v>341688</v>
      </c>
      <c r="D32" s="367">
        <f>'YR2000'!D31+'YR2001'!D32+'YR2002'!D32</f>
        <v>0</v>
      </c>
      <c r="E32" s="367">
        <f>'YR2000'!E31+'YR2001'!E32+'YR2002'!E32</f>
        <v>0</v>
      </c>
      <c r="F32" s="386">
        <f t="shared" si="0"/>
        <v>0</v>
      </c>
    </row>
    <row r="33" spans="1:6" ht="18" customHeight="1">
      <c r="A33" s="40" t="s">
        <v>98</v>
      </c>
      <c r="B33" s="367">
        <f>'YR2000'!B32+'YR2001'!B33+'YR2002'!B33</f>
        <v>20100</v>
      </c>
      <c r="C33" s="367">
        <f>'YR2000'!C32+'YR2001'!C33+'YR2002'!C33</f>
        <v>20080</v>
      </c>
      <c r="D33" s="367">
        <f>'YR2000'!D32+'YR2001'!D33+'YR2002'!D33</f>
        <v>0</v>
      </c>
      <c r="E33" s="367">
        <f>'YR2000'!E32+'YR2001'!E33+'YR2002'!E33</f>
        <v>0</v>
      </c>
      <c r="F33" s="386">
        <f t="shared" si="0"/>
        <v>20</v>
      </c>
    </row>
    <row r="34" spans="1:6" ht="18" customHeight="1">
      <c r="A34" s="40" t="s">
        <v>99</v>
      </c>
      <c r="B34" s="367">
        <f>'YR2000'!B33+'YR2001'!B34+'YR2002'!B34</f>
        <v>8195481</v>
      </c>
      <c r="C34" s="367">
        <f>'YR2000'!C33+'YR2001'!C34+'YR2002'!C34</f>
        <v>8195481</v>
      </c>
      <c r="D34" s="367">
        <f>'YR2000'!D33+'YR2001'!D34+'YR2002'!D34</f>
        <v>0</v>
      </c>
      <c r="E34" s="367">
        <f>'YR2000'!E33+'YR2001'!E34+'YR2002'!E34</f>
        <v>0</v>
      </c>
      <c r="F34" s="386">
        <f t="shared" si="0"/>
        <v>0</v>
      </c>
    </row>
    <row r="35" spans="1:6" ht="18" customHeight="1">
      <c r="A35" s="40" t="s">
        <v>100</v>
      </c>
      <c r="B35" s="367">
        <f>'YR2000'!B34+'YR2001'!B35+'YR2002'!B35</f>
        <v>1110486</v>
      </c>
      <c r="C35" s="367">
        <f>'YR2000'!C34+'YR2001'!C35+'YR2002'!C35</f>
        <v>1110486</v>
      </c>
      <c r="D35" s="367">
        <f>'YR2000'!D34+'YR2001'!D35+'YR2002'!D35</f>
        <v>0</v>
      </c>
      <c r="E35" s="367">
        <f>'YR2000'!E34+'YR2001'!E35+'YR2002'!E35</f>
        <v>0</v>
      </c>
      <c r="F35" s="386">
        <f t="shared" si="0"/>
        <v>0</v>
      </c>
    </row>
    <row r="36" spans="1:6" ht="18" customHeight="1">
      <c r="A36" s="40" t="s">
        <v>101</v>
      </c>
      <c r="B36" s="367">
        <f>'YR2000'!B35+'YR2001'!B36+'YR2002'!B36</f>
        <v>3065139</v>
      </c>
      <c r="C36" s="367">
        <f>'YR2000'!C35+'YR2001'!C36+'YR2002'!C36</f>
        <v>3065139</v>
      </c>
      <c r="D36" s="367">
        <f>'YR2000'!D35+'YR2001'!D36+'YR2002'!D36</f>
        <v>0</v>
      </c>
      <c r="E36" s="367">
        <f>'YR2000'!E35+'YR2001'!E36+'YR2002'!E36</f>
        <v>0</v>
      </c>
      <c r="F36" s="386">
        <f t="shared" si="0"/>
        <v>0</v>
      </c>
    </row>
    <row r="37" spans="1:6" ht="18" customHeight="1">
      <c r="A37" s="40" t="s">
        <v>103</v>
      </c>
      <c r="B37" s="367">
        <f>'YR2000'!B36+'YR2001'!B37+'YR2002'!B37</f>
        <v>1040136</v>
      </c>
      <c r="C37" s="367">
        <f>'YR2000'!C36+'YR2001'!C37+'YR2002'!C37</f>
        <v>927136</v>
      </c>
      <c r="D37" s="367">
        <f>'YR2000'!D36+'YR2001'!D37+'YR2002'!D37</f>
        <v>113000</v>
      </c>
      <c r="E37" s="367">
        <f>'YR2000'!E36+'YR2001'!E37+'YR2002'!E37</f>
        <v>0</v>
      </c>
      <c r="F37" s="386">
        <f t="shared" si="0"/>
        <v>0</v>
      </c>
    </row>
    <row r="38" spans="1:6" ht="18" customHeight="1">
      <c r="A38" s="40" t="s">
        <v>104</v>
      </c>
      <c r="B38" s="367">
        <f>'YR2000'!B37+'YR2001'!B38+'YR2002'!B38</f>
        <v>2095350</v>
      </c>
      <c r="C38" s="367">
        <f>'YR2000'!C37+'YR2001'!C38+'YR2002'!C38</f>
        <v>2095350</v>
      </c>
      <c r="D38" s="367">
        <f>'YR2000'!D37+'YR2001'!D38+'YR2002'!D38</f>
        <v>0</v>
      </c>
      <c r="E38" s="367">
        <f>'YR2000'!E37+'YR2001'!E38+'YR2002'!E38</f>
        <v>0</v>
      </c>
      <c r="F38" s="386">
        <f t="shared" si="0"/>
        <v>0</v>
      </c>
    </row>
    <row r="39" spans="1:6" ht="18" customHeight="1">
      <c r="A39" s="40" t="s">
        <v>106</v>
      </c>
      <c r="B39" s="367">
        <f>'YR2000'!B38+'YR2001'!B39+'YR2002'!B39</f>
        <v>7471905</v>
      </c>
      <c r="C39" s="367">
        <f>'YR2000'!C38+'YR2001'!C39+'YR2002'!C39</f>
        <v>0</v>
      </c>
      <c r="D39" s="367">
        <f>'YR2000'!D38+'YR2001'!D39+'YR2002'!D39</f>
        <v>0</v>
      </c>
      <c r="E39" s="367">
        <f>'YR2000'!E38+'YR2001'!E39+'YR2002'!E39</f>
        <v>0</v>
      </c>
      <c r="F39" s="386">
        <f t="shared" si="0"/>
        <v>7471905</v>
      </c>
    </row>
    <row r="40" spans="1:6" ht="18" customHeight="1">
      <c r="A40" s="30" t="s">
        <v>109</v>
      </c>
      <c r="B40" s="367">
        <f>'YR2000'!B39+'YR2001'!B40+'YR2002'!B40</f>
        <v>195969</v>
      </c>
      <c r="C40" s="367">
        <f>'YR2000'!C39+'YR2001'!C40+'YR2002'!C40</f>
        <v>195969</v>
      </c>
      <c r="D40" s="367">
        <f>'YR2000'!D39+'YR2001'!D40+'YR2002'!D40</f>
        <v>0</v>
      </c>
      <c r="E40" s="367">
        <f>'YR2000'!E39+'YR2001'!E40+'YR2002'!E40</f>
        <v>0</v>
      </c>
      <c r="F40" s="386">
        <f t="shared" si="0"/>
        <v>0</v>
      </c>
    </row>
    <row r="41" spans="1:6" ht="18" customHeight="1">
      <c r="A41" s="40" t="s">
        <v>110</v>
      </c>
      <c r="B41" s="367">
        <f>'YR2000'!B40+'YR2001'!B41+'YR2002'!B41</f>
        <v>0</v>
      </c>
      <c r="C41" s="367">
        <f>'YR2000'!C40+'YR2001'!C41+'YR2002'!C41</f>
        <v>0</v>
      </c>
      <c r="D41" s="367">
        <f>'YR2000'!D40+'YR2001'!D41+'YR2002'!D41</f>
        <v>0</v>
      </c>
      <c r="E41" s="367">
        <f>'YR2000'!E40+'YR2001'!E41+'YR2002'!E41</f>
        <v>0</v>
      </c>
      <c r="F41" s="386">
        <f t="shared" si="0"/>
        <v>0</v>
      </c>
    </row>
    <row r="42" spans="1:6" ht="18" customHeight="1">
      <c r="A42" s="40" t="s">
        <v>112</v>
      </c>
      <c r="B42" s="367">
        <f>'YR2000'!B41+'YR2001'!B42+'YR2002'!B42</f>
        <v>13009257</v>
      </c>
      <c r="C42" s="367">
        <f>'YR2000'!C41+'YR2001'!C42+'YR2002'!C42</f>
        <v>13009257</v>
      </c>
      <c r="D42" s="367">
        <f>'YR2000'!D41+'YR2001'!D42+'YR2002'!D42</f>
        <v>0</v>
      </c>
      <c r="E42" s="367">
        <f>'YR2000'!E41+'YR2001'!E42+'YR2002'!E42</f>
        <v>0</v>
      </c>
      <c r="F42" s="386">
        <f t="shared" si="0"/>
        <v>0</v>
      </c>
    </row>
    <row r="43" spans="1:6" ht="18" customHeight="1">
      <c r="A43" s="40" t="s">
        <v>113</v>
      </c>
      <c r="B43" s="367">
        <f>'YR2000'!B42+'YR2001'!B43+'YR2002'!B43</f>
        <v>5446905</v>
      </c>
      <c r="C43" s="367">
        <f>'YR2000'!C42+'YR2001'!C43+'YR2002'!C43</f>
        <v>4735239</v>
      </c>
      <c r="D43" s="367">
        <f>'YR2000'!D42+'YR2001'!D43+'YR2002'!D43</f>
        <v>711666</v>
      </c>
      <c r="E43" s="367">
        <f>'YR2000'!E42+'YR2001'!E43+'YR2002'!E43</f>
        <v>0</v>
      </c>
      <c r="F43" s="386">
        <f t="shared" si="0"/>
        <v>0</v>
      </c>
    </row>
    <row r="44" spans="1:6" ht="18" customHeight="1">
      <c r="A44" s="40" t="s">
        <v>114</v>
      </c>
      <c r="B44" s="367">
        <f>'YR2000'!B43+'YR2001'!B44+'YR2002'!B44</f>
        <v>6105156</v>
      </c>
      <c r="C44" s="367">
        <f>'YR2000'!C43+'YR2001'!C44+'YR2002'!C44</f>
        <v>5953926</v>
      </c>
      <c r="D44" s="367">
        <f>'YR2000'!D43+'YR2001'!D44+'YR2002'!D44</f>
        <v>151230</v>
      </c>
      <c r="E44" s="367">
        <f>'YR2000'!E43+'YR2001'!E44+'YR2002'!E44</f>
        <v>0</v>
      </c>
      <c r="F44" s="386">
        <f t="shared" si="0"/>
        <v>0</v>
      </c>
    </row>
    <row r="45" spans="1:6" ht="18" customHeight="1">
      <c r="A45" s="40" t="s">
        <v>115</v>
      </c>
      <c r="B45" s="367">
        <f>'YR2000'!B44+'YR2001'!B45+'YR2002'!B45</f>
        <v>25125</v>
      </c>
      <c r="C45" s="367">
        <f>'YR2000'!C44+'YR2001'!C45+'YR2002'!C45</f>
        <v>0</v>
      </c>
      <c r="D45" s="367">
        <f>'YR2000'!D44+'YR2001'!D45+'YR2002'!D45</f>
        <v>0</v>
      </c>
      <c r="E45" s="367">
        <f>'YR2000'!E44+'YR2001'!E45+'YR2002'!E45</f>
        <v>0</v>
      </c>
      <c r="F45" s="386">
        <f t="shared" si="0"/>
        <v>25125</v>
      </c>
    </row>
    <row r="46" spans="1:6" ht="18" customHeight="1">
      <c r="A46" s="40" t="s">
        <v>187</v>
      </c>
      <c r="B46" s="367">
        <f>'YR2000'!B45+'YR2001'!B46+'YR2002'!B46</f>
        <v>40197</v>
      </c>
      <c r="C46" s="367">
        <f>'YR2000'!C45+'YR2001'!C46+'YR2002'!C46</f>
        <v>0</v>
      </c>
      <c r="D46" s="367">
        <f>'YR2000'!D45+'YR2001'!D46+'YR2002'!D46</f>
        <v>0</v>
      </c>
      <c r="E46" s="367">
        <f>'YR2000'!E45+'YR2001'!E46+'YR2002'!E46</f>
        <v>0</v>
      </c>
      <c r="F46" s="386">
        <f t="shared" si="0"/>
        <v>40197</v>
      </c>
    </row>
    <row r="47" spans="1:6" ht="18" customHeight="1">
      <c r="A47" s="40" t="s">
        <v>117</v>
      </c>
      <c r="B47" s="367">
        <f>'YR2000'!B46+'YR2001'!B47+'YR2002'!B47</f>
        <v>1517496</v>
      </c>
      <c r="C47" s="367">
        <f>'YR2000'!C46+'YR2001'!C47+'YR2002'!C47</f>
        <v>0</v>
      </c>
      <c r="D47" s="367">
        <f>'YR2000'!D46+'YR2001'!D47+'YR2002'!D47</f>
        <v>0</v>
      </c>
      <c r="E47" s="367">
        <f>'YR2000'!E46+'YR2001'!E47+'YR2002'!E47</f>
        <v>0</v>
      </c>
      <c r="F47" s="386">
        <f t="shared" si="0"/>
        <v>1517496</v>
      </c>
    </row>
    <row r="48" spans="1:6" ht="18" customHeight="1">
      <c r="A48" s="40" t="s">
        <v>119</v>
      </c>
      <c r="B48" s="367">
        <f>'YR2000'!B47+'YR2001'!B48+'YR2002'!B48</f>
        <v>25576332</v>
      </c>
      <c r="C48" s="367">
        <f>'YR2000'!C47+'YR2001'!C48+'YR2002'!C48</f>
        <v>25576332</v>
      </c>
      <c r="D48" s="367">
        <f>'YR2000'!D47+'YR2001'!D48+'YR2002'!D48</f>
        <v>0</v>
      </c>
      <c r="E48" s="367">
        <f>'YR2000'!E47+'YR2001'!E48+'YR2002'!E48</f>
        <v>0</v>
      </c>
      <c r="F48" s="386">
        <f t="shared" si="0"/>
        <v>0</v>
      </c>
    </row>
    <row r="49" spans="1:7" ht="18" customHeight="1">
      <c r="A49" s="40" t="s">
        <v>120</v>
      </c>
      <c r="B49" s="367">
        <f>'YR2000'!B48+'YR2001'!B49+'YR2002'!B49</f>
        <v>110000001</v>
      </c>
      <c r="C49" s="367">
        <f>'YR2000'!C48+'YR2001'!C49+'YR2002'!C49</f>
        <v>110000001</v>
      </c>
      <c r="D49" s="367">
        <f>'YR2000'!D48+'YR2001'!D49+'YR2002'!D49</f>
        <v>0</v>
      </c>
      <c r="E49" s="367">
        <f>'YR2000'!E48+'YR2001'!E49+'YR2002'!E49</f>
        <v>0</v>
      </c>
      <c r="F49" s="386">
        <f t="shared" si="0"/>
        <v>0</v>
      </c>
    </row>
    <row r="50" spans="1:7" ht="18" customHeight="1" thickBot="1">
      <c r="A50" s="251" t="s">
        <v>121</v>
      </c>
      <c r="B50" s="367">
        <f>'YR2000'!B49+'YR2001'!B50+'YR2002'!B50</f>
        <v>185919</v>
      </c>
      <c r="C50" s="367">
        <f>'YR2000'!C49+'YR2001'!C50+'YR2002'!C50</f>
        <v>61973</v>
      </c>
      <c r="D50" s="367">
        <f>'YR2000'!D49+'YR2001'!D50+'YR2002'!D50</f>
        <v>0</v>
      </c>
      <c r="E50" s="367">
        <f>'YR2000'!E49+'YR2001'!E50+'YR2002'!E50</f>
        <v>0</v>
      </c>
      <c r="F50" s="386">
        <f t="shared" si="0"/>
        <v>123946</v>
      </c>
    </row>
    <row r="51" spans="1:7" ht="20.25" customHeight="1" thickBot="1">
      <c r="A51" s="278" t="s">
        <v>124</v>
      </c>
      <c r="B51" s="50">
        <f>SUM(B8:B50)</f>
        <v>440000001</v>
      </c>
      <c r="C51" s="50">
        <f>SUM(C8:C50)</f>
        <v>406691769.03000003</v>
      </c>
      <c r="D51" s="50">
        <f>SUM(D8:D50)</f>
        <v>22591302.25</v>
      </c>
      <c r="E51" s="50">
        <f>SUM(E8:E50)</f>
        <v>0</v>
      </c>
      <c r="F51" s="50">
        <f>SUM(F8:F50)</f>
        <v>10716929.719999999</v>
      </c>
    </row>
    <row r="52" spans="1:7">
      <c r="A52" s="387"/>
      <c r="B52" s="289"/>
      <c r="C52" s="289"/>
      <c r="D52" s="289"/>
      <c r="E52" s="289"/>
      <c r="F52" s="289"/>
    </row>
    <row r="53" spans="1:7">
      <c r="A53" s="387"/>
      <c r="B53" s="388"/>
      <c r="C53" s="388"/>
      <c r="D53" s="388"/>
      <c r="E53" s="388"/>
      <c r="F53" s="388"/>
    </row>
    <row r="54" spans="1:7">
      <c r="A54" s="387"/>
      <c r="B54" s="388"/>
      <c r="C54" s="388"/>
      <c r="D54" s="388"/>
      <c r="E54" s="388"/>
      <c r="F54" s="388"/>
    </row>
    <row r="55" spans="1:7">
      <c r="A55" s="389"/>
    </row>
    <row r="56" spans="1:7" ht="16" thickBot="1">
      <c r="A56" s="390"/>
      <c r="B56" s="289"/>
      <c r="C56" s="289"/>
      <c r="D56" s="289"/>
      <c r="E56" s="289"/>
      <c r="F56" s="289"/>
    </row>
    <row r="57" spans="1:7" ht="16.5" customHeight="1" thickBot="1">
      <c r="A57" s="391" t="s">
        <v>139</v>
      </c>
      <c r="B57" s="377">
        <f>B10+B11+B13+B15+B17+B22+B29+B31+B37+B39+B40+B41+B45+B46+B47+B50</f>
        <v>12612300</v>
      </c>
      <c r="C57" s="377">
        <f>C10+C11+C13+C15+C17+C22+C29+C31+C37+C39+C40+C41+C45+C46+C47+C50</f>
        <v>2687502</v>
      </c>
      <c r="D57" s="377">
        <f>D10+D11+D13+D15+D17+D22+D29+D31+D37+D39+D40+D41+D45+D46+D47+D50</f>
        <v>113000</v>
      </c>
      <c r="E57" s="377">
        <f>E10+E11+E13+E15+E17+E22+E29+E31+E37+E39+E40+E41+E45+E46+E47+E50</f>
        <v>0</v>
      </c>
      <c r="F57" s="392">
        <f>B57-C57-D57-E57</f>
        <v>9811798</v>
      </c>
      <c r="G57" s="365"/>
    </row>
    <row r="58" spans="1:7">
      <c r="A58" s="289"/>
      <c r="B58" s="289"/>
      <c r="C58" s="289"/>
      <c r="D58" s="289"/>
      <c r="E58" s="289"/>
      <c r="F58" s="289"/>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B0966-5E1D-4355-B832-629169B852EC}">
  <dimension ref="A1:I58"/>
  <sheetViews>
    <sheetView workbookViewId="0">
      <selection activeCell="A3" sqref="A3"/>
    </sheetView>
  </sheetViews>
  <sheetFormatPr defaultColWidth="9.7265625" defaultRowHeight="15.5"/>
  <cols>
    <col min="1" max="1" width="27" style="1" customWidth="1"/>
    <col min="2" max="6" width="17.26953125" style="1" customWidth="1"/>
    <col min="7" max="7" width="3" style="1" customWidth="1"/>
    <col min="8" max="16384" width="9.7265625" style="1"/>
  </cols>
  <sheetData>
    <row r="1" spans="1:7" ht="16.5" customHeight="1">
      <c r="A1" s="22" t="s">
        <v>264</v>
      </c>
      <c r="B1" s="355"/>
    </row>
    <row r="2" spans="1:7" ht="16.5" customHeight="1">
      <c r="A2" s="22" t="s">
        <v>203</v>
      </c>
      <c r="B2" s="22"/>
    </row>
    <row r="3" spans="1:7" ht="16.5" customHeight="1">
      <c r="B3" s="22"/>
      <c r="F3" s="380"/>
    </row>
    <row r="4" spans="1:7" ht="20.25" customHeight="1">
      <c r="A4" s="381" t="s">
        <v>2</v>
      </c>
      <c r="B4" s="381"/>
      <c r="C4" s="381"/>
      <c r="D4" s="381"/>
      <c r="E4" s="381"/>
      <c r="F4" s="381"/>
    </row>
    <row r="5" spans="1:7" ht="20.25" customHeight="1">
      <c r="A5" s="382" t="s">
        <v>199</v>
      </c>
      <c r="B5" s="381"/>
      <c r="C5" s="381"/>
      <c r="D5" s="381"/>
      <c r="E5" s="381"/>
      <c r="F5" s="381"/>
    </row>
    <row r="6" spans="1:7" ht="30" customHeight="1" thickBot="1">
      <c r="A6" s="383" t="str">
        <f>Status!A6</f>
        <v>As at 24/05/2024</v>
      </c>
      <c r="B6" s="381"/>
      <c r="C6" s="381"/>
      <c r="D6" s="381"/>
      <c r="E6" s="381"/>
      <c r="F6" s="381"/>
    </row>
    <row r="7" spans="1:7" ht="35.25" customHeight="1" thickBot="1">
      <c r="A7" s="358" t="s">
        <v>60</v>
      </c>
      <c r="B7" s="359" t="s">
        <v>61</v>
      </c>
      <c r="C7" s="359" t="s">
        <v>62</v>
      </c>
      <c r="D7" s="359" t="s">
        <v>63</v>
      </c>
      <c r="E7" s="359" t="s">
        <v>64</v>
      </c>
      <c r="F7" s="384" t="s">
        <v>65</v>
      </c>
      <c r="G7" s="361"/>
    </row>
    <row r="8" spans="1:7" ht="18" customHeight="1">
      <c r="A8" s="237" t="s">
        <v>130</v>
      </c>
      <c r="B8" s="393">
        <v>2482261</v>
      </c>
      <c r="C8" s="393">
        <f>1940246+288692</f>
        <v>2228938</v>
      </c>
      <c r="D8" s="393">
        <v>184023</v>
      </c>
      <c r="E8" s="393">
        <v>0</v>
      </c>
      <c r="F8" s="394">
        <f t="shared" ref="F8:F50" si="0">B8-C8-D8-E8</f>
        <v>69300</v>
      </c>
      <c r="G8" s="365"/>
    </row>
    <row r="9" spans="1:7" ht="18" customHeight="1">
      <c r="A9" s="40" t="s">
        <v>69</v>
      </c>
      <c r="B9" s="395">
        <v>1576118</v>
      </c>
      <c r="C9" s="395">
        <f>1437101+139017</f>
        <v>1576118</v>
      </c>
      <c r="D9" s="395">
        <v>0</v>
      </c>
      <c r="E9" s="395">
        <v>0</v>
      </c>
      <c r="F9" s="240">
        <f t="shared" si="0"/>
        <v>0</v>
      </c>
      <c r="G9" s="365"/>
    </row>
    <row r="10" spans="1:7" ht="18" customHeight="1">
      <c r="A10" s="245" t="s">
        <v>70</v>
      </c>
      <c r="B10" s="395">
        <v>36849</v>
      </c>
      <c r="C10" s="395"/>
      <c r="D10" s="395">
        <v>0</v>
      </c>
      <c r="E10" s="395">
        <v>0</v>
      </c>
      <c r="F10" s="240">
        <f t="shared" si="0"/>
        <v>36849</v>
      </c>
      <c r="G10" s="365"/>
    </row>
    <row r="11" spans="1:7" ht="18" customHeight="1">
      <c r="A11" s="40" t="s">
        <v>71</v>
      </c>
      <c r="B11" s="395">
        <v>137345</v>
      </c>
      <c r="C11" s="395">
        <v>0</v>
      </c>
      <c r="D11" s="395">
        <v>0</v>
      </c>
      <c r="E11" s="395">
        <v>0</v>
      </c>
      <c r="F11" s="240">
        <f t="shared" si="0"/>
        <v>137345</v>
      </c>
      <c r="G11" s="365"/>
    </row>
    <row r="12" spans="1:7" ht="18" customHeight="1">
      <c r="A12" s="40" t="s">
        <v>72</v>
      </c>
      <c r="B12" s="395">
        <v>1847459</v>
      </c>
      <c r="C12" s="395">
        <f>1710909+136550</f>
        <v>1847459</v>
      </c>
      <c r="D12" s="395">
        <v>0</v>
      </c>
      <c r="E12" s="395">
        <v>0</v>
      </c>
      <c r="F12" s="240">
        <f t="shared" si="0"/>
        <v>0</v>
      </c>
      <c r="G12" s="365"/>
    </row>
    <row r="13" spans="1:7" ht="18" customHeight="1">
      <c r="A13" s="40" t="s">
        <v>73</v>
      </c>
      <c r="B13" s="395">
        <v>31824</v>
      </c>
      <c r="C13" s="395">
        <f>31824</f>
        <v>31824</v>
      </c>
      <c r="D13" s="395">
        <v>0</v>
      </c>
      <c r="E13" s="395">
        <v>0</v>
      </c>
      <c r="F13" s="240">
        <f t="shared" si="0"/>
        <v>0</v>
      </c>
      <c r="G13" s="365"/>
    </row>
    <row r="14" spans="1:7" ht="18" customHeight="1">
      <c r="A14" s="40" t="s">
        <v>200</v>
      </c>
      <c r="B14" s="395">
        <v>4612784</v>
      </c>
      <c r="C14" s="395">
        <f>613066+3690228-828765+30</f>
        <v>3474559</v>
      </c>
      <c r="D14" s="395">
        <f>1138255-30</f>
        <v>1138225</v>
      </c>
      <c r="E14" s="395">
        <f>3690228-3619394-70834</f>
        <v>0</v>
      </c>
      <c r="F14" s="240">
        <f t="shared" si="0"/>
        <v>0</v>
      </c>
      <c r="G14" s="365"/>
    </row>
    <row r="15" spans="1:7" ht="18" customHeight="1">
      <c r="A15" s="40" t="s">
        <v>77</v>
      </c>
      <c r="B15" s="395">
        <v>202668</v>
      </c>
      <c r="C15" s="395">
        <f>202668</f>
        <v>202668</v>
      </c>
      <c r="D15" s="395">
        <v>0</v>
      </c>
      <c r="E15" s="395">
        <v>0</v>
      </c>
      <c r="F15" s="240">
        <f t="shared" si="0"/>
        <v>0</v>
      </c>
      <c r="G15" s="365"/>
    </row>
    <row r="16" spans="1:7" ht="18" customHeight="1">
      <c r="A16" s="40" t="s">
        <v>78</v>
      </c>
      <c r="B16" s="395">
        <v>1157383</v>
      </c>
      <c r="C16" s="395">
        <f>1157383</f>
        <v>1157383</v>
      </c>
      <c r="D16" s="395">
        <v>0</v>
      </c>
      <c r="E16" s="395">
        <v>0</v>
      </c>
      <c r="F16" s="240">
        <f t="shared" si="0"/>
        <v>0</v>
      </c>
      <c r="G16" s="365"/>
    </row>
    <row r="17" spans="1:9" ht="18" customHeight="1">
      <c r="A17" s="40" t="s">
        <v>79</v>
      </c>
      <c r="B17" s="395">
        <v>25124</v>
      </c>
      <c r="C17" s="395">
        <f>12735+12389</f>
        <v>25124</v>
      </c>
      <c r="D17" s="395">
        <v>0</v>
      </c>
      <c r="E17" s="395">
        <v>0</v>
      </c>
      <c r="F17" s="240">
        <f t="shared" si="0"/>
        <v>0</v>
      </c>
      <c r="G17" s="365"/>
    </row>
    <row r="18" spans="1:9" ht="18" customHeight="1">
      <c r="A18" s="40" t="s">
        <v>80</v>
      </c>
      <c r="B18" s="395">
        <v>907817</v>
      </c>
      <c r="C18" s="395">
        <f>840494+67323</f>
        <v>907817</v>
      </c>
      <c r="D18" s="395">
        <v>0</v>
      </c>
      <c r="E18" s="395">
        <v>0</v>
      </c>
      <c r="F18" s="240">
        <f t="shared" si="0"/>
        <v>0</v>
      </c>
      <c r="G18" s="365"/>
    </row>
    <row r="19" spans="1:9" ht="18" customHeight="1">
      <c r="A19" s="40" t="s">
        <v>81</v>
      </c>
      <c r="B19" s="395">
        <v>10954107</v>
      </c>
      <c r="C19" s="395">
        <f>9922239-116111+1156086</f>
        <v>10962214</v>
      </c>
      <c r="D19" s="395">
        <f>1187874-1156086</f>
        <v>31788</v>
      </c>
      <c r="E19" s="395">
        <f>9922239-116111-9806128</f>
        <v>0</v>
      </c>
      <c r="F19" s="240">
        <f t="shared" si="0"/>
        <v>-39895</v>
      </c>
      <c r="G19" s="365"/>
    </row>
    <row r="20" spans="1:9" ht="18" customHeight="1">
      <c r="A20" s="40" t="s">
        <v>82</v>
      </c>
      <c r="B20" s="395">
        <v>16427810</v>
      </c>
      <c r="C20" s="395">
        <f>547595+3833156-3+1095187.69+1095187.31+4504898</f>
        <v>11076021</v>
      </c>
      <c r="D20" s="395">
        <f>9856687-4504898</f>
        <v>5351789</v>
      </c>
      <c r="E20" s="395">
        <f>5662119-3471744-1095187.69-1095187.31</f>
        <v>0</v>
      </c>
      <c r="F20" s="240">
        <f t="shared" si="0"/>
        <v>0</v>
      </c>
      <c r="G20" s="365"/>
    </row>
    <row r="21" spans="1:9" ht="18" customHeight="1">
      <c r="A21" s="40" t="s">
        <v>83</v>
      </c>
      <c r="B21" s="395">
        <v>587904</v>
      </c>
      <c r="C21" s="395">
        <f>206840.61+431434.68</f>
        <v>638275.29</v>
      </c>
      <c r="D21" s="395">
        <v>0</v>
      </c>
      <c r="E21" s="395">
        <v>0</v>
      </c>
      <c r="F21" s="240">
        <f t="shared" si="0"/>
        <v>-50371.290000000037</v>
      </c>
      <c r="G21" s="365"/>
    </row>
    <row r="22" spans="1:9" ht="18" customHeight="1">
      <c r="A22" s="40" t="s">
        <v>85</v>
      </c>
      <c r="B22" s="395">
        <v>200993</v>
      </c>
      <c r="C22" s="395">
        <v>200993</v>
      </c>
      <c r="D22" s="395">
        <v>0</v>
      </c>
      <c r="E22" s="395">
        <v>0</v>
      </c>
      <c r="F22" s="240">
        <f t="shared" si="0"/>
        <v>0</v>
      </c>
      <c r="G22" s="365"/>
    </row>
    <row r="23" spans="1:9" ht="18" customHeight="1">
      <c r="A23" s="40" t="s">
        <v>86</v>
      </c>
      <c r="B23" s="395">
        <v>53598</v>
      </c>
      <c r="C23" s="395">
        <f>42916+10682</f>
        <v>53598</v>
      </c>
      <c r="D23" s="395">
        <v>0</v>
      </c>
      <c r="E23" s="395">
        <v>0</v>
      </c>
      <c r="F23" s="240">
        <f t="shared" si="0"/>
        <v>0</v>
      </c>
      <c r="G23" s="365"/>
    </row>
    <row r="24" spans="1:9" ht="18" customHeight="1">
      <c r="A24" s="40" t="s">
        <v>87</v>
      </c>
      <c r="B24" s="395">
        <v>375186</v>
      </c>
      <c r="C24" s="395">
        <f>307709+67477</f>
        <v>375186</v>
      </c>
      <c r="D24" s="395">
        <v>0</v>
      </c>
      <c r="E24" s="395">
        <v>0</v>
      </c>
      <c r="F24" s="240">
        <f t="shared" si="0"/>
        <v>0</v>
      </c>
      <c r="G24" s="365"/>
    </row>
    <row r="25" spans="1:9" ht="18" customHeight="1">
      <c r="A25" s="40" t="s">
        <v>88</v>
      </c>
      <c r="B25" s="395">
        <v>577854</v>
      </c>
      <c r="C25" s="395">
        <v>0</v>
      </c>
      <c r="D25" s="395">
        <f>108130-70024</f>
        <v>38106</v>
      </c>
      <c r="E25" s="395">
        <v>0</v>
      </c>
      <c r="F25" s="240">
        <f t="shared" si="0"/>
        <v>539748</v>
      </c>
      <c r="G25" s="365"/>
    </row>
    <row r="26" spans="1:9" ht="18" customHeight="1">
      <c r="A26" s="40" t="s">
        <v>89</v>
      </c>
      <c r="B26" s="395">
        <v>9098273</v>
      </c>
      <c r="C26" s="395">
        <f>6546820+466979+134474</f>
        <v>7148273</v>
      </c>
      <c r="D26" s="395">
        <f>1950000</f>
        <v>1950000</v>
      </c>
      <c r="E26" s="395">
        <v>0</v>
      </c>
      <c r="F26" s="240">
        <f t="shared" si="0"/>
        <v>0</v>
      </c>
      <c r="G26" s="365"/>
    </row>
    <row r="27" spans="1:9" ht="18" customHeight="1">
      <c r="A27" s="40" t="s">
        <v>90</v>
      </c>
      <c r="B27" s="395">
        <v>33471998</v>
      </c>
      <c r="C27" s="395">
        <f>33471998-(294247+218090)+1038.53+68816</f>
        <v>33029515.530000001</v>
      </c>
      <c r="D27" s="395">
        <f>294247+218090-1038.53-68816</f>
        <v>442482.47</v>
      </c>
      <c r="E27" s="395">
        <v>0</v>
      </c>
      <c r="F27" s="240">
        <f t="shared" si="0"/>
        <v>-1.1641532182693481E-9</v>
      </c>
      <c r="G27" s="365"/>
    </row>
    <row r="28" spans="1:9" customFormat="1">
      <c r="A28" s="40" t="s">
        <v>91</v>
      </c>
      <c r="B28" s="396">
        <v>0</v>
      </c>
      <c r="C28" s="395">
        <v>0</v>
      </c>
      <c r="D28" s="159"/>
      <c r="E28" s="159"/>
      <c r="F28" s="240">
        <f t="shared" si="0"/>
        <v>0</v>
      </c>
      <c r="H28" s="112"/>
      <c r="I28" s="112"/>
    </row>
    <row r="29" spans="1:9" ht="18" customHeight="1">
      <c r="A29" s="40" t="s">
        <v>93</v>
      </c>
      <c r="B29" s="395">
        <v>40199</v>
      </c>
      <c r="C29" s="395">
        <f>5996+34203</f>
        <v>40199</v>
      </c>
      <c r="D29" s="395">
        <v>0</v>
      </c>
      <c r="E29" s="395">
        <v>0</v>
      </c>
      <c r="F29" s="240">
        <f t="shared" si="0"/>
        <v>0</v>
      </c>
      <c r="G29" s="365"/>
    </row>
    <row r="30" spans="1:9" ht="18" customHeight="1">
      <c r="A30" s="40" t="s">
        <v>94</v>
      </c>
      <c r="B30" s="395">
        <v>10050</v>
      </c>
      <c r="C30" s="395">
        <f>10050</f>
        <v>10050</v>
      </c>
      <c r="D30" s="395">
        <v>0</v>
      </c>
      <c r="E30" s="395">
        <v>0</v>
      </c>
      <c r="F30" s="240">
        <f t="shared" si="0"/>
        <v>0</v>
      </c>
      <c r="G30" s="365"/>
    </row>
    <row r="31" spans="1:9" ht="18" customHeight="1">
      <c r="A31" s="40" t="s">
        <v>95</v>
      </c>
      <c r="B31" s="395">
        <v>36849</v>
      </c>
      <c r="C31" s="395"/>
      <c r="D31" s="395">
        <v>0</v>
      </c>
      <c r="E31" s="395">
        <v>0</v>
      </c>
      <c r="F31" s="240">
        <f t="shared" si="0"/>
        <v>36849</v>
      </c>
      <c r="G31" s="365"/>
    </row>
    <row r="32" spans="1:9" ht="18" customHeight="1">
      <c r="A32" s="40" t="s">
        <v>96</v>
      </c>
      <c r="B32" s="395">
        <v>113896</v>
      </c>
      <c r="C32" s="395">
        <f>100531+13365</f>
        <v>113896</v>
      </c>
      <c r="D32" s="395">
        <v>0</v>
      </c>
      <c r="E32" s="395">
        <v>0</v>
      </c>
      <c r="F32" s="240">
        <f t="shared" si="0"/>
        <v>0</v>
      </c>
      <c r="G32" s="365"/>
    </row>
    <row r="33" spans="1:7" ht="18" customHeight="1">
      <c r="A33" s="40" t="s">
        <v>98</v>
      </c>
      <c r="B33" s="395">
        <v>6700</v>
      </c>
      <c r="C33" s="395">
        <v>6680</v>
      </c>
      <c r="D33" s="395">
        <v>0</v>
      </c>
      <c r="E33" s="395">
        <v>0</v>
      </c>
      <c r="F33" s="240">
        <f t="shared" si="0"/>
        <v>20</v>
      </c>
      <c r="G33" s="365"/>
    </row>
    <row r="34" spans="1:7" ht="18" customHeight="1">
      <c r="A34" s="40" t="s">
        <v>99</v>
      </c>
      <c r="B34" s="395">
        <v>2731827</v>
      </c>
      <c r="C34" s="395">
        <f>2731827</f>
        <v>2731827</v>
      </c>
      <c r="D34" s="395">
        <v>0</v>
      </c>
      <c r="E34" s="395">
        <f>0</f>
        <v>0</v>
      </c>
      <c r="F34" s="240">
        <f t="shared" si="0"/>
        <v>0</v>
      </c>
      <c r="G34" s="365"/>
    </row>
    <row r="35" spans="1:7" ht="18" customHeight="1">
      <c r="A35" s="40" t="s">
        <v>100</v>
      </c>
      <c r="B35" s="395">
        <v>370162</v>
      </c>
      <c r="C35" s="395">
        <f>370162</f>
        <v>370162</v>
      </c>
      <c r="D35" s="395">
        <v>0</v>
      </c>
      <c r="E35" s="395">
        <v>0</v>
      </c>
      <c r="F35" s="240">
        <f t="shared" si="0"/>
        <v>0</v>
      </c>
      <c r="G35" s="365"/>
    </row>
    <row r="36" spans="1:7" ht="18" customHeight="1">
      <c r="A36" s="40" t="s">
        <v>101</v>
      </c>
      <c r="B36" s="395">
        <v>1021713</v>
      </c>
      <c r="C36" s="395">
        <f>1130258-108545</f>
        <v>1021713</v>
      </c>
      <c r="D36" s="395">
        <v>0</v>
      </c>
      <c r="E36" s="395">
        <v>0</v>
      </c>
      <c r="F36" s="240">
        <f t="shared" si="0"/>
        <v>0</v>
      </c>
      <c r="G36" s="365"/>
    </row>
    <row r="37" spans="1:7" ht="18" customHeight="1">
      <c r="A37" s="40" t="s">
        <v>103</v>
      </c>
      <c r="B37" s="395">
        <v>346712</v>
      </c>
      <c r="C37" s="395">
        <v>346712</v>
      </c>
      <c r="D37" s="395">
        <v>0</v>
      </c>
      <c r="E37" s="395">
        <v>0</v>
      </c>
      <c r="F37" s="240">
        <f t="shared" si="0"/>
        <v>0</v>
      </c>
      <c r="G37" s="365"/>
    </row>
    <row r="38" spans="1:7" ht="18" customHeight="1">
      <c r="A38" s="40" t="s">
        <v>104</v>
      </c>
      <c r="B38" s="395">
        <v>698450</v>
      </c>
      <c r="C38" s="395">
        <f>295744.68+63313.27+339392.05</f>
        <v>698450</v>
      </c>
      <c r="D38" s="395">
        <v>0</v>
      </c>
      <c r="E38" s="395">
        <v>0</v>
      </c>
      <c r="F38" s="240">
        <f t="shared" si="0"/>
        <v>0</v>
      </c>
      <c r="G38" s="365"/>
    </row>
    <row r="39" spans="1:7" ht="18" customHeight="1">
      <c r="A39" s="40" t="s">
        <v>106</v>
      </c>
      <c r="B39" s="395">
        <v>2490635</v>
      </c>
      <c r="C39" s="395">
        <v>0</v>
      </c>
      <c r="D39" s="395">
        <v>0</v>
      </c>
      <c r="E39" s="395">
        <v>0</v>
      </c>
      <c r="F39" s="240">
        <f t="shared" si="0"/>
        <v>2490635</v>
      </c>
      <c r="G39" s="365"/>
    </row>
    <row r="40" spans="1:7" ht="18" customHeight="1">
      <c r="A40" s="30" t="s">
        <v>109</v>
      </c>
      <c r="B40" s="395">
        <v>65323</v>
      </c>
      <c r="C40" s="395">
        <v>65323</v>
      </c>
      <c r="D40" s="395">
        <v>0</v>
      </c>
      <c r="E40" s="395">
        <v>0</v>
      </c>
      <c r="F40" s="240">
        <f t="shared" si="0"/>
        <v>0</v>
      </c>
      <c r="G40" s="365"/>
    </row>
    <row r="41" spans="1:7" ht="18" customHeight="1">
      <c r="A41" s="40" t="s">
        <v>110</v>
      </c>
      <c r="B41" s="395">
        <v>0</v>
      </c>
      <c r="C41" s="395">
        <v>0</v>
      </c>
      <c r="D41" s="395">
        <v>0</v>
      </c>
      <c r="E41" s="395">
        <v>0</v>
      </c>
      <c r="F41" s="240">
        <f t="shared" si="0"/>
        <v>0</v>
      </c>
      <c r="G41" s="365"/>
    </row>
    <row r="42" spans="1:7" ht="18" customHeight="1">
      <c r="A42" s="40" t="s">
        <v>112</v>
      </c>
      <c r="B42" s="395">
        <v>4336419</v>
      </c>
      <c r="C42" s="395">
        <f>4336419</f>
        <v>4336419</v>
      </c>
      <c r="D42" s="395">
        <v>0</v>
      </c>
      <c r="E42" s="395">
        <v>0</v>
      </c>
      <c r="F42" s="240">
        <f t="shared" si="0"/>
        <v>0</v>
      </c>
      <c r="G42" s="365"/>
    </row>
    <row r="43" spans="1:7" ht="18" customHeight="1">
      <c r="A43" s="40" t="s">
        <v>136</v>
      </c>
      <c r="B43" s="395">
        <v>1815635</v>
      </c>
      <c r="C43" s="397">
        <f>1165014+287559-43604</f>
        <v>1408969</v>
      </c>
      <c r="D43" s="397">
        <f>16950+163716+226000</f>
        <v>406666</v>
      </c>
      <c r="E43" s="395">
        <v>0</v>
      </c>
      <c r="F43" s="240">
        <f t="shared" si="0"/>
        <v>0</v>
      </c>
      <c r="G43" s="365"/>
    </row>
    <row r="44" spans="1:7" ht="18" customHeight="1">
      <c r="A44" s="40" t="s">
        <v>114</v>
      </c>
      <c r="B44" s="395">
        <v>2035052</v>
      </c>
      <c r="C44" s="395">
        <f>((125285)+(15034))+((1890699)+(4034))</f>
        <v>2035052</v>
      </c>
      <c r="D44" s="395">
        <v>0</v>
      </c>
      <c r="E44" s="395">
        <v>0</v>
      </c>
      <c r="F44" s="240">
        <f t="shared" si="0"/>
        <v>0</v>
      </c>
      <c r="G44" s="365"/>
    </row>
    <row r="45" spans="1:7" ht="18" customHeight="1">
      <c r="A45" s="40" t="s">
        <v>115</v>
      </c>
      <c r="B45" s="395">
        <v>8375</v>
      </c>
      <c r="C45" s="395">
        <v>0</v>
      </c>
      <c r="D45" s="395">
        <v>0</v>
      </c>
      <c r="E45" s="395">
        <v>0</v>
      </c>
      <c r="F45" s="240">
        <f t="shared" si="0"/>
        <v>8375</v>
      </c>
      <c r="G45" s="365"/>
    </row>
    <row r="46" spans="1:7" ht="18" customHeight="1">
      <c r="A46" s="40" t="s">
        <v>187</v>
      </c>
      <c r="B46" s="395">
        <v>13399</v>
      </c>
      <c r="C46" s="395">
        <v>0</v>
      </c>
      <c r="D46" s="395">
        <v>0</v>
      </c>
      <c r="E46" s="395">
        <v>0</v>
      </c>
      <c r="F46" s="240">
        <f t="shared" si="0"/>
        <v>13399</v>
      </c>
      <c r="G46" s="365"/>
    </row>
    <row r="47" spans="1:7" ht="18" customHeight="1">
      <c r="A47" s="40" t="s">
        <v>117</v>
      </c>
      <c r="B47" s="395">
        <v>505832</v>
      </c>
      <c r="C47" s="395">
        <v>0</v>
      </c>
      <c r="D47" s="395">
        <v>0</v>
      </c>
      <c r="E47" s="395">
        <v>0</v>
      </c>
      <c r="F47" s="240">
        <f t="shared" si="0"/>
        <v>505832</v>
      </c>
      <c r="G47" s="365"/>
    </row>
    <row r="48" spans="1:7" ht="18" customHeight="1">
      <c r="A48" s="40" t="s">
        <v>119</v>
      </c>
      <c r="B48" s="395">
        <v>8525444</v>
      </c>
      <c r="C48" s="395">
        <f>7420453+1104991</f>
        <v>8525444</v>
      </c>
      <c r="D48" s="395">
        <v>0</v>
      </c>
      <c r="E48" s="395">
        <f>8390119+135325-7420453-1104991</f>
        <v>0</v>
      </c>
      <c r="F48" s="240">
        <f t="shared" si="0"/>
        <v>0</v>
      </c>
      <c r="G48" s="365"/>
    </row>
    <row r="49" spans="1:7" ht="18" customHeight="1">
      <c r="A49" s="40" t="s">
        <v>120</v>
      </c>
      <c r="B49" s="395">
        <v>36666667</v>
      </c>
      <c r="C49" s="395">
        <f>28666667+5000000-2000000+3000000+2000000</f>
        <v>36666667</v>
      </c>
      <c r="D49" s="395">
        <v>0</v>
      </c>
      <c r="E49" s="395">
        <f>8000000-3000000-3000000-2000000</f>
        <v>0</v>
      </c>
      <c r="F49" s="240">
        <f t="shared" si="0"/>
        <v>0</v>
      </c>
      <c r="G49" s="365"/>
    </row>
    <row r="50" spans="1:7" ht="18" customHeight="1" thickBot="1">
      <c r="A50" s="251" t="s">
        <v>121</v>
      </c>
      <c r="B50" s="395">
        <v>61973</v>
      </c>
      <c r="C50" s="395">
        <v>0</v>
      </c>
      <c r="D50" s="395">
        <v>0</v>
      </c>
      <c r="E50" s="395">
        <v>0</v>
      </c>
      <c r="F50" s="398">
        <f t="shared" si="0"/>
        <v>61973</v>
      </c>
      <c r="G50" s="365"/>
    </row>
    <row r="51" spans="1:7" ht="20.25" customHeight="1" thickBot="1">
      <c r="A51" s="278" t="s">
        <v>124</v>
      </c>
      <c r="B51" s="50">
        <f>SUM(B8:B50)</f>
        <v>146666667</v>
      </c>
      <c r="C51" s="50">
        <f>SUM(C8:C50)</f>
        <v>133313528.81999999</v>
      </c>
      <c r="D51" s="50">
        <f>SUM(D8:D50)</f>
        <v>9543079.4700000007</v>
      </c>
      <c r="E51" s="50">
        <f>SUM(E8:E50)</f>
        <v>0</v>
      </c>
      <c r="F51" s="399">
        <f>SUM(F8:F50)</f>
        <v>3810058.709999999</v>
      </c>
      <c r="G51" s="365"/>
    </row>
    <row r="52" spans="1:7">
      <c r="A52" s="375"/>
      <c r="B52" s="289"/>
      <c r="C52" s="289"/>
      <c r="D52" s="289"/>
      <c r="E52" s="289"/>
      <c r="F52" s="289"/>
      <c r="G52" s="365"/>
    </row>
    <row r="53" spans="1:7">
      <c r="A53" s="375"/>
      <c r="B53" s="289"/>
      <c r="C53" s="289"/>
      <c r="D53" s="289"/>
      <c r="E53" s="289"/>
      <c r="F53" s="289"/>
      <c r="G53" s="365"/>
    </row>
    <row r="54" spans="1:7" ht="20.25" customHeight="1">
      <c r="A54" s="375"/>
      <c r="B54" s="289"/>
      <c r="C54" s="289"/>
      <c r="D54" s="289"/>
      <c r="E54" s="289"/>
      <c r="F54" s="289"/>
      <c r="G54" s="365"/>
    </row>
    <row r="56" spans="1:7" ht="16" thickBot="1">
      <c r="A56" s="289"/>
      <c r="B56" s="289"/>
      <c r="C56" s="289"/>
      <c r="D56" s="289"/>
      <c r="E56" s="289"/>
      <c r="F56" s="289"/>
      <c r="G56" s="365"/>
    </row>
    <row r="57" spans="1:7" ht="16.5" customHeight="1" thickBot="1">
      <c r="A57" s="376" t="s">
        <v>139</v>
      </c>
      <c r="B57" s="377">
        <f>B10+B11+B13+B15+B17+B22+B29+B31+B37+B39+B40+B41+B45+B46+B47+B50</f>
        <v>4204100</v>
      </c>
      <c r="C57" s="377">
        <f>C10+C11+C13+C15+C17+C22+C29+C31+C37+C39+C40+C41+C45+C46+C47+C50</f>
        <v>912843</v>
      </c>
      <c r="D57" s="377">
        <f>D10+D11+D13+D15+D17+D22+D29+D31+D37+D39+D40+D41+D45+D46+D47+D50</f>
        <v>0</v>
      </c>
      <c r="E57" s="377">
        <f>E10+E11+E13+E15+E17+E22+E29+E31+E37+E39+E40+E41+E45+E46+E47+E50</f>
        <v>0</v>
      </c>
      <c r="F57" s="392">
        <f>B57-C57-D57-E57</f>
        <v>3291257</v>
      </c>
      <c r="G57" s="365"/>
    </row>
    <row r="58" spans="1:7">
      <c r="G58" s="365"/>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E9486-8CFA-4274-A9E9-A87140374CA6}">
  <dimension ref="A1:I58"/>
  <sheetViews>
    <sheetView topLeftCell="A13" workbookViewId="0">
      <selection activeCell="F3" sqref="F3"/>
    </sheetView>
  </sheetViews>
  <sheetFormatPr defaultColWidth="9.7265625" defaultRowHeight="15.5"/>
  <cols>
    <col min="1" max="1" width="27" style="1" customWidth="1"/>
    <col min="2" max="6" width="17.26953125" style="1" customWidth="1"/>
    <col min="7" max="7" width="3" style="1" customWidth="1"/>
    <col min="8" max="16384" width="9.7265625" style="1"/>
  </cols>
  <sheetData>
    <row r="1" spans="1:7" ht="16.5" customHeight="1">
      <c r="B1" s="355"/>
      <c r="F1" s="380" t="str">
        <f>Status!C1</f>
        <v>UNEP/OzL.Pro/ExCom/94/3</v>
      </c>
    </row>
    <row r="2" spans="1:7" ht="16.5" customHeight="1">
      <c r="B2" s="22"/>
      <c r="F2" s="380" t="s">
        <v>205</v>
      </c>
    </row>
    <row r="3" spans="1:7" ht="16.5" customHeight="1">
      <c r="B3" s="22"/>
      <c r="F3" s="380"/>
    </row>
    <row r="4" spans="1:7" ht="20.25" customHeight="1">
      <c r="A4" s="381" t="s">
        <v>2</v>
      </c>
      <c r="B4" s="381"/>
      <c r="C4" s="381"/>
      <c r="D4" s="381"/>
      <c r="E4" s="381"/>
      <c r="F4" s="381"/>
    </row>
    <row r="5" spans="1:7" ht="20.25" customHeight="1">
      <c r="A5" s="382" t="s">
        <v>202</v>
      </c>
      <c r="B5" s="381"/>
      <c r="C5" s="381"/>
      <c r="D5" s="381"/>
      <c r="E5" s="381"/>
      <c r="F5" s="381"/>
    </row>
    <row r="6" spans="1:7" ht="30" customHeight="1" thickBot="1">
      <c r="A6" s="383" t="str">
        <f>Status!A6</f>
        <v>As at 24/05/2024</v>
      </c>
      <c r="B6" s="381"/>
      <c r="C6" s="381"/>
      <c r="D6" s="381"/>
      <c r="E6" s="381"/>
      <c r="F6" s="381"/>
    </row>
    <row r="7" spans="1:7" ht="35.25" customHeight="1" thickBot="1">
      <c r="A7" s="358" t="s">
        <v>60</v>
      </c>
      <c r="B7" s="359" t="s">
        <v>61</v>
      </c>
      <c r="C7" s="359" t="s">
        <v>62</v>
      </c>
      <c r="D7" s="359" t="s">
        <v>63</v>
      </c>
      <c r="E7" s="359" t="s">
        <v>64</v>
      </c>
      <c r="F7" s="384" t="s">
        <v>65</v>
      </c>
      <c r="G7" s="361"/>
    </row>
    <row r="8" spans="1:7" ht="18" customHeight="1">
      <c r="A8" s="237" t="s">
        <v>130</v>
      </c>
      <c r="B8" s="393">
        <v>2482261</v>
      </c>
      <c r="C8" s="400">
        <f>(460687.78+7589+1198533.17+299694.38)+(26626.86+525.74+291846.06+68900.75)</f>
        <v>2354403.7400000002</v>
      </c>
      <c r="D8" s="393">
        <f>127857</f>
        <v>127857</v>
      </c>
      <c r="E8" s="393">
        <v>0</v>
      </c>
      <c r="F8" s="394">
        <f t="shared" ref="F8:F50" si="0">B8-C8-D8-E8</f>
        <v>0.25999999977648258</v>
      </c>
      <c r="G8" s="365"/>
    </row>
    <row r="9" spans="1:7" ht="18" customHeight="1">
      <c r="A9" s="40" t="s">
        <v>69</v>
      </c>
      <c r="B9" s="395">
        <v>1576118</v>
      </c>
      <c r="C9" s="395">
        <f>1344465+231653</f>
        <v>1576118</v>
      </c>
      <c r="D9" s="395">
        <v>0</v>
      </c>
      <c r="E9" s="395">
        <v>0</v>
      </c>
      <c r="F9" s="240">
        <f t="shared" si="0"/>
        <v>0</v>
      </c>
      <c r="G9" s="365"/>
    </row>
    <row r="10" spans="1:7" ht="18" customHeight="1">
      <c r="A10" s="245" t="s">
        <v>70</v>
      </c>
      <c r="B10" s="395">
        <v>36849</v>
      </c>
      <c r="C10" s="395"/>
      <c r="D10" s="395">
        <v>0</v>
      </c>
      <c r="E10" s="395">
        <v>0</v>
      </c>
      <c r="F10" s="240">
        <f t="shared" si="0"/>
        <v>36849</v>
      </c>
      <c r="G10" s="365"/>
    </row>
    <row r="11" spans="1:7" ht="18" customHeight="1">
      <c r="A11" s="40" t="s">
        <v>71</v>
      </c>
      <c r="B11" s="395">
        <v>137345</v>
      </c>
      <c r="C11" s="395">
        <v>0</v>
      </c>
      <c r="D11" s="395">
        <v>0</v>
      </c>
      <c r="E11" s="395">
        <v>0</v>
      </c>
      <c r="F11" s="240">
        <f t="shared" si="0"/>
        <v>137345</v>
      </c>
      <c r="G11" s="365"/>
    </row>
    <row r="12" spans="1:7" ht="18" customHeight="1">
      <c r="A12" s="40" t="s">
        <v>72</v>
      </c>
      <c r="B12" s="395">
        <v>1847459</v>
      </c>
      <c r="C12" s="395">
        <f>1527915+319544</f>
        <v>1847459</v>
      </c>
      <c r="D12" s="395">
        <v>0</v>
      </c>
      <c r="E12" s="395">
        <v>0</v>
      </c>
      <c r="F12" s="240">
        <f t="shared" si="0"/>
        <v>0</v>
      </c>
      <c r="G12" s="365"/>
    </row>
    <row r="13" spans="1:7" ht="18" customHeight="1">
      <c r="A13" s="40" t="s">
        <v>73</v>
      </c>
      <c r="B13" s="395">
        <v>31824</v>
      </c>
      <c r="C13" s="395">
        <f>31824</f>
        <v>31824</v>
      </c>
      <c r="D13" s="395">
        <v>0</v>
      </c>
      <c r="E13" s="395">
        <v>0</v>
      </c>
      <c r="F13" s="240">
        <f t="shared" si="0"/>
        <v>0</v>
      </c>
      <c r="G13" s="365"/>
    </row>
    <row r="14" spans="1:7" ht="18" customHeight="1">
      <c r="A14" s="40" t="s">
        <v>131</v>
      </c>
      <c r="B14" s="395">
        <v>4612784</v>
      </c>
      <c r="C14" s="395">
        <v>4218583</v>
      </c>
      <c r="D14" s="395">
        <v>394201</v>
      </c>
      <c r="E14" s="395">
        <v>0</v>
      </c>
      <c r="F14" s="240">
        <f t="shared" si="0"/>
        <v>0</v>
      </c>
      <c r="G14" s="365"/>
    </row>
    <row r="15" spans="1:7" ht="18" customHeight="1">
      <c r="A15" s="40" t="s">
        <v>77</v>
      </c>
      <c r="B15" s="395">
        <v>202668</v>
      </c>
      <c r="C15" s="395">
        <f>177050+25618</f>
        <v>202668</v>
      </c>
      <c r="D15" s="395">
        <v>0</v>
      </c>
      <c r="E15" s="395">
        <v>0</v>
      </c>
      <c r="F15" s="240">
        <f t="shared" si="0"/>
        <v>0</v>
      </c>
      <c r="G15" s="365"/>
    </row>
    <row r="16" spans="1:7" ht="18" customHeight="1">
      <c r="A16" s="40" t="s">
        <v>78</v>
      </c>
      <c r="B16" s="395">
        <v>1157383</v>
      </c>
      <c r="C16" s="395">
        <f>926551+230832</f>
        <v>1157383</v>
      </c>
      <c r="D16" s="395">
        <v>0</v>
      </c>
      <c r="E16" s="395">
        <v>0</v>
      </c>
      <c r="F16" s="240">
        <f t="shared" si="0"/>
        <v>0</v>
      </c>
      <c r="G16" s="365"/>
    </row>
    <row r="17" spans="1:9" ht="18" customHeight="1">
      <c r="A17" s="40" t="s">
        <v>79</v>
      </c>
      <c r="B17" s="395">
        <v>25124</v>
      </c>
      <c r="C17" s="395">
        <f>25124</f>
        <v>25124</v>
      </c>
      <c r="D17" s="395">
        <v>0</v>
      </c>
      <c r="E17" s="395">
        <v>0</v>
      </c>
      <c r="F17" s="240">
        <f t="shared" si="0"/>
        <v>0</v>
      </c>
      <c r="G17" s="365"/>
    </row>
    <row r="18" spans="1:9" ht="18" customHeight="1">
      <c r="A18" s="40" t="s">
        <v>80</v>
      </c>
      <c r="B18" s="395">
        <v>907817</v>
      </c>
      <c r="C18" s="395">
        <f>766321+141496</f>
        <v>907817</v>
      </c>
      <c r="D18" s="395">
        <v>0</v>
      </c>
      <c r="E18" s="395">
        <v>0</v>
      </c>
      <c r="F18" s="240">
        <f t="shared" si="0"/>
        <v>0</v>
      </c>
      <c r="G18" s="365"/>
    </row>
    <row r="19" spans="1:9" ht="18" customHeight="1">
      <c r="A19" s="40" t="s">
        <v>81</v>
      </c>
      <c r="B19" s="395">
        <v>10954107</v>
      </c>
      <c r="C19" s="395">
        <f>10392435+65076+12703</f>
        <v>10470214</v>
      </c>
      <c r="D19" s="395">
        <f>561672-65076-12703</f>
        <v>483893</v>
      </c>
      <c r="E19" s="395">
        <f>10392435-10392435</f>
        <v>0</v>
      </c>
      <c r="F19" s="240">
        <f t="shared" si="0"/>
        <v>0</v>
      </c>
      <c r="G19" s="365"/>
    </row>
    <row r="20" spans="1:9" ht="18" customHeight="1">
      <c r="A20" s="40" t="s">
        <v>82</v>
      </c>
      <c r="B20" s="395">
        <v>16427810</v>
      </c>
      <c r="C20" s="395">
        <f>16427810-2695672</f>
        <v>13732138</v>
      </c>
      <c r="D20" s="395">
        <v>2695672</v>
      </c>
      <c r="E20" s="395">
        <f>16427810-3821310-6645064-7127474+1166038</f>
        <v>0</v>
      </c>
      <c r="F20" s="240">
        <f>B20-C20-D20-E20</f>
        <v>0</v>
      </c>
      <c r="G20" s="365"/>
    </row>
    <row r="21" spans="1:9" ht="18" customHeight="1">
      <c r="A21" s="40" t="s">
        <v>83</v>
      </c>
      <c r="B21" s="395">
        <v>587904</v>
      </c>
      <c r="C21" s="395">
        <f>528756+19458+39690</f>
        <v>587904</v>
      </c>
      <c r="D21" s="395">
        <v>0</v>
      </c>
      <c r="E21" s="395">
        <v>0</v>
      </c>
      <c r="F21" s="240">
        <f t="shared" si="0"/>
        <v>0</v>
      </c>
      <c r="G21" s="365"/>
    </row>
    <row r="22" spans="1:9" ht="18" customHeight="1">
      <c r="A22" s="40" t="s">
        <v>85</v>
      </c>
      <c r="B22" s="395">
        <v>200993</v>
      </c>
      <c r="C22" s="395">
        <v>200993</v>
      </c>
      <c r="D22" s="395">
        <v>0</v>
      </c>
      <c r="E22" s="395">
        <v>0</v>
      </c>
      <c r="F22" s="240">
        <f t="shared" si="0"/>
        <v>0</v>
      </c>
      <c r="G22" s="365"/>
    </row>
    <row r="23" spans="1:9" ht="18" customHeight="1">
      <c r="A23" s="40" t="s">
        <v>86</v>
      </c>
      <c r="B23" s="395">
        <v>53598</v>
      </c>
      <c r="C23" s="395">
        <f>33594+20004</f>
        <v>53598</v>
      </c>
      <c r="D23" s="395">
        <v>0</v>
      </c>
      <c r="E23" s="395">
        <v>0</v>
      </c>
      <c r="F23" s="240">
        <f t="shared" si="0"/>
        <v>0</v>
      </c>
      <c r="G23" s="365"/>
    </row>
    <row r="24" spans="1:9" ht="18" customHeight="1">
      <c r="A24" s="40" t="s">
        <v>87</v>
      </c>
      <c r="B24" s="395">
        <v>375186</v>
      </c>
      <c r="C24" s="395">
        <f>307204+67982</f>
        <v>375186</v>
      </c>
      <c r="D24" s="395">
        <v>0</v>
      </c>
      <c r="E24" s="395">
        <v>0</v>
      </c>
      <c r="F24" s="240">
        <f t="shared" si="0"/>
        <v>0</v>
      </c>
      <c r="G24" s="365"/>
    </row>
    <row r="25" spans="1:9" ht="18" customHeight="1">
      <c r="A25" s="40" t="s">
        <v>88</v>
      </c>
      <c r="B25" s="395">
        <v>577854</v>
      </c>
      <c r="C25" s="395">
        <f>100000</f>
        <v>100000</v>
      </c>
      <c r="D25" s="395">
        <v>0</v>
      </c>
      <c r="E25" s="395">
        <v>0</v>
      </c>
      <c r="F25" s="240">
        <f t="shared" si="0"/>
        <v>477854</v>
      </c>
      <c r="G25" s="365"/>
    </row>
    <row r="26" spans="1:9" ht="18" customHeight="1">
      <c r="A26" s="40" t="s">
        <v>89</v>
      </c>
      <c r="B26" s="395">
        <v>9098273</v>
      </c>
      <c r="C26" s="395">
        <f>(5874936+1403682)+(247189+17632)+21193.92+2604.3+78451</f>
        <v>7645688.2199999997</v>
      </c>
      <c r="D26" s="395">
        <f>1414794+140040-21193.92-2604.3-78451</f>
        <v>1452584.78</v>
      </c>
      <c r="E26" s="395">
        <v>0</v>
      </c>
      <c r="F26" s="240">
        <f t="shared" si="0"/>
        <v>2.3283064365386963E-10</v>
      </c>
      <c r="G26" s="365"/>
    </row>
    <row r="27" spans="1:9" ht="18" customHeight="1">
      <c r="A27" s="40" t="s">
        <v>90</v>
      </c>
      <c r="B27" s="395">
        <v>33471998</v>
      </c>
      <c r="C27" s="395">
        <f>33304193-84750+19542</f>
        <v>33238985</v>
      </c>
      <c r="D27" s="395">
        <f>148500+19305+(75000*1.13)-19542</f>
        <v>233013</v>
      </c>
      <c r="E27" s="395">
        <v>0</v>
      </c>
      <c r="F27" s="240">
        <f t="shared" si="0"/>
        <v>0</v>
      </c>
      <c r="G27" s="365"/>
    </row>
    <row r="28" spans="1:9" customFormat="1">
      <c r="A28" s="74" t="s">
        <v>91</v>
      </c>
      <c r="B28" s="179"/>
      <c r="C28" s="105">
        <v>0</v>
      </c>
      <c r="D28" s="159"/>
      <c r="E28" s="159"/>
      <c r="F28" s="240">
        <f t="shared" si="0"/>
        <v>0</v>
      </c>
      <c r="H28" s="112"/>
      <c r="I28" s="112"/>
    </row>
    <row r="29" spans="1:9" ht="18" customHeight="1">
      <c r="A29" s="40" t="s">
        <v>93</v>
      </c>
      <c r="B29" s="395">
        <v>40199</v>
      </c>
      <c r="C29" s="395">
        <f>6495+33704</f>
        <v>40199</v>
      </c>
      <c r="D29" s="395">
        <v>0</v>
      </c>
      <c r="E29" s="395">
        <v>0</v>
      </c>
      <c r="F29" s="240">
        <f t="shared" si="0"/>
        <v>0</v>
      </c>
      <c r="G29" s="365"/>
    </row>
    <row r="30" spans="1:9" ht="18" customHeight="1">
      <c r="A30" s="40" t="s">
        <v>94</v>
      </c>
      <c r="B30" s="395">
        <v>10050</v>
      </c>
      <c r="C30" s="395">
        <f>10050</f>
        <v>10050</v>
      </c>
      <c r="D30" s="395">
        <v>0</v>
      </c>
      <c r="E30" s="395">
        <v>0</v>
      </c>
      <c r="F30" s="240">
        <f t="shared" si="0"/>
        <v>0</v>
      </c>
      <c r="G30" s="365"/>
    </row>
    <row r="31" spans="1:9" ht="18" customHeight="1">
      <c r="A31" s="40" t="s">
        <v>95</v>
      </c>
      <c r="B31" s="395">
        <v>36849</v>
      </c>
      <c r="C31" s="395"/>
      <c r="D31" s="395">
        <v>0</v>
      </c>
      <c r="E31" s="395">
        <v>0</v>
      </c>
      <c r="F31" s="240">
        <f t="shared" si="0"/>
        <v>36849</v>
      </c>
      <c r="G31" s="365"/>
    </row>
    <row r="32" spans="1:9" ht="18" customHeight="1">
      <c r="A32" s="40" t="s">
        <v>96</v>
      </c>
      <c r="B32" s="395">
        <v>113896</v>
      </c>
      <c r="C32" s="395">
        <f>92844+21052</f>
        <v>113896</v>
      </c>
      <c r="D32" s="395">
        <v>0</v>
      </c>
      <c r="E32" s="395">
        <v>0</v>
      </c>
      <c r="F32" s="240">
        <f t="shared" si="0"/>
        <v>0</v>
      </c>
      <c r="G32" s="365"/>
    </row>
    <row r="33" spans="1:7" ht="18" customHeight="1">
      <c r="A33" s="40" t="s">
        <v>98</v>
      </c>
      <c r="B33" s="395">
        <v>6700</v>
      </c>
      <c r="C33" s="395">
        <f>6700</f>
        <v>6700</v>
      </c>
      <c r="D33" s="395">
        <v>0</v>
      </c>
      <c r="E33" s="395">
        <v>0</v>
      </c>
      <c r="F33" s="240">
        <f t="shared" si="0"/>
        <v>0</v>
      </c>
      <c r="G33" s="365"/>
    </row>
    <row r="34" spans="1:7" ht="18" customHeight="1">
      <c r="A34" s="40" t="s">
        <v>99</v>
      </c>
      <c r="B34" s="395">
        <v>2731827</v>
      </c>
      <c r="C34" s="395">
        <f>2731827</f>
        <v>2731827</v>
      </c>
      <c r="D34" s="395">
        <v>0</v>
      </c>
      <c r="E34" s="395">
        <v>0</v>
      </c>
      <c r="F34" s="240">
        <f t="shared" si="0"/>
        <v>0</v>
      </c>
      <c r="G34" s="365"/>
    </row>
    <row r="35" spans="1:7" ht="18" customHeight="1">
      <c r="A35" s="40" t="s">
        <v>100</v>
      </c>
      <c r="B35" s="395">
        <v>370162</v>
      </c>
      <c r="C35" s="395">
        <f>(57219+289678)+(8288+14977)</f>
        <v>370162</v>
      </c>
      <c r="D35" s="395">
        <v>0</v>
      </c>
      <c r="E35" s="395">
        <v>0</v>
      </c>
      <c r="F35" s="240">
        <f t="shared" si="0"/>
        <v>0</v>
      </c>
      <c r="G35" s="365"/>
    </row>
    <row r="36" spans="1:7" ht="18" customHeight="1">
      <c r="A36" s="40" t="s">
        <v>101</v>
      </c>
      <c r="B36" s="395">
        <v>1021713</v>
      </c>
      <c r="C36" s="395">
        <f>878286+143427</f>
        <v>1021713</v>
      </c>
      <c r="D36" s="395">
        <v>0</v>
      </c>
      <c r="E36" s="395">
        <v>0</v>
      </c>
      <c r="F36" s="240">
        <f t="shared" si="0"/>
        <v>0</v>
      </c>
      <c r="G36" s="365"/>
    </row>
    <row r="37" spans="1:7" ht="18" customHeight="1">
      <c r="A37" s="40" t="s">
        <v>103</v>
      </c>
      <c r="B37" s="395">
        <v>346712</v>
      </c>
      <c r="C37" s="395">
        <f>74930+158782</f>
        <v>233712</v>
      </c>
      <c r="D37" s="395">
        <f>100000+13000</f>
        <v>113000</v>
      </c>
      <c r="E37" s="395">
        <v>0</v>
      </c>
      <c r="F37" s="240">
        <f t="shared" si="0"/>
        <v>0</v>
      </c>
      <c r="G37" s="365"/>
    </row>
    <row r="38" spans="1:7" ht="18" customHeight="1">
      <c r="A38" s="40" t="s">
        <v>104</v>
      </c>
      <c r="B38" s="395">
        <v>698450</v>
      </c>
      <c r="C38" s="395">
        <f>(549077+113496)+(29343+6534)</f>
        <v>698450</v>
      </c>
      <c r="D38" s="395">
        <v>0</v>
      </c>
      <c r="E38" s="395">
        <v>0</v>
      </c>
      <c r="F38" s="240">
        <f t="shared" si="0"/>
        <v>0</v>
      </c>
      <c r="G38" s="365"/>
    </row>
    <row r="39" spans="1:7" ht="18" customHeight="1">
      <c r="A39" s="40" t="s">
        <v>106</v>
      </c>
      <c r="B39" s="395">
        <v>2490635</v>
      </c>
      <c r="C39" s="395">
        <v>0</v>
      </c>
      <c r="D39" s="395">
        <v>0</v>
      </c>
      <c r="E39" s="395">
        <v>0</v>
      </c>
      <c r="F39" s="240">
        <f t="shared" si="0"/>
        <v>2490635</v>
      </c>
      <c r="G39" s="365"/>
    </row>
    <row r="40" spans="1:7" ht="18" customHeight="1">
      <c r="A40" s="30" t="s">
        <v>109</v>
      </c>
      <c r="B40" s="395">
        <v>65323</v>
      </c>
      <c r="C40" s="395">
        <f>65323</f>
        <v>65323</v>
      </c>
      <c r="D40" s="395">
        <v>0</v>
      </c>
      <c r="E40" s="395">
        <v>0</v>
      </c>
      <c r="F40" s="240">
        <f t="shared" si="0"/>
        <v>0</v>
      </c>
      <c r="G40" s="365"/>
    </row>
    <row r="41" spans="1:7" ht="18" customHeight="1">
      <c r="A41" s="40" t="s">
        <v>110</v>
      </c>
      <c r="B41" s="395">
        <v>0</v>
      </c>
      <c r="C41" s="395">
        <v>0</v>
      </c>
      <c r="D41" s="395">
        <v>0</v>
      </c>
      <c r="E41" s="395">
        <v>0</v>
      </c>
      <c r="F41" s="240">
        <f t="shared" si="0"/>
        <v>0</v>
      </c>
      <c r="G41" s="365"/>
    </row>
    <row r="42" spans="1:7" ht="18" customHeight="1">
      <c r="A42" s="40" t="s">
        <v>112</v>
      </c>
      <c r="B42" s="395">
        <v>4336419</v>
      </c>
      <c r="C42" s="395">
        <f>4336419</f>
        <v>4336419</v>
      </c>
      <c r="D42" s="395">
        <v>0</v>
      </c>
      <c r="E42" s="395">
        <v>0</v>
      </c>
      <c r="F42" s="240">
        <f t="shared" si="0"/>
        <v>0</v>
      </c>
      <c r="G42" s="365"/>
    </row>
    <row r="43" spans="1:7" ht="18" customHeight="1">
      <c r="A43" s="40" t="s">
        <v>136</v>
      </c>
      <c r="B43" s="395">
        <v>1815635</v>
      </c>
      <c r="C43" s="395">
        <f>1173786+278787+58062</f>
        <v>1510635</v>
      </c>
      <c r="D43" s="395">
        <f>305000+0</f>
        <v>305000</v>
      </c>
      <c r="E43" s="395">
        <v>0</v>
      </c>
      <c r="F43" s="240">
        <f t="shared" si="0"/>
        <v>0</v>
      </c>
      <c r="G43" s="365"/>
    </row>
    <row r="44" spans="1:7" ht="18" customHeight="1">
      <c r="A44" s="40" t="s">
        <v>114</v>
      </c>
      <c r="B44" s="395">
        <v>2035052</v>
      </c>
      <c r="C44" s="395">
        <f>(69828+1746976)+(10172+136846)</f>
        <v>1963822</v>
      </c>
      <c r="D44" s="395">
        <f>71230</f>
        <v>71230</v>
      </c>
      <c r="E44" s="395">
        <v>0</v>
      </c>
      <c r="F44" s="240">
        <f t="shared" si="0"/>
        <v>0</v>
      </c>
      <c r="G44" s="365"/>
    </row>
    <row r="45" spans="1:7" ht="18" customHeight="1">
      <c r="A45" s="40" t="s">
        <v>115</v>
      </c>
      <c r="B45" s="395">
        <v>8375</v>
      </c>
      <c r="C45" s="395">
        <v>0</v>
      </c>
      <c r="D45" s="395">
        <v>0</v>
      </c>
      <c r="E45" s="395">
        <v>0</v>
      </c>
      <c r="F45" s="240">
        <f t="shared" si="0"/>
        <v>8375</v>
      </c>
      <c r="G45" s="365"/>
    </row>
    <row r="46" spans="1:7" ht="18" customHeight="1">
      <c r="A46" s="40" t="s">
        <v>187</v>
      </c>
      <c r="B46" s="395">
        <v>13399</v>
      </c>
      <c r="C46" s="395">
        <v>0</v>
      </c>
      <c r="D46" s="395">
        <v>0</v>
      </c>
      <c r="E46" s="395">
        <v>0</v>
      </c>
      <c r="F46" s="240">
        <f t="shared" si="0"/>
        <v>13399</v>
      </c>
      <c r="G46" s="365"/>
    </row>
    <row r="47" spans="1:7" ht="18" customHeight="1">
      <c r="A47" s="40" t="s">
        <v>117</v>
      </c>
      <c r="B47" s="395">
        <v>505832</v>
      </c>
      <c r="C47" s="395">
        <v>0</v>
      </c>
      <c r="D47" s="395">
        <v>0</v>
      </c>
      <c r="E47" s="395">
        <v>0</v>
      </c>
      <c r="F47" s="240">
        <f t="shared" si="0"/>
        <v>505832</v>
      </c>
      <c r="G47" s="365"/>
    </row>
    <row r="48" spans="1:7" ht="18" customHeight="1">
      <c r="A48" s="40" t="s">
        <v>119</v>
      </c>
      <c r="B48" s="395">
        <v>8525444</v>
      </c>
      <c r="C48" s="395">
        <f>1247708+1393507+173200+27401+5683628</f>
        <v>8525444</v>
      </c>
      <c r="D48" s="395">
        <v>0</v>
      </c>
      <c r="E48" s="395">
        <f>5593411+90217-5683628</f>
        <v>0</v>
      </c>
      <c r="F48" s="240">
        <f t="shared" si="0"/>
        <v>0</v>
      </c>
      <c r="G48" s="365"/>
    </row>
    <row r="49" spans="1:7" ht="18" customHeight="1">
      <c r="A49" s="40" t="s">
        <v>120</v>
      </c>
      <c r="B49" s="395">
        <v>36666667</v>
      </c>
      <c r="C49" s="395">
        <f>23125139-10159473+1406865+575861+12142475+3575800+3000000+3000000</f>
        <v>36666667</v>
      </c>
      <c r="D49" s="395">
        <v>0</v>
      </c>
      <c r="E49" s="395">
        <f>3000000-3000000</f>
        <v>0</v>
      </c>
      <c r="F49" s="240">
        <f t="shared" si="0"/>
        <v>0</v>
      </c>
      <c r="G49" s="365"/>
    </row>
    <row r="50" spans="1:7" ht="18" customHeight="1" thickBot="1">
      <c r="A50" s="251" t="s">
        <v>121</v>
      </c>
      <c r="B50" s="395">
        <v>61973</v>
      </c>
      <c r="C50" s="369">
        <v>0</v>
      </c>
      <c r="D50" s="395">
        <v>0</v>
      </c>
      <c r="E50" s="395">
        <v>0</v>
      </c>
      <c r="F50" s="398">
        <f t="shared" si="0"/>
        <v>61973</v>
      </c>
      <c r="G50" s="365"/>
    </row>
    <row r="51" spans="1:7" ht="20.25" customHeight="1" thickBot="1">
      <c r="A51" s="278" t="s">
        <v>124</v>
      </c>
      <c r="B51" s="50">
        <f>SUM(B8:B50)</f>
        <v>146666667</v>
      </c>
      <c r="C51" s="50">
        <f>SUM(C8:C50)</f>
        <v>137021104.96000001</v>
      </c>
      <c r="D51" s="50">
        <f>SUM(D8:D50)</f>
        <v>5876450.7800000003</v>
      </c>
      <c r="E51" s="50">
        <f>SUM(E8:E50)</f>
        <v>0</v>
      </c>
      <c r="F51" s="399">
        <f>SUM(F8:F50)</f>
        <v>3769111.26</v>
      </c>
      <c r="G51" s="365"/>
    </row>
    <row r="52" spans="1:7">
      <c r="A52" s="375"/>
      <c r="B52" s="289"/>
      <c r="C52" s="289"/>
      <c r="D52" s="289"/>
      <c r="E52" s="289"/>
      <c r="F52" s="289"/>
      <c r="G52" s="365"/>
    </row>
    <row r="53" spans="1:7">
      <c r="A53" s="375"/>
      <c r="B53" s="289"/>
      <c r="C53" s="289"/>
      <c r="D53" s="289"/>
      <c r="E53" s="289"/>
      <c r="F53" s="289"/>
      <c r="G53" s="365"/>
    </row>
    <row r="54" spans="1:7">
      <c r="A54" s="375"/>
      <c r="B54" s="289"/>
      <c r="C54" s="289"/>
      <c r="D54" s="289"/>
      <c r="E54" s="289"/>
      <c r="F54" s="289"/>
      <c r="G54" s="365"/>
    </row>
    <row r="56" spans="1:7" ht="16" thickBot="1">
      <c r="A56" s="289"/>
      <c r="B56" s="289"/>
      <c r="C56" s="289"/>
      <c r="D56" s="289"/>
      <c r="E56" s="289"/>
      <c r="F56" s="289"/>
      <c r="G56" s="365"/>
    </row>
    <row r="57" spans="1:7" ht="16.5" customHeight="1" thickBot="1">
      <c r="A57" s="376" t="s">
        <v>139</v>
      </c>
      <c r="B57" s="377">
        <f>B10+B11+B13+B15+B17+B22+B29+B31+B37+B39+B40+B41+B45+B46+B47+B50</f>
        <v>4204100</v>
      </c>
      <c r="C57" s="377">
        <f>C10+C11+C13+C15+C17+C22+C29+C31+C37+C39+C40+C41+C45+C46+C47+C50</f>
        <v>799843</v>
      </c>
      <c r="D57" s="377">
        <f>D10+D11+D13+D15+D17+D22+D29+D31+D37+D39+D40+D41+D45+D46+D47+D50</f>
        <v>113000</v>
      </c>
      <c r="E57" s="377">
        <f>E10+E11+E13+E15+E17+E22+E29+E31+E37+E39+E40+E41+E45+E46+E47+E50</f>
        <v>0</v>
      </c>
      <c r="F57" s="377">
        <f>F10+F11+F13+F15+F17+F22+F29+F31+F37+F39+F40+F41+F45+F46+F47+F50</f>
        <v>3291257</v>
      </c>
      <c r="G57" s="365"/>
    </row>
    <row r="58" spans="1:7">
      <c r="G58" s="365"/>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2650-60FB-4BCF-8019-CB3650F3CEF2}">
  <dimension ref="A1:K57"/>
  <sheetViews>
    <sheetView topLeftCell="A34" workbookViewId="0">
      <selection activeCell="A3" sqref="A3"/>
    </sheetView>
  </sheetViews>
  <sheetFormatPr defaultColWidth="9.7265625" defaultRowHeight="15.5"/>
  <cols>
    <col min="1" max="1" width="24.7265625" style="1" customWidth="1"/>
    <col min="2" max="2" width="17.26953125" style="1" customWidth="1"/>
    <col min="3" max="3" width="16.26953125" style="1" customWidth="1"/>
    <col min="4" max="4" width="13.7265625" style="1" customWidth="1"/>
    <col min="5" max="5" width="16.7265625" style="1" customWidth="1"/>
    <col min="6" max="6" width="16.26953125" style="1" customWidth="1"/>
    <col min="7" max="7" width="3" style="1" customWidth="1"/>
    <col min="8" max="16384" width="9.7265625" style="1"/>
  </cols>
  <sheetData>
    <row r="1" spans="1:7" ht="16.5" customHeight="1">
      <c r="A1" s="22" t="str">
        <f>Status!C1</f>
        <v>UNEP/OzL.Pro/ExCom/94/3</v>
      </c>
      <c r="B1" s="355"/>
    </row>
    <row r="2" spans="1:7" ht="16.5" customHeight="1">
      <c r="A2" s="22" t="s">
        <v>213</v>
      </c>
      <c r="B2" s="22"/>
    </row>
    <row r="3" spans="1:7" ht="16.5" customHeight="1">
      <c r="B3" s="22"/>
      <c r="F3" s="380"/>
    </row>
    <row r="4" spans="1:7" ht="20.25" customHeight="1">
      <c r="A4" s="381" t="s">
        <v>2</v>
      </c>
      <c r="B4" s="381"/>
      <c r="C4" s="381"/>
      <c r="D4" s="381"/>
      <c r="E4" s="381"/>
      <c r="F4" s="381"/>
    </row>
    <row r="5" spans="1:7" ht="20.25" customHeight="1">
      <c r="A5" s="382" t="s">
        <v>204</v>
      </c>
      <c r="B5" s="381"/>
      <c r="C5" s="381"/>
      <c r="D5" s="381"/>
      <c r="E5" s="381"/>
      <c r="F5" s="381"/>
    </row>
    <row r="6" spans="1:7" ht="30" customHeight="1" thickBot="1">
      <c r="A6" s="383" t="str">
        <f>Status!A6</f>
        <v>As at 24/05/2024</v>
      </c>
      <c r="B6" s="381"/>
      <c r="C6" s="381"/>
      <c r="D6" s="381"/>
      <c r="E6" s="381"/>
      <c r="F6" s="381"/>
    </row>
    <row r="7" spans="1:7" ht="35.25" customHeight="1" thickBot="1">
      <c r="A7" s="358" t="s">
        <v>60</v>
      </c>
      <c r="B7" s="359" t="s">
        <v>61</v>
      </c>
      <c r="C7" s="359" t="s">
        <v>62</v>
      </c>
      <c r="D7" s="359" t="s">
        <v>63</v>
      </c>
      <c r="E7" s="359" t="s">
        <v>64</v>
      </c>
      <c r="F7" s="384" t="s">
        <v>65</v>
      </c>
      <c r="G7" s="361"/>
    </row>
    <row r="8" spans="1:7" ht="18" customHeight="1">
      <c r="A8" s="237" t="s">
        <v>130</v>
      </c>
      <c r="B8" s="393">
        <v>2482261</v>
      </c>
      <c r="C8" s="393">
        <f>2114355.37+122205.63+24100</f>
        <v>2260661</v>
      </c>
      <c r="D8" s="393">
        <f>245700-24100</f>
        <v>221600</v>
      </c>
      <c r="E8" s="393">
        <v>0</v>
      </c>
      <c r="F8" s="394">
        <f t="shared" ref="F8:F49" si="0">+B8-C8-D8-E8</f>
        <v>0</v>
      </c>
      <c r="G8" s="365"/>
    </row>
    <row r="9" spans="1:7" ht="18" customHeight="1">
      <c r="A9" s="40" t="s">
        <v>69</v>
      </c>
      <c r="B9" s="395">
        <v>1576118</v>
      </c>
      <c r="C9" s="395">
        <f>1275385+300733</f>
        <v>1576118</v>
      </c>
      <c r="D9" s="395">
        <v>0</v>
      </c>
      <c r="E9" s="395">
        <v>0</v>
      </c>
      <c r="F9" s="240">
        <f t="shared" si="0"/>
        <v>0</v>
      </c>
      <c r="G9" s="365"/>
    </row>
    <row r="10" spans="1:7" ht="18" customHeight="1">
      <c r="A10" s="245" t="s">
        <v>70</v>
      </c>
      <c r="B10" s="395">
        <v>36849</v>
      </c>
      <c r="C10" s="395"/>
      <c r="D10" s="395">
        <v>0</v>
      </c>
      <c r="E10" s="395">
        <v>0</v>
      </c>
      <c r="F10" s="240">
        <f t="shared" si="0"/>
        <v>36849</v>
      </c>
      <c r="G10" s="365"/>
    </row>
    <row r="11" spans="1:7" ht="18" customHeight="1">
      <c r="A11" s="40" t="s">
        <v>71</v>
      </c>
      <c r="B11" s="395">
        <v>137345</v>
      </c>
      <c r="C11" s="395">
        <v>0</v>
      </c>
      <c r="D11" s="395">
        <v>0</v>
      </c>
      <c r="E11" s="395">
        <v>0</v>
      </c>
      <c r="F11" s="240">
        <f t="shared" si="0"/>
        <v>137345</v>
      </c>
      <c r="G11" s="365"/>
    </row>
    <row r="12" spans="1:7" ht="18" customHeight="1">
      <c r="A12" s="40" t="s">
        <v>72</v>
      </c>
      <c r="B12" s="395">
        <v>1847459</v>
      </c>
      <c r="C12" s="395">
        <f>1564829+282630</f>
        <v>1847459</v>
      </c>
      <c r="D12" s="395">
        <v>0</v>
      </c>
      <c r="E12" s="395">
        <v>0</v>
      </c>
      <c r="F12" s="240">
        <f t="shared" si="0"/>
        <v>0</v>
      </c>
      <c r="G12" s="365"/>
    </row>
    <row r="13" spans="1:7" ht="18" customHeight="1">
      <c r="A13" s="40" t="s">
        <v>73</v>
      </c>
      <c r="B13" s="395">
        <v>31824</v>
      </c>
      <c r="C13" s="395">
        <v>31824</v>
      </c>
      <c r="D13" s="395">
        <v>0</v>
      </c>
      <c r="E13" s="395">
        <v>0</v>
      </c>
      <c r="F13" s="240">
        <f t="shared" si="0"/>
        <v>0</v>
      </c>
      <c r="G13" s="365"/>
    </row>
    <row r="14" spans="1:7" ht="18" customHeight="1">
      <c r="A14" s="40" t="s">
        <v>131</v>
      </c>
      <c r="B14" s="395">
        <v>4612784</v>
      </c>
      <c r="C14" s="395">
        <f>3648666+175291</f>
        <v>3823957</v>
      </c>
      <c r="D14" s="395">
        <v>788827</v>
      </c>
      <c r="E14" s="395">
        <v>0</v>
      </c>
      <c r="F14" s="240">
        <f t="shared" si="0"/>
        <v>0</v>
      </c>
      <c r="G14" s="365"/>
    </row>
    <row r="15" spans="1:7" ht="18" customHeight="1">
      <c r="A15" s="40" t="s">
        <v>77</v>
      </c>
      <c r="B15" s="395">
        <v>202668</v>
      </c>
      <c r="C15" s="395">
        <f>188771+13897</f>
        <v>202668</v>
      </c>
      <c r="D15" s="395">
        <v>0</v>
      </c>
      <c r="E15" s="395">
        <v>0</v>
      </c>
      <c r="F15" s="240">
        <f t="shared" si="0"/>
        <v>0</v>
      </c>
      <c r="G15" s="365"/>
    </row>
    <row r="16" spans="1:7" ht="18" customHeight="1">
      <c r="A16" s="40" t="s">
        <v>78</v>
      </c>
      <c r="B16" s="395">
        <v>1157383</v>
      </c>
      <c r="C16" s="395">
        <f>1019235+138148</f>
        <v>1157383</v>
      </c>
      <c r="D16" s="395">
        <v>0</v>
      </c>
      <c r="E16" s="395">
        <v>0</v>
      </c>
      <c r="F16" s="240">
        <f>+B16-C16-D16-E16</f>
        <v>0</v>
      </c>
      <c r="G16" s="365"/>
    </row>
    <row r="17" spans="1:7" ht="18" customHeight="1">
      <c r="A17" s="40" t="s">
        <v>79</v>
      </c>
      <c r="B17" s="395">
        <v>25124</v>
      </c>
      <c r="C17" s="395">
        <v>25124</v>
      </c>
      <c r="D17" s="395">
        <v>0</v>
      </c>
      <c r="E17" s="395">
        <v>0</v>
      </c>
      <c r="F17" s="240">
        <f t="shared" si="0"/>
        <v>0</v>
      </c>
      <c r="G17" s="365"/>
    </row>
    <row r="18" spans="1:7" ht="18" customHeight="1">
      <c r="A18" s="40" t="s">
        <v>80</v>
      </c>
      <c r="B18" s="395">
        <v>907817</v>
      </c>
      <c r="C18" s="395">
        <f>791927+115890</f>
        <v>907817</v>
      </c>
      <c r="D18" s="395">
        <v>0</v>
      </c>
      <c r="E18" s="395">
        <v>0</v>
      </c>
      <c r="F18" s="240">
        <f t="shared" si="0"/>
        <v>0</v>
      </c>
      <c r="G18" s="365"/>
    </row>
    <row r="19" spans="1:7" ht="18" customHeight="1">
      <c r="A19" s="40" t="s">
        <v>81</v>
      </c>
      <c r="B19" s="395">
        <v>10954107</v>
      </c>
      <c r="C19" s="395">
        <f>10694928-5270</f>
        <v>10689658</v>
      </c>
      <c r="D19" s="395">
        <v>259179</v>
      </c>
      <c r="E19" s="395">
        <f>10694928-10694928</f>
        <v>0</v>
      </c>
      <c r="F19" s="240">
        <f t="shared" si="0"/>
        <v>5270</v>
      </c>
      <c r="G19" s="365"/>
    </row>
    <row r="20" spans="1:7" ht="18" customHeight="1">
      <c r="A20" s="40" t="s">
        <v>82</v>
      </c>
      <c r="B20" s="395">
        <v>16427810</v>
      </c>
      <c r="C20" s="395">
        <f>16427810-3171857</f>
        <v>13255953</v>
      </c>
      <c r="D20" s="395">
        <v>3171857</v>
      </c>
      <c r="E20" s="395">
        <v>0</v>
      </c>
      <c r="F20" s="240">
        <f t="shared" si="0"/>
        <v>0</v>
      </c>
      <c r="G20" s="365"/>
    </row>
    <row r="21" spans="1:7" ht="18" customHeight="1">
      <c r="A21" s="40" t="s">
        <v>83</v>
      </c>
      <c r="B21" s="395">
        <v>587904</v>
      </c>
      <c r="C21" s="395">
        <f>101763+287584+198557</f>
        <v>587904</v>
      </c>
      <c r="D21" s="395">
        <v>0</v>
      </c>
      <c r="E21" s="395">
        <v>0</v>
      </c>
      <c r="F21" s="240">
        <f t="shared" si="0"/>
        <v>0</v>
      </c>
      <c r="G21" s="365"/>
    </row>
    <row r="22" spans="1:7" ht="18" customHeight="1">
      <c r="A22" s="40" t="s">
        <v>85</v>
      </c>
      <c r="B22" s="395">
        <v>200993</v>
      </c>
      <c r="C22" s="395">
        <v>200993</v>
      </c>
      <c r="D22" s="395">
        <v>0</v>
      </c>
      <c r="E22" s="395">
        <v>0</v>
      </c>
      <c r="F22" s="240">
        <f t="shared" si="0"/>
        <v>0</v>
      </c>
      <c r="G22" s="365"/>
    </row>
    <row r="23" spans="1:7" ht="18" customHeight="1">
      <c r="A23" s="40" t="s">
        <v>86</v>
      </c>
      <c r="B23" s="395">
        <v>53598</v>
      </c>
      <c r="C23" s="395">
        <v>53598</v>
      </c>
      <c r="D23" s="395">
        <v>0</v>
      </c>
      <c r="E23" s="395">
        <v>0</v>
      </c>
      <c r="F23" s="240">
        <f t="shared" si="0"/>
        <v>0</v>
      </c>
      <c r="G23" s="365"/>
    </row>
    <row r="24" spans="1:7" ht="18" customHeight="1">
      <c r="A24" s="40" t="s">
        <v>87</v>
      </c>
      <c r="B24" s="395">
        <v>375186</v>
      </c>
      <c r="C24" s="395">
        <f>301807+73379</f>
        <v>375186</v>
      </c>
      <c r="D24" s="395">
        <v>0</v>
      </c>
      <c r="E24" s="395">
        <v>0</v>
      </c>
      <c r="F24" s="240">
        <f t="shared" si="0"/>
        <v>0</v>
      </c>
      <c r="G24" s="365"/>
    </row>
    <row r="25" spans="1:7" ht="18" customHeight="1">
      <c r="A25" s="40" t="s">
        <v>88</v>
      </c>
      <c r="B25" s="395">
        <v>577854</v>
      </c>
      <c r="C25" s="395">
        <f>390244+35077+70024+110000</f>
        <v>605345</v>
      </c>
      <c r="D25" s="395">
        <v>0</v>
      </c>
      <c r="E25" s="395">
        <v>0</v>
      </c>
      <c r="F25" s="240">
        <f t="shared" si="0"/>
        <v>-27491</v>
      </c>
      <c r="G25" s="365"/>
    </row>
    <row r="26" spans="1:7" ht="18" customHeight="1">
      <c r="A26" s="40" t="s">
        <v>89</v>
      </c>
      <c r="B26" s="395">
        <v>9098273</v>
      </c>
      <c r="C26" s="395">
        <f>5874936+1403682</f>
        <v>7278618</v>
      </c>
      <c r="D26" s="395">
        <f>1607825+211830</f>
        <v>1819655</v>
      </c>
      <c r="E26" s="395">
        <v>0</v>
      </c>
      <c r="F26" s="240">
        <f t="shared" si="0"/>
        <v>0</v>
      </c>
      <c r="G26" s="365"/>
    </row>
    <row r="27" spans="1:7" ht="18" customHeight="1">
      <c r="A27" s="40" t="s">
        <v>90</v>
      </c>
      <c r="B27" s="395">
        <v>33471998</v>
      </c>
      <c r="C27" s="395">
        <f>33471998+3-D27</f>
        <v>32641347</v>
      </c>
      <c r="D27" s="395">
        <f>350000+485833-5179</f>
        <v>830654</v>
      </c>
      <c r="E27" s="395">
        <v>0</v>
      </c>
      <c r="F27" s="240">
        <f t="shared" si="0"/>
        <v>-3</v>
      </c>
      <c r="G27" s="365"/>
    </row>
    <row r="28" spans="1:7" ht="18" customHeight="1">
      <c r="A28" s="40" t="s">
        <v>93</v>
      </c>
      <c r="B28" s="395">
        <v>40199</v>
      </c>
      <c r="C28" s="395">
        <f>6495+33704</f>
        <v>40199</v>
      </c>
      <c r="D28" s="395">
        <v>0</v>
      </c>
      <c r="E28" s="395">
        <v>0</v>
      </c>
      <c r="F28" s="240">
        <f t="shared" si="0"/>
        <v>0</v>
      </c>
      <c r="G28" s="365"/>
    </row>
    <row r="29" spans="1:7" ht="18" customHeight="1">
      <c r="A29" s="40" t="s">
        <v>94</v>
      </c>
      <c r="B29" s="395">
        <v>10050</v>
      </c>
      <c r="C29" s="395">
        <f>10025+25</f>
        <v>10050</v>
      </c>
      <c r="D29" s="395">
        <v>0</v>
      </c>
      <c r="E29" s="395">
        <v>0</v>
      </c>
      <c r="F29" s="240">
        <f t="shared" si="0"/>
        <v>0</v>
      </c>
      <c r="G29" s="365"/>
    </row>
    <row r="30" spans="1:7" ht="18" customHeight="1">
      <c r="A30" s="40" t="s">
        <v>95</v>
      </c>
      <c r="B30" s="395">
        <v>36849</v>
      </c>
      <c r="C30" s="395"/>
      <c r="D30" s="395">
        <v>0</v>
      </c>
      <c r="E30" s="395">
        <v>0</v>
      </c>
      <c r="F30" s="240">
        <f t="shared" si="0"/>
        <v>36849</v>
      </c>
      <c r="G30" s="365"/>
    </row>
    <row r="31" spans="1:7" ht="18" customHeight="1">
      <c r="A31" s="40" t="s">
        <v>96</v>
      </c>
      <c r="B31" s="395">
        <v>113896</v>
      </c>
      <c r="C31" s="395">
        <f>95592+18304</f>
        <v>113896</v>
      </c>
      <c r="D31" s="395">
        <v>0</v>
      </c>
      <c r="E31" s="395">
        <v>0</v>
      </c>
      <c r="F31" s="240">
        <f t="shared" si="0"/>
        <v>0</v>
      </c>
      <c r="G31" s="365"/>
    </row>
    <row r="32" spans="1:7" ht="18" customHeight="1">
      <c r="A32" s="40" t="s">
        <v>98</v>
      </c>
      <c r="B32" s="395">
        <v>6700</v>
      </c>
      <c r="C32" s="395">
        <f>5620-20+1100</f>
        <v>6700</v>
      </c>
      <c r="D32" s="395">
        <v>0</v>
      </c>
      <c r="E32" s="395">
        <v>0</v>
      </c>
      <c r="F32" s="240">
        <f t="shared" si="0"/>
        <v>0</v>
      </c>
      <c r="G32" s="365"/>
    </row>
    <row r="33" spans="1:11" ht="18" customHeight="1">
      <c r="A33" s="40" t="s">
        <v>99</v>
      </c>
      <c r="B33" s="395">
        <v>2731827</v>
      </c>
      <c r="C33" s="395">
        <f>2731827</f>
        <v>2731827</v>
      </c>
      <c r="D33" s="395">
        <v>0</v>
      </c>
      <c r="E33" s="395">
        <v>0</v>
      </c>
      <c r="F33" s="240">
        <f t="shared" si="0"/>
        <v>0</v>
      </c>
      <c r="G33" s="365"/>
    </row>
    <row r="34" spans="1:11" ht="18" customHeight="1">
      <c r="A34" s="40" t="s">
        <v>100</v>
      </c>
      <c r="B34" s="395">
        <v>370162</v>
      </c>
      <c r="C34" s="395">
        <f>13209+311790+45163</f>
        <v>370162</v>
      </c>
      <c r="D34" s="395">
        <v>0</v>
      </c>
      <c r="E34" s="395">
        <v>0</v>
      </c>
      <c r="F34" s="240">
        <f t="shared" si="0"/>
        <v>0</v>
      </c>
      <c r="G34" s="365"/>
    </row>
    <row r="35" spans="1:11" ht="18" customHeight="1">
      <c r="A35" s="40" t="s">
        <v>101</v>
      </c>
      <c r="B35" s="395">
        <v>1021713</v>
      </c>
      <c r="C35" s="395">
        <f>884274+137439</f>
        <v>1021713</v>
      </c>
      <c r="D35" s="395">
        <v>0</v>
      </c>
      <c r="E35" s="395">
        <v>0</v>
      </c>
      <c r="F35" s="240">
        <f t="shared" si="0"/>
        <v>0</v>
      </c>
      <c r="G35" s="365"/>
    </row>
    <row r="36" spans="1:11" ht="18" customHeight="1">
      <c r="A36" s="40" t="s">
        <v>103</v>
      </c>
      <c r="B36" s="395">
        <v>346712</v>
      </c>
      <c r="C36" s="395">
        <v>346712</v>
      </c>
      <c r="D36" s="395">
        <v>0</v>
      </c>
      <c r="E36" s="395">
        <v>0</v>
      </c>
      <c r="F36" s="240">
        <f t="shared" si="0"/>
        <v>0</v>
      </c>
      <c r="G36" s="365"/>
    </row>
    <row r="37" spans="1:11" ht="18" customHeight="1">
      <c r="A37" s="40" t="s">
        <v>104</v>
      </c>
      <c r="B37" s="395">
        <v>698450</v>
      </c>
      <c r="C37" s="395">
        <f>101405+111160+402655+83230</f>
        <v>698450</v>
      </c>
      <c r="D37" s="395">
        <v>0</v>
      </c>
      <c r="E37" s="395">
        <v>0</v>
      </c>
      <c r="F37" s="240">
        <f t="shared" si="0"/>
        <v>0</v>
      </c>
      <c r="G37" s="365"/>
    </row>
    <row r="38" spans="1:11" ht="18" customHeight="1">
      <c r="A38" s="40" t="s">
        <v>106</v>
      </c>
      <c r="B38" s="395">
        <v>2490635</v>
      </c>
      <c r="C38" s="395">
        <v>0</v>
      </c>
      <c r="D38" s="395">
        <v>0</v>
      </c>
      <c r="E38" s="395">
        <v>0</v>
      </c>
      <c r="F38" s="240">
        <f t="shared" si="0"/>
        <v>2490635</v>
      </c>
      <c r="G38" s="365"/>
    </row>
    <row r="39" spans="1:11" ht="18" customHeight="1">
      <c r="A39" s="30" t="s">
        <v>109</v>
      </c>
      <c r="B39" s="395">
        <v>65323</v>
      </c>
      <c r="C39" s="395">
        <v>65323</v>
      </c>
      <c r="D39" s="395">
        <v>0</v>
      </c>
      <c r="E39" s="395">
        <v>0</v>
      </c>
      <c r="F39" s="240">
        <f t="shared" si="0"/>
        <v>0</v>
      </c>
      <c r="G39" s="365"/>
    </row>
    <row r="40" spans="1:11" ht="18" customHeight="1">
      <c r="A40" s="40" t="s">
        <v>110</v>
      </c>
      <c r="B40" s="395">
        <v>0</v>
      </c>
      <c r="C40" s="395">
        <v>0</v>
      </c>
      <c r="D40" s="395">
        <v>0</v>
      </c>
      <c r="E40" s="395">
        <v>0</v>
      </c>
      <c r="F40" s="240">
        <f t="shared" si="0"/>
        <v>0</v>
      </c>
      <c r="G40" s="365"/>
    </row>
    <row r="41" spans="1:11" ht="18" customHeight="1">
      <c r="A41" s="40" t="s">
        <v>112</v>
      </c>
      <c r="B41" s="395">
        <v>4336419</v>
      </c>
      <c r="C41" s="395">
        <v>4336419</v>
      </c>
      <c r="D41" s="395">
        <v>0</v>
      </c>
      <c r="E41" s="395">
        <v>0</v>
      </c>
      <c r="F41" s="240">
        <f t="shared" si="0"/>
        <v>0</v>
      </c>
      <c r="G41" s="365"/>
    </row>
    <row r="42" spans="1:11" ht="18" customHeight="1">
      <c r="A42" s="40" t="s">
        <v>136</v>
      </c>
      <c r="B42" s="395">
        <v>1815635</v>
      </c>
      <c r="C42" s="395">
        <f>(1452508-99748)+(107103-7355)+363127</f>
        <v>1815635</v>
      </c>
      <c r="D42" s="395">
        <v>0</v>
      </c>
      <c r="E42" s="395">
        <v>0</v>
      </c>
      <c r="F42" s="240">
        <f t="shared" si="0"/>
        <v>0</v>
      </c>
      <c r="G42" s="365"/>
    </row>
    <row r="43" spans="1:11" ht="18" customHeight="1">
      <c r="A43" s="40" t="s">
        <v>114</v>
      </c>
      <c r="B43" s="395">
        <v>2035052</v>
      </c>
      <c r="C43" s="395">
        <f>(1714846+77147)+(151821+11238)</f>
        <v>1955052</v>
      </c>
      <c r="D43" s="395">
        <f>80000</f>
        <v>80000</v>
      </c>
      <c r="E43" s="395">
        <v>0</v>
      </c>
      <c r="F43" s="240">
        <f t="shared" si="0"/>
        <v>0</v>
      </c>
      <c r="G43" s="365"/>
    </row>
    <row r="44" spans="1:11" ht="18" customHeight="1">
      <c r="A44" s="40" t="s">
        <v>115</v>
      </c>
      <c r="B44" s="395">
        <v>8375</v>
      </c>
      <c r="C44" s="395">
        <v>0</v>
      </c>
      <c r="D44" s="395">
        <v>0</v>
      </c>
      <c r="E44" s="395">
        <v>0</v>
      </c>
      <c r="F44" s="240">
        <f t="shared" si="0"/>
        <v>8375</v>
      </c>
      <c r="G44" s="365"/>
    </row>
    <row r="45" spans="1:11" ht="18" customHeight="1">
      <c r="A45" s="40" t="s">
        <v>187</v>
      </c>
      <c r="B45" s="395">
        <v>13399</v>
      </c>
      <c r="C45" s="395">
        <v>0</v>
      </c>
      <c r="D45" s="395">
        <v>0</v>
      </c>
      <c r="E45" s="395">
        <v>0</v>
      </c>
      <c r="F45" s="240">
        <f t="shared" si="0"/>
        <v>13399</v>
      </c>
      <c r="G45" s="365"/>
    </row>
    <row r="46" spans="1:11" ht="18" customHeight="1">
      <c r="A46" s="40" t="s">
        <v>117</v>
      </c>
      <c r="B46" s="395">
        <v>505832</v>
      </c>
      <c r="C46" s="395">
        <v>0</v>
      </c>
      <c r="D46" s="395">
        <v>0</v>
      </c>
      <c r="E46" s="395">
        <v>0</v>
      </c>
      <c r="F46" s="240">
        <f t="shared" si="0"/>
        <v>505832</v>
      </c>
      <c r="G46" s="365"/>
    </row>
    <row r="47" spans="1:11" ht="18" customHeight="1">
      <c r="A47" s="40" t="s">
        <v>119</v>
      </c>
      <c r="B47" s="395">
        <v>8525444</v>
      </c>
      <c r="C47" s="395">
        <f>1258869+546273+716972+1247708+1393507+162038+68179+89484+173200+27401+2796705+45108</f>
        <v>8525444</v>
      </c>
      <c r="D47" s="395">
        <v>0</v>
      </c>
      <c r="E47" s="395">
        <v>0</v>
      </c>
      <c r="F47" s="240">
        <f t="shared" si="0"/>
        <v>0</v>
      </c>
      <c r="G47" s="365"/>
    </row>
    <row r="48" spans="1:11" ht="18" customHeight="1">
      <c r="A48" s="40" t="s">
        <v>120</v>
      </c>
      <c r="B48" s="395">
        <v>36666667</v>
      </c>
      <c r="C48" s="395">
        <f>11328778+153430+1450000+900000+1674986+10159473+2200000+2200000+2200000+2200000+2200000</f>
        <v>36666667</v>
      </c>
      <c r="D48" s="395">
        <v>0</v>
      </c>
      <c r="E48" s="395">
        <f>6600000-2200000-2200000-2200000</f>
        <v>0</v>
      </c>
      <c r="F48" s="240">
        <f t="shared" si="0"/>
        <v>0</v>
      </c>
      <c r="G48" s="365"/>
      <c r="K48" s="395">
        <f>2796705+45108</f>
        <v>2841813</v>
      </c>
    </row>
    <row r="49" spans="1:7" ht="18" customHeight="1" thickBot="1">
      <c r="A49" s="251" t="s">
        <v>121</v>
      </c>
      <c r="B49" s="395">
        <v>61973</v>
      </c>
      <c r="C49" s="395">
        <v>61973</v>
      </c>
      <c r="D49" s="395">
        <v>0</v>
      </c>
      <c r="E49" s="395">
        <v>0</v>
      </c>
      <c r="F49" s="398">
        <f t="shared" si="0"/>
        <v>0</v>
      </c>
      <c r="G49" s="365"/>
    </row>
    <row r="50" spans="1:7" ht="18" customHeight="1" thickBot="1">
      <c r="A50" s="278" t="s">
        <v>124</v>
      </c>
      <c r="B50" s="50">
        <f>SUM(B8:B49)</f>
        <v>146666667</v>
      </c>
      <c r="C50" s="50">
        <f>SUM(C8:C49)</f>
        <v>136287835</v>
      </c>
      <c r="D50" s="50">
        <f>SUM(D8:D49)</f>
        <v>7171772</v>
      </c>
      <c r="E50" s="50">
        <f>SUM(E8:E49)</f>
        <v>0</v>
      </c>
      <c r="F50" s="399">
        <f>SUM(F8:F49)</f>
        <v>3207060</v>
      </c>
      <c r="G50" s="365"/>
    </row>
    <row r="51" spans="1:7">
      <c r="A51" s="375"/>
      <c r="B51" s="289"/>
      <c r="C51" s="289"/>
      <c r="D51" s="289"/>
      <c r="E51" s="289"/>
      <c r="F51" s="289"/>
      <c r="G51" s="365"/>
    </row>
    <row r="52" spans="1:7">
      <c r="A52" s="375"/>
      <c r="B52" s="289"/>
      <c r="C52" s="289"/>
      <c r="D52" s="289"/>
      <c r="E52" s="289"/>
      <c r="F52" s="289"/>
      <c r="G52" s="365"/>
    </row>
    <row r="53" spans="1:7">
      <c r="A53" s="375"/>
      <c r="B53" s="289"/>
      <c r="C53" s="289"/>
      <c r="D53" s="289"/>
      <c r="E53" s="289"/>
      <c r="F53" s="289"/>
      <c r="G53" s="365"/>
    </row>
    <row r="55" spans="1:7" ht="16" thickBot="1">
      <c r="A55" s="289"/>
      <c r="B55" s="289"/>
      <c r="C55" s="289"/>
      <c r="D55" s="289"/>
      <c r="E55" s="289"/>
      <c r="F55" s="289"/>
      <c r="G55" s="365"/>
    </row>
    <row r="56" spans="1:7" ht="16.5" customHeight="1" thickBot="1">
      <c r="A56" s="376" t="s">
        <v>139</v>
      </c>
      <c r="B56" s="377">
        <f>B10+B11+B13+B15+B17+B22+B28+B30+B36+B38+B39+B40+B44+B45+B46+B49</f>
        <v>4204100</v>
      </c>
      <c r="C56" s="377">
        <f>C10+C11+C13+C15+C17+C22+C28+C30+C36+C38+C39+C40+C44+C45+C46+C49</f>
        <v>974816</v>
      </c>
      <c r="D56" s="377">
        <f>D10+D11+D13+D15+D17+D22+D28+D30+D36+D38+D39+D40+D44+D45+D46+D49</f>
        <v>0</v>
      </c>
      <c r="E56" s="377">
        <f>E10+E11+E13+E15+E17+E22+E28+E30+E36+E38+E39+E40+E44+E45+E46+E49</f>
        <v>0</v>
      </c>
      <c r="F56" s="377">
        <f>F10+F11+F13+F15+F17+F22+F28+F30+F36+F38+F39+F40+F44+F45+F46+F49</f>
        <v>3229284</v>
      </c>
      <c r="G56" s="365"/>
    </row>
    <row r="57" spans="1:7">
      <c r="G57" s="365"/>
    </row>
  </sheetData>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6BAC4-4C05-445D-B70E-8E63B2CCF46D}">
  <dimension ref="A1:O66"/>
  <sheetViews>
    <sheetView topLeftCell="A26" workbookViewId="0">
      <selection activeCell="B65" sqref="B65"/>
    </sheetView>
  </sheetViews>
  <sheetFormatPr defaultColWidth="9.7265625" defaultRowHeight="15.5"/>
  <cols>
    <col min="1" max="1" width="24.7265625" style="1" customWidth="1"/>
    <col min="2" max="2" width="17.26953125" style="1" customWidth="1"/>
    <col min="3" max="3" width="16.26953125" style="1" customWidth="1"/>
    <col min="4" max="4" width="13.7265625" style="1" customWidth="1"/>
    <col min="5" max="5" width="16.7265625" style="1" customWidth="1"/>
    <col min="6" max="6" width="16.26953125" style="1" customWidth="1"/>
    <col min="7" max="7" width="12.26953125" style="1" customWidth="1"/>
    <col min="8" max="8" width="15.26953125" style="28" hidden="1" customWidth="1"/>
    <col min="9" max="9" width="11.26953125" style="28" hidden="1" customWidth="1"/>
    <col min="10" max="10" width="0" style="1" hidden="1" customWidth="1"/>
    <col min="11" max="12" width="14.54296875" style="1" hidden="1" customWidth="1"/>
    <col min="13" max="13" width="13.54296875" style="1" hidden="1" customWidth="1"/>
    <col min="14" max="14" width="9.7265625" style="1" hidden="1" customWidth="1"/>
    <col min="15" max="15" width="13.54296875" style="1" hidden="1" customWidth="1"/>
    <col min="16" max="16384" width="9.7265625" style="1"/>
  </cols>
  <sheetData>
    <row r="1" spans="1:15" ht="16.5" customHeight="1">
      <c r="A1" s="1" t="str">
        <f>Status!C1</f>
        <v>UNEP/OzL.Pro/ExCom/94/3</v>
      </c>
      <c r="B1" s="355"/>
    </row>
    <row r="2" spans="1:15" ht="16.5" customHeight="1">
      <c r="A2" s="1" t="s">
        <v>243</v>
      </c>
      <c r="B2" s="22"/>
    </row>
    <row r="3" spans="1:15" ht="16.5" customHeight="1">
      <c r="B3" s="22"/>
      <c r="F3" s="380"/>
    </row>
    <row r="4" spans="1:15" ht="20.25" customHeight="1">
      <c r="A4" s="381" t="s">
        <v>2</v>
      </c>
      <c r="B4" s="381"/>
      <c r="C4" s="381"/>
      <c r="D4" s="381"/>
      <c r="E4" s="381"/>
      <c r="F4" s="381"/>
    </row>
    <row r="5" spans="1:15" ht="20.25" customHeight="1">
      <c r="A5" s="382" t="s">
        <v>206</v>
      </c>
      <c r="B5" s="381"/>
      <c r="C5" s="381"/>
      <c r="D5" s="381"/>
      <c r="E5" s="381"/>
      <c r="F5" s="381"/>
    </row>
    <row r="6" spans="1:15" ht="30" customHeight="1" thickBot="1">
      <c r="A6" s="383" t="str">
        <f>Status!A6</f>
        <v>As at 24/05/2024</v>
      </c>
      <c r="B6" s="381"/>
      <c r="C6" s="381"/>
      <c r="D6" s="381"/>
      <c r="E6" s="381"/>
      <c r="F6" s="381"/>
    </row>
    <row r="7" spans="1:15" ht="30.5" thickBot="1">
      <c r="A7" s="358" t="s">
        <v>60</v>
      </c>
      <c r="B7" s="359" t="s">
        <v>61</v>
      </c>
      <c r="C7" s="359" t="s">
        <v>62</v>
      </c>
      <c r="D7" s="359" t="s">
        <v>63</v>
      </c>
      <c r="E7" s="359" t="s">
        <v>64</v>
      </c>
      <c r="F7" s="384" t="s">
        <v>65</v>
      </c>
      <c r="J7" s="1" t="s">
        <v>60</v>
      </c>
      <c r="K7" s="1" t="s">
        <v>61</v>
      </c>
      <c r="L7" s="1" t="s">
        <v>62</v>
      </c>
      <c r="M7" s="1" t="s">
        <v>63</v>
      </c>
      <c r="N7" s="1" t="s">
        <v>64</v>
      </c>
      <c r="O7" s="1" t="s">
        <v>65</v>
      </c>
    </row>
    <row r="8" spans="1:15" ht="18" customHeight="1" thickBot="1">
      <c r="A8" s="237" t="s">
        <v>130</v>
      </c>
      <c r="B8" s="363">
        <f>'YR1997'!B8+'YR1998'!B8+'YR1999'!B8</f>
        <v>8158353</v>
      </c>
      <c r="C8" s="363">
        <f>'YR1997'!C8+'YR1998'!C8+'YR1999'!C8</f>
        <v>8158353</v>
      </c>
      <c r="D8" s="363">
        <f>'YR1997'!D8+'YR1998'!D8+'YR1999'!D8</f>
        <v>0</v>
      </c>
      <c r="E8" s="363">
        <f>'YR1997'!E8+'YR1998'!E8+'YR1999'!E8</f>
        <v>0</v>
      </c>
      <c r="F8" s="385">
        <f>B8-C8-D8-E8</f>
        <v>0</v>
      </c>
      <c r="H8" s="28">
        <f>C8-L8</f>
        <v>0</v>
      </c>
      <c r="I8" s="28">
        <f>D8-M8</f>
        <v>0</v>
      </c>
      <c r="J8" s="1" t="s">
        <v>130</v>
      </c>
      <c r="K8" s="28">
        <v>8158353</v>
      </c>
      <c r="L8" s="28">
        <v>8158353</v>
      </c>
      <c r="M8" s="28">
        <v>0</v>
      </c>
      <c r="N8" s="28">
        <v>0</v>
      </c>
      <c r="O8" s="28">
        <v>0</v>
      </c>
    </row>
    <row r="9" spans="1:15" ht="18" customHeight="1" thickBot="1">
      <c r="A9" s="40" t="s">
        <v>69</v>
      </c>
      <c r="B9" s="363">
        <f>'YR1997'!B9+'YR1998'!B9+'YR1999'!B9</f>
        <v>4768227</v>
      </c>
      <c r="C9" s="363">
        <f>'YR1997'!C9+'YR1998'!C9+'YR1999'!C9</f>
        <v>4753065</v>
      </c>
      <c r="D9" s="363">
        <f>'YR1997'!D9+'YR1998'!D9+'YR1999'!D9</f>
        <v>15162</v>
      </c>
      <c r="E9" s="363">
        <f>'YR1997'!E9+'YR1998'!E9+'YR1999'!E9</f>
        <v>0</v>
      </c>
      <c r="F9" s="386">
        <f>B9-C9-D9-E9</f>
        <v>0</v>
      </c>
      <c r="H9" s="28">
        <f t="shared" ref="H9:I65" si="0">C9-L9</f>
        <v>0</v>
      </c>
      <c r="I9" s="28">
        <f t="shared" si="0"/>
        <v>0</v>
      </c>
      <c r="J9" s="1" t="s">
        <v>69</v>
      </c>
      <c r="K9" s="28">
        <v>4768227</v>
      </c>
      <c r="L9" s="28">
        <v>4753065</v>
      </c>
      <c r="M9" s="28">
        <v>15162</v>
      </c>
      <c r="N9" s="28">
        <v>0</v>
      </c>
      <c r="O9" s="28">
        <v>0</v>
      </c>
    </row>
    <row r="10" spans="1:15" ht="18" customHeight="1" thickBot="1">
      <c r="A10" s="245" t="s">
        <v>70</v>
      </c>
      <c r="B10" s="363">
        <f>'YR1997'!B10+'YR1998'!B10+'YR1999'!B10</f>
        <v>647706</v>
      </c>
      <c r="C10" s="363">
        <v>248500.66999999998</v>
      </c>
      <c r="D10" s="363">
        <v>0</v>
      </c>
      <c r="E10" s="363">
        <v>0</v>
      </c>
      <c r="F10" s="386">
        <f t="shared" ref="F10:F57" si="1">B10-C10-D10-E10</f>
        <v>399205.33</v>
      </c>
      <c r="G10" s="401" t="s">
        <v>207</v>
      </c>
      <c r="H10" s="28">
        <f t="shared" si="0"/>
        <v>0</v>
      </c>
      <c r="I10" s="28">
        <f t="shared" si="0"/>
        <v>0</v>
      </c>
      <c r="J10" s="1" t="s">
        <v>70</v>
      </c>
      <c r="K10" s="28">
        <v>647706</v>
      </c>
      <c r="L10" s="402">
        <v>248500.66999999998</v>
      </c>
      <c r="M10" s="28">
        <v>0</v>
      </c>
      <c r="N10" s="28">
        <v>0</v>
      </c>
      <c r="O10" s="28">
        <v>399205.33</v>
      </c>
    </row>
    <row r="11" spans="1:15" ht="18" customHeight="1" thickBot="1">
      <c r="A11" s="40" t="s">
        <v>71</v>
      </c>
      <c r="B11" s="363">
        <f>'YR1997'!B11+'YR1998'!B11+'YR1999'!B11</f>
        <v>1612377</v>
      </c>
      <c r="C11" s="363">
        <f>'YR1997'!C11+'YR1998'!C11+'YR1999'!C11</f>
        <v>0</v>
      </c>
      <c r="D11" s="363">
        <f>'YR1997'!D11+'YR1998'!D11+'YR1999'!D11</f>
        <v>0</v>
      </c>
      <c r="E11" s="363">
        <f>'YR1997'!E11+'YR1998'!E11+'YR1999'!E11</f>
        <v>0</v>
      </c>
      <c r="F11" s="386">
        <f t="shared" si="1"/>
        <v>1612377</v>
      </c>
      <c r="H11" s="28">
        <f t="shared" si="0"/>
        <v>0</v>
      </c>
      <c r="I11" s="28">
        <f t="shared" si="0"/>
        <v>0</v>
      </c>
      <c r="J11" s="1" t="s">
        <v>71</v>
      </c>
      <c r="K11" s="28">
        <v>1612377</v>
      </c>
      <c r="L11" s="28">
        <v>0</v>
      </c>
      <c r="M11" s="28">
        <v>0</v>
      </c>
      <c r="N11" s="28">
        <v>0</v>
      </c>
      <c r="O11" s="28">
        <v>1612377</v>
      </c>
    </row>
    <row r="12" spans="1:15" ht="18" customHeight="1" thickBot="1">
      <c r="A12" s="40" t="s">
        <v>72</v>
      </c>
      <c r="B12" s="363">
        <f>'YR1997'!B12+'YR1998'!B12+'YR1999'!B12</f>
        <v>5553744</v>
      </c>
      <c r="C12" s="363">
        <f>'YR1997'!C12+'YR1998'!C12+'YR1999'!C12+108480</f>
        <v>5553744</v>
      </c>
      <c r="D12" s="363">
        <f>'YR1997'!D12+'YR1998'!D12+'YR1999'!D12-108480</f>
        <v>0</v>
      </c>
      <c r="E12" s="363">
        <f>'YR1997'!E12+'YR1998'!E12+'YR1999'!E12</f>
        <v>0</v>
      </c>
      <c r="F12" s="386">
        <f t="shared" si="1"/>
        <v>0</v>
      </c>
      <c r="H12" s="28">
        <f t="shared" si="0"/>
        <v>0</v>
      </c>
      <c r="I12" s="28">
        <f t="shared" si="0"/>
        <v>0</v>
      </c>
      <c r="J12" s="1" t="s">
        <v>208</v>
      </c>
      <c r="K12" s="28">
        <v>5553744</v>
      </c>
      <c r="L12" s="28">
        <v>5553744</v>
      </c>
      <c r="M12" s="28">
        <v>0</v>
      </c>
      <c r="N12" s="28">
        <v>0</v>
      </c>
      <c r="O12" s="28">
        <v>0</v>
      </c>
    </row>
    <row r="13" spans="1:15" ht="18" customHeight="1" thickBot="1">
      <c r="A13" s="40" t="s">
        <v>215</v>
      </c>
      <c r="B13" s="363">
        <f>'YR1997'!B13+'YR1998'!B13+'YR1999'!B13</f>
        <v>0</v>
      </c>
      <c r="C13" s="363">
        <f>'YR1997'!C13+'YR1998'!C13+'YR1999'!C13</f>
        <v>0</v>
      </c>
      <c r="D13" s="363">
        <f>'YR1997'!D13+'YR1998'!D13+'YR1999'!D13</f>
        <v>0</v>
      </c>
      <c r="E13" s="363">
        <f>'YR1997'!E13+'YR1998'!E13+'YR1999'!E13</f>
        <v>0</v>
      </c>
      <c r="F13" s="386"/>
      <c r="K13" s="28"/>
      <c r="L13" s="28"/>
      <c r="M13" s="28"/>
      <c r="N13" s="28"/>
      <c r="O13" s="28"/>
    </row>
    <row r="14" spans="1:15" ht="18" customHeight="1" thickBot="1">
      <c r="A14" s="40" t="s">
        <v>73</v>
      </c>
      <c r="B14" s="363">
        <f>'YR1997'!B14+'YR1998'!B14+'YR1999'!B14</f>
        <v>68000</v>
      </c>
      <c r="C14" s="363">
        <f>'YR1997'!C14+'YR1998'!C14+'YR1999'!C14</f>
        <v>68000</v>
      </c>
      <c r="D14" s="363">
        <f>'YR1997'!D14+'YR1998'!D14+'YR1999'!D14</f>
        <v>0</v>
      </c>
      <c r="E14" s="363">
        <f>'YR1997'!E14+'YR1998'!E14+'YR1999'!E14</f>
        <v>0</v>
      </c>
      <c r="F14" s="386">
        <f t="shared" si="1"/>
        <v>0</v>
      </c>
      <c r="H14" s="28">
        <f t="shared" si="0"/>
        <v>0</v>
      </c>
      <c r="I14" s="28">
        <f t="shared" si="0"/>
        <v>0</v>
      </c>
      <c r="J14" s="1" t="s">
        <v>73</v>
      </c>
      <c r="K14" s="28">
        <v>68000</v>
      </c>
      <c r="L14" s="28">
        <v>68000</v>
      </c>
      <c r="M14" s="28">
        <v>0</v>
      </c>
      <c r="N14" s="28">
        <v>0</v>
      </c>
      <c r="O14" s="28">
        <v>0</v>
      </c>
    </row>
    <row r="15" spans="1:15" ht="18" customHeight="1" thickBot="1">
      <c r="A15" s="40" t="s">
        <v>131</v>
      </c>
      <c r="B15" s="363">
        <f>'YR1997'!B15+'YR1998'!B15+'YR1999'!B15</f>
        <v>17102223</v>
      </c>
      <c r="C15" s="363">
        <f>'YR1997'!C15+'YR1998'!C15+'YR1999'!C15</f>
        <v>15062418</v>
      </c>
      <c r="D15" s="363">
        <f>'YR1997'!D15+'YR1998'!D15+'YR1999'!D15</f>
        <v>2039805</v>
      </c>
      <c r="E15" s="363">
        <f>'YR1997'!E15+'YR1998'!E15+'YR1999'!E15</f>
        <v>0</v>
      </c>
      <c r="F15" s="386">
        <f t="shared" si="1"/>
        <v>0</v>
      </c>
      <c r="H15" s="28">
        <f t="shared" si="0"/>
        <v>0.3899999987334013</v>
      </c>
      <c r="I15" s="28">
        <f t="shared" si="0"/>
        <v>0</v>
      </c>
      <c r="J15" s="1" t="s">
        <v>131</v>
      </c>
      <c r="K15" s="28">
        <v>17102223</v>
      </c>
      <c r="L15" s="28">
        <v>15062417.610000001</v>
      </c>
      <c r="M15" s="28">
        <v>2039805</v>
      </c>
      <c r="N15" s="28">
        <v>0</v>
      </c>
      <c r="O15" s="28">
        <v>0.3899999987334013</v>
      </c>
    </row>
    <row r="16" spans="1:15" ht="18" customHeight="1" thickBot="1">
      <c r="A16" s="40" t="s">
        <v>76</v>
      </c>
      <c r="B16" s="363">
        <f>'YR1997'!B16+'YR1998'!B16+'YR1999'!B16</f>
        <v>0</v>
      </c>
      <c r="C16" s="363">
        <f>'YR1997'!C16+'YR1998'!C16+'YR1999'!C16</f>
        <v>0</v>
      </c>
      <c r="D16" s="363">
        <f>'YR1997'!D16+'YR1998'!D16+'YR1999'!D16</f>
        <v>0</v>
      </c>
      <c r="E16" s="363">
        <f>'YR1997'!E16+'YR1998'!E16+'YR1999'!E16</f>
        <v>0</v>
      </c>
      <c r="F16" s="386">
        <f t="shared" si="1"/>
        <v>0</v>
      </c>
      <c r="K16" s="28"/>
      <c r="L16" s="28"/>
      <c r="M16" s="28"/>
      <c r="N16" s="28"/>
      <c r="O16" s="28"/>
    </row>
    <row r="17" spans="1:15" ht="18" customHeight="1" thickBot="1">
      <c r="A17" s="40" t="s">
        <v>77</v>
      </c>
      <c r="B17" s="363">
        <f>'YR1997'!B17+'YR1998'!B17+'YR1999'!B17</f>
        <v>1332440</v>
      </c>
      <c r="C17" s="363">
        <f>'YR1997'!C17+'YR1998'!C17+'YR1999'!C17</f>
        <v>1332440</v>
      </c>
      <c r="D17" s="363">
        <f>'YR1997'!D17+'YR1998'!D17+'YR1999'!D17</f>
        <v>0</v>
      </c>
      <c r="E17" s="363">
        <f>'YR1997'!E17+'YR1998'!E17+'YR1999'!E17</f>
        <v>0</v>
      </c>
      <c r="F17" s="386">
        <f t="shared" si="1"/>
        <v>0</v>
      </c>
      <c r="H17" s="28">
        <f t="shared" si="0"/>
        <v>0</v>
      </c>
      <c r="I17" s="28">
        <f t="shared" si="0"/>
        <v>0</v>
      </c>
      <c r="J17" s="1" t="s">
        <v>77</v>
      </c>
      <c r="K17" s="28">
        <v>1332440</v>
      </c>
      <c r="L17" s="28">
        <v>1332440</v>
      </c>
      <c r="M17" s="28">
        <v>0</v>
      </c>
      <c r="N17" s="28">
        <v>0</v>
      </c>
      <c r="O17" s="28">
        <v>0</v>
      </c>
    </row>
    <row r="18" spans="1:15" ht="18" customHeight="1" thickBot="1">
      <c r="A18" s="40" t="s">
        <v>78</v>
      </c>
      <c r="B18" s="363">
        <f>'YR1997'!B18+'YR1998'!B18+'YR1999'!B18</f>
        <v>3955149</v>
      </c>
      <c r="C18" s="363">
        <f>'YR1997'!C18+'YR1998'!C18+'YR1999'!C18</f>
        <v>3955149</v>
      </c>
      <c r="D18" s="363">
        <f>'YR1997'!D18+'YR1998'!D18+'YR1999'!D18</f>
        <v>0</v>
      </c>
      <c r="E18" s="363">
        <f>'YR1997'!E18+'YR1998'!E18+'YR1999'!E18</f>
        <v>0</v>
      </c>
      <c r="F18" s="386">
        <f t="shared" si="1"/>
        <v>0</v>
      </c>
      <c r="H18" s="28">
        <f t="shared" si="0"/>
        <v>0</v>
      </c>
      <c r="I18" s="28">
        <f t="shared" si="0"/>
        <v>0</v>
      </c>
      <c r="J18" s="1" t="s">
        <v>78</v>
      </c>
      <c r="K18" s="28">
        <v>3955149</v>
      </c>
      <c r="L18" s="28">
        <v>3955149</v>
      </c>
      <c r="M18" s="28">
        <v>0</v>
      </c>
      <c r="N18" s="28">
        <v>0</v>
      </c>
      <c r="O18" s="28">
        <v>0</v>
      </c>
    </row>
    <row r="19" spans="1:15" ht="18" customHeight="1" thickBot="1">
      <c r="A19" s="40" t="s">
        <v>79</v>
      </c>
      <c r="B19" s="363">
        <f>'YR1997'!B19+'YR1998'!B19+'YR1999'!B19</f>
        <v>0</v>
      </c>
      <c r="C19" s="363">
        <f>'YR1997'!C19+'YR1998'!C19+'YR1999'!C19</f>
        <v>0</v>
      </c>
      <c r="D19" s="363">
        <f>'YR1997'!D19+'YR1998'!D19+'YR1999'!D19</f>
        <v>0</v>
      </c>
      <c r="E19" s="363">
        <f>'YR1997'!E19+'YR1998'!E19+'YR1999'!E19</f>
        <v>0</v>
      </c>
      <c r="F19" s="386">
        <f t="shared" si="1"/>
        <v>0</v>
      </c>
      <c r="H19" s="28">
        <f t="shared" si="0"/>
        <v>0</v>
      </c>
      <c r="I19" s="28">
        <f t="shared" si="0"/>
        <v>0</v>
      </c>
      <c r="J19" s="1" t="s">
        <v>79</v>
      </c>
      <c r="K19" s="28">
        <v>0</v>
      </c>
      <c r="L19" s="28">
        <v>0</v>
      </c>
      <c r="M19" s="28">
        <v>0</v>
      </c>
      <c r="N19" s="28">
        <v>0</v>
      </c>
      <c r="O19" s="28">
        <v>0</v>
      </c>
    </row>
    <row r="20" spans="1:15" ht="18" customHeight="1" thickBot="1">
      <c r="A20" s="40" t="s">
        <v>80</v>
      </c>
      <c r="B20" s="363">
        <f>'YR1997'!B20+'YR1998'!B20+'YR1999'!B20</f>
        <v>3403908</v>
      </c>
      <c r="C20" s="363">
        <f>'YR1997'!C20+'YR1998'!C20+'YR1999'!C20+103927+52712</f>
        <v>3185045</v>
      </c>
      <c r="D20" s="363">
        <f>'YR1997'!D20+'YR1998'!D20+'YR1999'!D20-52712</f>
        <v>218863</v>
      </c>
      <c r="E20" s="363">
        <f>'YR1997'!E20+'YR1998'!E20+'YR1999'!E20</f>
        <v>0</v>
      </c>
      <c r="F20" s="386">
        <f t="shared" si="1"/>
        <v>0</v>
      </c>
      <c r="G20" s="401" t="s">
        <v>209</v>
      </c>
      <c r="H20" s="28">
        <f t="shared" si="0"/>
        <v>76855</v>
      </c>
      <c r="I20" s="28">
        <f t="shared" si="0"/>
        <v>-76855</v>
      </c>
      <c r="J20" s="1" t="s">
        <v>80</v>
      </c>
      <c r="K20" s="28">
        <v>3403908</v>
      </c>
      <c r="L20" s="28">
        <v>3108190</v>
      </c>
      <c r="M20" s="28">
        <v>295718</v>
      </c>
      <c r="N20" s="28">
        <v>0</v>
      </c>
      <c r="O20" s="28">
        <v>0</v>
      </c>
    </row>
    <row r="21" spans="1:15" ht="18" customHeight="1" thickBot="1">
      <c r="A21" s="40" t="s">
        <v>81</v>
      </c>
      <c r="B21" s="363">
        <f>'YR1997'!B21+'YR1998'!B21+'YR1999'!B21</f>
        <v>35320710</v>
      </c>
      <c r="C21" s="363">
        <f>2874845.7+20572620+718898.31+1847409.25-269965+4318435+103155+196214+1696+200961+87847+300531+27982</f>
        <v>30980629.259999998</v>
      </c>
      <c r="D21" s="363">
        <f>5258467-103155-196214-1696-200961-87847-300531-27982</f>
        <v>4340081</v>
      </c>
      <c r="E21" s="363">
        <v>0</v>
      </c>
      <c r="F21" s="386">
        <f t="shared" si="1"/>
        <v>-0.25999999791383743</v>
      </c>
      <c r="G21" s="401" t="s">
        <v>210</v>
      </c>
      <c r="H21" s="28">
        <f t="shared" si="0"/>
        <v>328513</v>
      </c>
      <c r="I21" s="28">
        <f t="shared" si="0"/>
        <v>-328513</v>
      </c>
      <c r="J21" s="1" t="s">
        <v>81</v>
      </c>
      <c r="K21" s="28">
        <v>35320710</v>
      </c>
      <c r="L21" s="28">
        <v>30652116.259999998</v>
      </c>
      <c r="M21" s="28">
        <v>4668594</v>
      </c>
      <c r="N21" s="28">
        <v>0</v>
      </c>
      <c r="O21" s="28">
        <v>-0.25999999791383743</v>
      </c>
    </row>
    <row r="22" spans="1:15" ht="18" customHeight="1" thickBot="1">
      <c r="A22" s="40" t="s">
        <v>216</v>
      </c>
      <c r="B22" s="363">
        <f>'YR1997'!B22+'YR1998'!B22+'YR1999'!B22</f>
        <v>0</v>
      </c>
      <c r="C22" s="363">
        <f>'YR1997'!C22+'YR1998'!C22+'YR1999'!C22</f>
        <v>0</v>
      </c>
      <c r="D22" s="363">
        <f>'YR1997'!D22+'YR1998'!D22+'YR1999'!D22</f>
        <v>0</v>
      </c>
      <c r="E22" s="363">
        <f>'YR1997'!E22+'YR1998'!E22+'YR1999'!E22</f>
        <v>0</v>
      </c>
      <c r="F22" s="386">
        <f t="shared" ref="F22" si="2">B22-C22-D22-E22</f>
        <v>0</v>
      </c>
      <c r="G22" s="401"/>
      <c r="K22" s="28"/>
      <c r="L22" s="28"/>
      <c r="M22" s="28"/>
      <c r="N22" s="28"/>
      <c r="O22" s="28"/>
    </row>
    <row r="23" spans="1:15" ht="18" customHeight="1" thickBot="1">
      <c r="A23" s="40" t="s">
        <v>82</v>
      </c>
      <c r="B23" s="363">
        <f>'YR1997'!B23+'YR1998'!B23+'YR1999'!B23</f>
        <v>49845885</v>
      </c>
      <c r="C23" s="363">
        <f>'YR1997'!C23+'YR1998'!C23+'YR1999'!C23+2215374</f>
        <v>39979888</v>
      </c>
      <c r="D23" s="363">
        <f>'YR1997'!D23+'YR1998'!D23+'YR1999'!D23</f>
        <v>9865997</v>
      </c>
      <c r="E23" s="363">
        <f>'YR1997'!E23+'YR1998'!E23+'YR1999'!E23-2215374</f>
        <v>0</v>
      </c>
      <c r="F23" s="386">
        <f t="shared" si="1"/>
        <v>0</v>
      </c>
      <c r="G23" s="401" t="s">
        <v>210</v>
      </c>
      <c r="H23" s="28">
        <f t="shared" si="0"/>
        <v>103180</v>
      </c>
      <c r="I23" s="28">
        <f t="shared" si="0"/>
        <v>-103180</v>
      </c>
      <c r="J23" s="1" t="s">
        <v>82</v>
      </c>
      <c r="K23" s="28">
        <v>49845885</v>
      </c>
      <c r="L23" s="28">
        <v>39876708</v>
      </c>
      <c r="M23" s="28">
        <v>9969177</v>
      </c>
      <c r="N23" s="28">
        <v>0</v>
      </c>
      <c r="O23" s="28">
        <v>0</v>
      </c>
    </row>
    <row r="24" spans="1:15" ht="18" customHeight="1" thickBot="1">
      <c r="A24" s="40" t="s">
        <v>83</v>
      </c>
      <c r="B24" s="363">
        <f>'YR1997'!B24+'YR1998'!B24+'YR1999'!B24</f>
        <v>2094711</v>
      </c>
      <c r="C24" s="363">
        <f>'YR1997'!C24+'YR1998'!C24+'YR1999'!C24</f>
        <v>2094711</v>
      </c>
      <c r="D24" s="363">
        <f>'YR1997'!D24+'YR1998'!D24+'YR1999'!D24</f>
        <v>0</v>
      </c>
      <c r="E24" s="363">
        <f>'YR1997'!E24+'YR1998'!E24+'YR1999'!E24</f>
        <v>0</v>
      </c>
      <c r="F24" s="386">
        <f t="shared" si="1"/>
        <v>0</v>
      </c>
      <c r="H24" s="28">
        <f t="shared" si="0"/>
        <v>0.23999999999068677</v>
      </c>
      <c r="I24" s="28">
        <f t="shared" si="0"/>
        <v>0</v>
      </c>
      <c r="J24" s="1" t="s">
        <v>83</v>
      </c>
      <c r="K24" s="28">
        <v>2094711</v>
      </c>
      <c r="L24" s="28">
        <v>2094710.76</v>
      </c>
      <c r="M24" s="28">
        <v>0</v>
      </c>
      <c r="N24" s="28">
        <v>0</v>
      </c>
      <c r="O24" s="28">
        <v>0.23999999999068677</v>
      </c>
    </row>
    <row r="25" spans="1:15" ht="18" customHeight="1" thickBot="1">
      <c r="A25" s="40" t="s">
        <v>85</v>
      </c>
      <c r="B25" s="363">
        <f>'YR1997'!B25+'YR1998'!B25+'YR1999'!B25</f>
        <v>771735</v>
      </c>
      <c r="C25" s="363">
        <f>'YR1997'!C25+'YR1998'!C25+'YR1999'!C25</f>
        <v>771735</v>
      </c>
      <c r="D25" s="363">
        <f>'YR1997'!D25+'YR1998'!D25+'YR1999'!D25</f>
        <v>0</v>
      </c>
      <c r="E25" s="363">
        <f>'YR1997'!E25+'YR1998'!E25+'YR1999'!E25</f>
        <v>0</v>
      </c>
      <c r="F25" s="386">
        <f t="shared" si="1"/>
        <v>0</v>
      </c>
      <c r="H25" s="28">
        <f t="shared" si="0"/>
        <v>0</v>
      </c>
      <c r="I25" s="28">
        <f t="shared" si="0"/>
        <v>0</v>
      </c>
      <c r="J25" s="1" t="s">
        <v>85</v>
      </c>
      <c r="K25" s="28">
        <v>771735</v>
      </c>
      <c r="L25" s="28">
        <v>771735</v>
      </c>
      <c r="M25" s="28">
        <v>0</v>
      </c>
      <c r="N25" s="28">
        <v>0</v>
      </c>
      <c r="O25" s="28">
        <v>0</v>
      </c>
    </row>
    <row r="26" spans="1:15" ht="18" customHeight="1" thickBot="1">
      <c r="A26" s="40" t="s">
        <v>86</v>
      </c>
      <c r="B26" s="363">
        <f>'YR1997'!B26+'YR1998'!B26+'YR1999'!B26</f>
        <v>165372</v>
      </c>
      <c r="C26" s="363">
        <f>'YR1997'!C26+'YR1998'!C26+'YR1999'!C26</f>
        <v>165372</v>
      </c>
      <c r="D26" s="363">
        <f>'YR1997'!D26+'YR1998'!D26+'YR1999'!D26</f>
        <v>0</v>
      </c>
      <c r="E26" s="363">
        <f>'YR1997'!E26+'YR1998'!E26+'YR1999'!E26</f>
        <v>0</v>
      </c>
      <c r="F26" s="386">
        <f t="shared" si="1"/>
        <v>0</v>
      </c>
      <c r="H26" s="28">
        <f t="shared" si="0"/>
        <v>0</v>
      </c>
      <c r="I26" s="28">
        <f t="shared" si="0"/>
        <v>0</v>
      </c>
      <c r="J26" s="1" t="s">
        <v>86</v>
      </c>
      <c r="K26" s="28">
        <v>165372</v>
      </c>
      <c r="L26" s="28">
        <v>165372</v>
      </c>
      <c r="M26" s="28">
        <v>0</v>
      </c>
      <c r="N26" s="28">
        <v>0</v>
      </c>
      <c r="O26" s="28">
        <v>0</v>
      </c>
    </row>
    <row r="27" spans="1:15" ht="18" customHeight="1" thickBot="1">
      <c r="A27" s="40" t="s">
        <v>87</v>
      </c>
      <c r="B27" s="363">
        <f>'YR1997'!B27+'YR1998'!B27+'YR1999'!B27</f>
        <v>1157604</v>
      </c>
      <c r="C27" s="363">
        <f>'YR1997'!C27+'YR1998'!C27+'YR1999'!C27</f>
        <v>1157604</v>
      </c>
      <c r="D27" s="363">
        <f>'YR1997'!D27+'YR1998'!D27+'YR1999'!D27</f>
        <v>0</v>
      </c>
      <c r="E27" s="363">
        <f>'YR1997'!E27+'YR1998'!E27+'YR1999'!E27</f>
        <v>0</v>
      </c>
      <c r="F27" s="386">
        <f t="shared" si="1"/>
        <v>0</v>
      </c>
      <c r="H27" s="28">
        <f t="shared" si="0"/>
        <v>0</v>
      </c>
      <c r="I27" s="28">
        <f t="shared" si="0"/>
        <v>0</v>
      </c>
      <c r="J27" s="1" t="s">
        <v>87</v>
      </c>
      <c r="K27" s="28">
        <v>1157604</v>
      </c>
      <c r="L27" s="28">
        <v>1157604</v>
      </c>
      <c r="M27" s="28">
        <v>0</v>
      </c>
      <c r="N27" s="28">
        <v>0</v>
      </c>
      <c r="O27" s="28">
        <v>0</v>
      </c>
    </row>
    <row r="28" spans="1:15" ht="18" customHeight="1" thickBot="1">
      <c r="A28" s="40" t="s">
        <v>88</v>
      </c>
      <c r="B28" s="363">
        <f>'YR1997'!B28+'YR1998'!B28+'YR1999'!B28</f>
        <v>1474566</v>
      </c>
      <c r="C28" s="363">
        <f>'YR1997'!C28+'YR1998'!C28+'YR1999'!C28</f>
        <v>1474566</v>
      </c>
      <c r="D28" s="363">
        <f>'YR1997'!D28+'YR1998'!D28+'YR1999'!D28</f>
        <v>0</v>
      </c>
      <c r="E28" s="363">
        <f>'YR1997'!E28+'YR1998'!E28+'YR1999'!E28</f>
        <v>0</v>
      </c>
      <c r="F28" s="386">
        <f t="shared" si="1"/>
        <v>0</v>
      </c>
      <c r="H28" s="28">
        <f t="shared" si="0"/>
        <v>0</v>
      </c>
      <c r="I28" s="28">
        <f t="shared" si="0"/>
        <v>0</v>
      </c>
      <c r="J28" s="1" t="s">
        <v>88</v>
      </c>
      <c r="K28" s="28">
        <v>1474566</v>
      </c>
      <c r="L28" s="28">
        <v>1474566</v>
      </c>
      <c r="M28" s="28">
        <v>0</v>
      </c>
      <c r="N28" s="28">
        <v>0</v>
      </c>
      <c r="O28" s="28">
        <v>0</v>
      </c>
    </row>
    <row r="29" spans="1:15" ht="18" customHeight="1" thickBot="1">
      <c r="A29" s="40" t="s">
        <v>89</v>
      </c>
      <c r="B29" s="363">
        <f>'YR1997'!B29+'YR1998'!B29+'YR1999'!B29</f>
        <v>28650705</v>
      </c>
      <c r="C29" s="363">
        <f>'YR1997'!C29+'YR1998'!C29+'YR1999'!C29</f>
        <v>28650705</v>
      </c>
      <c r="D29" s="363">
        <f>'YR1997'!D29+'YR1998'!D29+'YR1999'!D29</f>
        <v>0</v>
      </c>
      <c r="E29" s="363">
        <f>'YR1997'!E29+'YR1998'!E29+'YR1999'!E29</f>
        <v>0</v>
      </c>
      <c r="F29" s="386">
        <f t="shared" si="1"/>
        <v>0</v>
      </c>
      <c r="H29" s="28">
        <f t="shared" si="0"/>
        <v>0</v>
      </c>
      <c r="I29" s="28">
        <f t="shared" si="0"/>
        <v>0</v>
      </c>
      <c r="J29" s="1" t="s">
        <v>89</v>
      </c>
      <c r="K29" s="28">
        <v>28650705</v>
      </c>
      <c r="L29" s="28">
        <v>28650705</v>
      </c>
      <c r="M29" s="28">
        <v>0</v>
      </c>
      <c r="N29" s="28">
        <v>0</v>
      </c>
      <c r="O29" s="28">
        <v>0</v>
      </c>
    </row>
    <row r="30" spans="1:15" ht="18" customHeight="1" thickBot="1">
      <c r="A30" s="40" t="s">
        <v>90</v>
      </c>
      <c r="B30" s="363">
        <f>'YR1997'!B30+'YR1998'!B30+'YR1999'!B30</f>
        <v>85083909</v>
      </c>
      <c r="C30" s="363">
        <f>'YR1997'!C30+'YR1998'!C30+'YR1999'!C30+34935.8+12615</f>
        <v>82397959.799999997</v>
      </c>
      <c r="D30" s="363">
        <f>'YR1997'!D30+'YR1998'!D30+'YR1999'!D30-34935.8-12615</f>
        <v>2685949.2</v>
      </c>
      <c r="E30" s="363">
        <f>'YR1997'!E30+'YR1998'!E30+'YR1999'!E30</f>
        <v>0</v>
      </c>
      <c r="F30" s="386">
        <f t="shared" si="1"/>
        <v>2.7939677238464355E-9</v>
      </c>
      <c r="G30" s="401" t="s">
        <v>211</v>
      </c>
      <c r="H30" s="28">
        <f t="shared" si="0"/>
        <v>12615</v>
      </c>
      <c r="I30" s="28">
        <f t="shared" si="0"/>
        <v>-12615</v>
      </c>
      <c r="J30" s="1" t="s">
        <v>90</v>
      </c>
      <c r="K30" s="28">
        <v>85083909</v>
      </c>
      <c r="L30" s="28">
        <v>82385344.799999997</v>
      </c>
      <c r="M30" s="28">
        <v>2698564.2</v>
      </c>
      <c r="N30" s="28">
        <v>0</v>
      </c>
      <c r="O30" s="28">
        <v>2.7939677238464355E-9</v>
      </c>
    </row>
    <row r="31" spans="1:15" ht="18" customHeight="1" thickBot="1">
      <c r="A31" s="40" t="s">
        <v>92</v>
      </c>
      <c r="B31" s="363">
        <f>'YR1997'!B31+'YR1998'!B31+'YR1999'!B31</f>
        <v>0</v>
      </c>
      <c r="C31" s="363">
        <f>'YR1997'!C31+'YR1998'!C31+'YR1999'!C31</f>
        <v>0</v>
      </c>
      <c r="D31" s="363">
        <f>'YR1997'!D31+'YR1998'!D31+'YR1999'!D31</f>
        <v>0</v>
      </c>
      <c r="E31" s="363">
        <f>'YR1997'!E31+'YR1998'!E31+'YR1999'!E31</f>
        <v>0</v>
      </c>
      <c r="F31" s="386">
        <f t="shared" si="1"/>
        <v>0</v>
      </c>
      <c r="G31" s="401"/>
      <c r="K31" s="28"/>
      <c r="L31" s="28"/>
      <c r="M31" s="28"/>
      <c r="N31" s="28"/>
      <c r="O31" s="28"/>
    </row>
    <row r="32" spans="1:15" ht="18" customHeight="1" thickBot="1">
      <c r="A32" s="40" t="s">
        <v>93</v>
      </c>
      <c r="B32" s="363">
        <f>'YR1997'!B32+'YR1998'!B32+'YR1999'!B32</f>
        <v>139131</v>
      </c>
      <c r="C32" s="363">
        <f>'YR1997'!C32+'YR1998'!C32+'YR1999'!C32</f>
        <v>139131</v>
      </c>
      <c r="D32" s="363">
        <f>'YR1997'!D32+'YR1998'!D32+'YR1999'!D32</f>
        <v>0</v>
      </c>
      <c r="E32" s="363">
        <f>'YR1997'!E32+'YR1998'!E32+'YR1999'!E32</f>
        <v>0</v>
      </c>
      <c r="F32" s="386">
        <f t="shared" si="1"/>
        <v>0</v>
      </c>
      <c r="H32" s="28">
        <f t="shared" si="0"/>
        <v>0</v>
      </c>
      <c r="I32" s="28">
        <f t="shared" si="0"/>
        <v>0</v>
      </c>
      <c r="J32" s="1" t="s">
        <v>93</v>
      </c>
      <c r="K32" s="28">
        <v>139131</v>
      </c>
      <c r="L32" s="28">
        <v>139131</v>
      </c>
      <c r="M32" s="28">
        <v>0</v>
      </c>
      <c r="N32" s="28">
        <v>0</v>
      </c>
      <c r="O32" s="28">
        <v>0</v>
      </c>
    </row>
    <row r="33" spans="1:15" ht="18" customHeight="1" thickBot="1">
      <c r="A33" s="40" t="s">
        <v>94</v>
      </c>
      <c r="B33" s="363">
        <f>'YR1997'!B33+'YR1998'!B33+'YR1999'!B33</f>
        <v>55125</v>
      </c>
      <c r="C33" s="363">
        <f>'YR1997'!C33+'YR1998'!C33+'YR1999'!C33</f>
        <v>55125</v>
      </c>
      <c r="D33" s="363">
        <f>'YR1997'!D33+'YR1998'!D33+'YR1999'!D33</f>
        <v>0</v>
      </c>
      <c r="E33" s="363">
        <f>'YR1997'!E33+'YR1998'!E33+'YR1999'!E33</f>
        <v>0</v>
      </c>
      <c r="F33" s="386">
        <f t="shared" si="1"/>
        <v>0</v>
      </c>
      <c r="H33" s="28">
        <f t="shared" si="0"/>
        <v>0</v>
      </c>
      <c r="I33" s="28">
        <f t="shared" si="0"/>
        <v>0</v>
      </c>
      <c r="J33" s="1" t="s">
        <v>94</v>
      </c>
      <c r="K33" s="28">
        <v>55125</v>
      </c>
      <c r="L33" s="28">
        <v>55125</v>
      </c>
      <c r="M33" s="28">
        <v>0</v>
      </c>
      <c r="N33" s="28">
        <v>0</v>
      </c>
      <c r="O33" s="28">
        <v>0</v>
      </c>
    </row>
    <row r="34" spans="1:15" ht="18" customHeight="1" thickBot="1">
      <c r="A34" s="40" t="s">
        <v>95</v>
      </c>
      <c r="B34" s="363">
        <f>'YR1997'!B34+'YR1998'!B34+'YR1999'!B34</f>
        <v>259310</v>
      </c>
      <c r="C34" s="363">
        <f>'YR1997'!C34+'YR1998'!C34+'YR1999'!C34</f>
        <v>14975</v>
      </c>
      <c r="D34" s="363">
        <f>'YR1997'!D34+'YR1998'!D34+'YR1999'!D34</f>
        <v>0</v>
      </c>
      <c r="E34" s="363">
        <f>'YR1997'!E34+'YR1998'!E34+'YR1999'!E34</f>
        <v>0</v>
      </c>
      <c r="F34" s="386">
        <f t="shared" si="1"/>
        <v>244335</v>
      </c>
      <c r="G34" s="401"/>
      <c r="H34" s="28">
        <f t="shared" si="0"/>
        <v>-244335.00000000003</v>
      </c>
      <c r="I34" s="28">
        <f t="shared" si="0"/>
        <v>0</v>
      </c>
      <c r="J34" s="1" t="s">
        <v>95</v>
      </c>
      <c r="K34" s="28">
        <v>259310</v>
      </c>
      <c r="L34" s="28">
        <v>259310.00000000003</v>
      </c>
      <c r="M34" s="28">
        <v>0</v>
      </c>
      <c r="N34" s="28">
        <v>0</v>
      </c>
      <c r="O34" s="28">
        <v>-2.9103830456733704E-11</v>
      </c>
    </row>
    <row r="35" spans="1:15" ht="18" customHeight="1" thickBot="1">
      <c r="A35" s="40" t="s">
        <v>96</v>
      </c>
      <c r="B35" s="363">
        <f>'YR1997'!B35+'YR1998'!B35+'YR1999'!B35</f>
        <v>385869</v>
      </c>
      <c r="C35" s="363">
        <f>'YR1997'!C35+'YR1998'!C35+'YR1999'!C35</f>
        <v>385869</v>
      </c>
      <c r="D35" s="363">
        <f>'YR1997'!D35+'YR1998'!D35+'YR1999'!D35</f>
        <v>0</v>
      </c>
      <c r="E35" s="363">
        <f>'YR1997'!E35+'YR1998'!E35+'YR1999'!E35</f>
        <v>0</v>
      </c>
      <c r="F35" s="386">
        <f t="shared" si="1"/>
        <v>0</v>
      </c>
      <c r="H35" s="28">
        <f t="shared" si="0"/>
        <v>0</v>
      </c>
      <c r="I35" s="28">
        <f t="shared" si="0"/>
        <v>0</v>
      </c>
      <c r="J35" s="1" t="s">
        <v>96</v>
      </c>
      <c r="K35" s="28">
        <v>385869</v>
      </c>
      <c r="L35" s="28">
        <v>385869</v>
      </c>
      <c r="M35" s="28">
        <v>0</v>
      </c>
      <c r="N35" s="28">
        <v>0</v>
      </c>
      <c r="O35" s="28">
        <v>0</v>
      </c>
    </row>
    <row r="36" spans="1:15" ht="18" customHeight="1" thickBot="1">
      <c r="A36" s="40" t="s">
        <v>97</v>
      </c>
      <c r="B36" s="363">
        <f>'YR1997'!B36+'YR1998'!B36+'YR1999'!B36</f>
        <v>0</v>
      </c>
      <c r="C36" s="363">
        <f>'YR1997'!C36+'YR1998'!C36+'YR1999'!C36</f>
        <v>0</v>
      </c>
      <c r="D36" s="363">
        <f>'YR1997'!D36+'YR1998'!D36+'YR1999'!D36</f>
        <v>0</v>
      </c>
      <c r="E36" s="363">
        <f>'YR1997'!E36+'YR1998'!E36+'YR1999'!E36</f>
        <v>0</v>
      </c>
      <c r="F36" s="386">
        <f t="shared" ref="F36" si="3">B36-C36-D36-E36</f>
        <v>0</v>
      </c>
      <c r="K36" s="28"/>
      <c r="L36" s="28"/>
      <c r="M36" s="28"/>
      <c r="N36" s="28"/>
      <c r="O36" s="28"/>
    </row>
    <row r="37" spans="1:15" ht="18" customHeight="1" thickBot="1">
      <c r="A37" s="40" t="s">
        <v>98</v>
      </c>
      <c r="B37" s="363">
        <f>'YR1997'!B37+'YR1998'!B37+'YR1999'!B37</f>
        <v>55125</v>
      </c>
      <c r="C37" s="367">
        <v>55125</v>
      </c>
      <c r="D37" s="367">
        <v>0</v>
      </c>
      <c r="E37" s="367">
        <v>0</v>
      </c>
      <c r="F37" s="386">
        <f t="shared" si="1"/>
        <v>0</v>
      </c>
      <c r="H37" s="28">
        <f t="shared" si="0"/>
        <v>0</v>
      </c>
      <c r="I37" s="28">
        <f t="shared" si="0"/>
        <v>0</v>
      </c>
      <c r="J37" s="1" t="s">
        <v>98</v>
      </c>
      <c r="K37" s="28">
        <v>55125</v>
      </c>
      <c r="L37" s="28">
        <v>55125</v>
      </c>
      <c r="M37" s="28">
        <v>0</v>
      </c>
      <c r="N37" s="28">
        <v>0</v>
      </c>
      <c r="O37" s="28">
        <v>0</v>
      </c>
    </row>
    <row r="38" spans="1:15" ht="18" customHeight="1" thickBot="1">
      <c r="A38" s="40" t="s">
        <v>99</v>
      </c>
      <c r="B38" s="363">
        <f>'YR1997'!B38+'YR1998'!B38+'YR1999'!B38</f>
        <v>8750937</v>
      </c>
      <c r="C38" s="367">
        <v>8750937</v>
      </c>
      <c r="D38" s="367">
        <v>0</v>
      </c>
      <c r="E38" s="367">
        <v>0</v>
      </c>
      <c r="F38" s="386">
        <f t="shared" si="1"/>
        <v>0</v>
      </c>
      <c r="H38" s="28">
        <f t="shared" si="0"/>
        <v>0</v>
      </c>
      <c r="I38" s="28">
        <f t="shared" si="0"/>
        <v>0</v>
      </c>
      <c r="J38" s="1" t="s">
        <v>99</v>
      </c>
      <c r="K38" s="28">
        <v>8750937</v>
      </c>
      <c r="L38" s="28">
        <v>8750937</v>
      </c>
      <c r="M38" s="28">
        <v>0</v>
      </c>
      <c r="N38" s="28">
        <v>0</v>
      </c>
      <c r="O38" s="28">
        <v>0</v>
      </c>
    </row>
    <row r="39" spans="1:15" ht="18" customHeight="1" thickBot="1">
      <c r="A39" s="40" t="s">
        <v>100</v>
      </c>
      <c r="B39" s="363">
        <f>'YR1997'!B39+'YR1998'!B39+'YR1999'!B39</f>
        <v>1322976</v>
      </c>
      <c r="C39" s="367">
        <v>1322975.6000000001</v>
      </c>
      <c r="D39" s="367">
        <v>0</v>
      </c>
      <c r="E39" s="367">
        <v>0</v>
      </c>
      <c r="F39" s="386">
        <f t="shared" si="1"/>
        <v>0.39999999990686774</v>
      </c>
      <c r="H39" s="28">
        <f t="shared" si="0"/>
        <v>0</v>
      </c>
      <c r="I39" s="28">
        <f t="shared" si="0"/>
        <v>0</v>
      </c>
      <c r="J39" s="1" t="s">
        <v>100</v>
      </c>
      <c r="K39" s="28">
        <v>1322976</v>
      </c>
      <c r="L39" s="28">
        <v>1322975.6000000001</v>
      </c>
      <c r="M39" s="28">
        <v>0</v>
      </c>
      <c r="N39" s="28">
        <v>0</v>
      </c>
      <c r="O39" s="28">
        <v>0.39999999990686774</v>
      </c>
    </row>
    <row r="40" spans="1:15" ht="18" customHeight="1" thickBot="1">
      <c r="A40" s="40" t="s">
        <v>101</v>
      </c>
      <c r="B40" s="363">
        <f>'YR1997'!B40+'YR1998'!B40+'YR1999'!B40</f>
        <v>3086946</v>
      </c>
      <c r="C40" s="367">
        <v>3086946</v>
      </c>
      <c r="D40" s="367">
        <v>0</v>
      </c>
      <c r="E40" s="367">
        <v>0</v>
      </c>
      <c r="F40" s="386">
        <f t="shared" si="1"/>
        <v>0</v>
      </c>
      <c r="H40" s="28">
        <f t="shared" si="0"/>
        <v>0</v>
      </c>
      <c r="I40" s="28">
        <f t="shared" si="0"/>
        <v>0</v>
      </c>
      <c r="J40" s="1" t="s">
        <v>101</v>
      </c>
      <c r="K40" s="28">
        <v>3086946</v>
      </c>
      <c r="L40" s="28">
        <v>3086946</v>
      </c>
      <c r="M40" s="28">
        <v>0</v>
      </c>
      <c r="N40" s="28">
        <v>0</v>
      </c>
      <c r="O40" s="28">
        <v>0</v>
      </c>
    </row>
    <row r="41" spans="1:15" ht="18" customHeight="1" thickBot="1">
      <c r="A41" s="40" t="s">
        <v>102</v>
      </c>
      <c r="B41" s="363">
        <f>'YR1997'!B41+'YR1998'!B41+'YR1999'!B41</f>
        <v>0</v>
      </c>
      <c r="C41" s="363">
        <f>'YR1997'!C41+'YR1998'!C41+'YR1999'!C41</f>
        <v>0</v>
      </c>
      <c r="D41" s="363">
        <f>'YR1997'!D41+'YR1998'!D41+'YR1999'!D41</f>
        <v>0</v>
      </c>
      <c r="E41" s="363">
        <f>'YR1997'!E41+'YR1998'!E41+'YR1999'!E41</f>
        <v>0</v>
      </c>
      <c r="F41" s="386">
        <f t="shared" si="1"/>
        <v>0</v>
      </c>
      <c r="K41" s="28"/>
      <c r="L41" s="28"/>
      <c r="M41" s="28"/>
      <c r="N41" s="28"/>
      <c r="O41" s="28"/>
    </row>
    <row r="42" spans="1:15" ht="18" customHeight="1" thickBot="1">
      <c r="A42" s="40" t="s">
        <v>103</v>
      </c>
      <c r="B42" s="363">
        <f>'YR1997'!B42+'YR1998'!B42+'YR1999'!B42</f>
        <v>1860435</v>
      </c>
      <c r="C42" s="367">
        <v>1860435</v>
      </c>
      <c r="D42" s="367">
        <v>0</v>
      </c>
      <c r="E42" s="367">
        <v>0</v>
      </c>
      <c r="F42" s="386">
        <f t="shared" si="1"/>
        <v>0</v>
      </c>
      <c r="H42" s="28">
        <f t="shared" si="0"/>
        <v>0</v>
      </c>
      <c r="I42" s="28">
        <f t="shared" si="0"/>
        <v>0</v>
      </c>
      <c r="J42" s="1" t="s">
        <v>103</v>
      </c>
      <c r="K42" s="28">
        <v>1860435</v>
      </c>
      <c r="L42" s="28">
        <v>1860435</v>
      </c>
      <c r="M42" s="28">
        <v>0</v>
      </c>
      <c r="N42" s="28">
        <v>0</v>
      </c>
      <c r="O42" s="28">
        <v>0</v>
      </c>
    </row>
    <row r="43" spans="1:15" ht="18" customHeight="1" thickBot="1">
      <c r="A43" s="40" t="s">
        <v>104</v>
      </c>
      <c r="B43" s="363">
        <f>'YR1997'!B43+'YR1998'!B43+'YR1999'!B43</f>
        <v>1515909</v>
      </c>
      <c r="C43" s="367">
        <v>1515909</v>
      </c>
      <c r="D43" s="367">
        <v>0</v>
      </c>
      <c r="E43" s="367">
        <v>0</v>
      </c>
      <c r="F43" s="386">
        <f t="shared" si="1"/>
        <v>0</v>
      </c>
      <c r="H43" s="28">
        <f t="shared" si="0"/>
        <v>0</v>
      </c>
      <c r="I43" s="28">
        <f t="shared" si="0"/>
        <v>0</v>
      </c>
      <c r="J43" s="1" t="s">
        <v>104</v>
      </c>
      <c r="K43" s="28">
        <v>1515909</v>
      </c>
      <c r="L43" s="28">
        <v>1515909</v>
      </c>
      <c r="M43" s="28">
        <v>0</v>
      </c>
      <c r="N43" s="28">
        <v>0</v>
      </c>
      <c r="O43" s="28">
        <v>0</v>
      </c>
    </row>
    <row r="44" spans="1:15" ht="18" customHeight="1" thickBot="1">
      <c r="A44" s="40" t="s">
        <v>106</v>
      </c>
      <c r="B44" s="363">
        <f>'YR1997'!B44+'YR1998'!B44+'YR1999'!B44</f>
        <v>24530184</v>
      </c>
      <c r="C44" s="367">
        <v>0</v>
      </c>
      <c r="D44" s="367">
        <v>0</v>
      </c>
      <c r="E44" s="367">
        <v>0</v>
      </c>
      <c r="F44" s="386">
        <f t="shared" si="1"/>
        <v>24530184</v>
      </c>
      <c r="H44" s="28">
        <f t="shared" si="0"/>
        <v>0</v>
      </c>
      <c r="I44" s="28">
        <f t="shared" si="0"/>
        <v>0</v>
      </c>
      <c r="J44" s="1" t="s">
        <v>106</v>
      </c>
      <c r="K44" s="28">
        <v>24530184</v>
      </c>
      <c r="L44" s="28">
        <v>0</v>
      </c>
      <c r="M44" s="28">
        <v>0</v>
      </c>
      <c r="N44" s="28">
        <v>0</v>
      </c>
      <c r="O44" s="28">
        <v>24530184</v>
      </c>
    </row>
    <row r="45" spans="1:15" ht="18" customHeight="1" thickBot="1">
      <c r="A45" s="40" t="s">
        <v>108</v>
      </c>
      <c r="B45" s="363">
        <f>'YR1997'!B45+'YR1998'!B45+'YR1999'!B45</f>
        <v>0</v>
      </c>
      <c r="C45" s="363">
        <f>'YR1997'!C45+'YR1998'!C45+'YR1999'!C45</f>
        <v>0</v>
      </c>
      <c r="D45" s="363">
        <f>'YR1997'!D45+'YR1998'!D45+'YR1999'!D45</f>
        <v>0</v>
      </c>
      <c r="E45" s="363">
        <f>'YR1997'!E45+'YR1998'!E45+'YR1999'!E45</f>
        <v>0</v>
      </c>
      <c r="F45" s="386">
        <f t="shared" ref="F45" si="4">B45-C45-D45-E45</f>
        <v>0</v>
      </c>
      <c r="K45" s="28"/>
      <c r="L45" s="28"/>
      <c r="M45" s="28"/>
      <c r="N45" s="28"/>
      <c r="O45" s="28"/>
    </row>
    <row r="46" spans="1:15" ht="18" customHeight="1" thickBot="1">
      <c r="A46" s="30" t="s">
        <v>109</v>
      </c>
      <c r="B46" s="363">
        <v>454773</v>
      </c>
      <c r="C46" s="367">
        <v>454773</v>
      </c>
      <c r="D46" s="367">
        <v>0</v>
      </c>
      <c r="E46" s="367">
        <v>0</v>
      </c>
      <c r="F46" s="386">
        <f t="shared" si="1"/>
        <v>0</v>
      </c>
      <c r="H46" s="28">
        <f t="shared" si="0"/>
        <v>0</v>
      </c>
      <c r="I46" s="28">
        <f t="shared" si="0"/>
        <v>0</v>
      </c>
      <c r="J46" s="1" t="s">
        <v>109</v>
      </c>
      <c r="K46" s="28">
        <v>454773</v>
      </c>
      <c r="L46" s="28">
        <v>454773</v>
      </c>
      <c r="M46" s="28">
        <v>0</v>
      </c>
      <c r="N46" s="28">
        <v>0</v>
      </c>
      <c r="O46" s="28">
        <v>0</v>
      </c>
    </row>
    <row r="47" spans="1:15" ht="18" customHeight="1" thickBot="1">
      <c r="A47" s="40" t="s">
        <v>110</v>
      </c>
      <c r="B47" s="363">
        <f>'YR1997'!B47+'YR1998'!B47+'YR1999'!B47</f>
        <v>0</v>
      </c>
      <c r="C47" s="363">
        <f>'YR1997'!C47+'YR1998'!C47+'YR1999'!C47</f>
        <v>0</v>
      </c>
      <c r="D47" s="363">
        <f>'YR1997'!D47+'YR1998'!D47+'YR1999'!D47</f>
        <v>0</v>
      </c>
      <c r="E47" s="363">
        <f>'YR1997'!E47+'YR1998'!E47+'YR1999'!E47</f>
        <v>0</v>
      </c>
      <c r="F47" s="386">
        <f t="shared" si="1"/>
        <v>0</v>
      </c>
      <c r="H47" s="28">
        <f t="shared" si="0"/>
        <v>0</v>
      </c>
      <c r="I47" s="28">
        <f t="shared" si="0"/>
        <v>0</v>
      </c>
      <c r="J47" s="1" t="s">
        <v>110</v>
      </c>
      <c r="K47" s="28">
        <v>0</v>
      </c>
      <c r="L47" s="28">
        <v>0</v>
      </c>
      <c r="M47" s="28">
        <v>0</v>
      </c>
      <c r="N47" s="28">
        <v>0</v>
      </c>
      <c r="O47" s="28">
        <v>0</v>
      </c>
    </row>
    <row r="48" spans="1:15" ht="18" customHeight="1" thickBot="1">
      <c r="A48" s="40" t="s">
        <v>111</v>
      </c>
      <c r="B48" s="363">
        <f>'YR1997'!B48+'YR1998'!B48+'YR1999'!B48</f>
        <v>592583</v>
      </c>
      <c r="C48" s="367">
        <v>592583</v>
      </c>
      <c r="D48" s="367">
        <v>0</v>
      </c>
      <c r="E48" s="367">
        <v>0</v>
      </c>
      <c r="F48" s="386">
        <f t="shared" si="1"/>
        <v>0</v>
      </c>
      <c r="H48" s="28">
        <f t="shared" si="0"/>
        <v>0</v>
      </c>
      <c r="I48" s="28">
        <f t="shared" si="0"/>
        <v>0</v>
      </c>
      <c r="J48" s="1" t="s">
        <v>111</v>
      </c>
      <c r="K48" s="28">
        <v>592583</v>
      </c>
      <c r="L48" s="28">
        <v>592583</v>
      </c>
      <c r="M48" s="28">
        <v>0</v>
      </c>
      <c r="N48" s="28">
        <v>0</v>
      </c>
      <c r="O48" s="28">
        <v>0</v>
      </c>
    </row>
    <row r="49" spans="1:15" ht="18" customHeight="1" thickBot="1">
      <c r="A49" s="40" t="s">
        <v>112</v>
      </c>
      <c r="B49" s="363">
        <f>'YR1997'!B49+'YR1998'!B49+'YR1999'!B49</f>
        <v>13023048</v>
      </c>
      <c r="C49" s="367">
        <v>13023048</v>
      </c>
      <c r="D49" s="367">
        <v>0</v>
      </c>
      <c r="E49" s="367">
        <v>0</v>
      </c>
      <c r="F49" s="386">
        <f t="shared" si="1"/>
        <v>0</v>
      </c>
      <c r="H49" s="28">
        <f t="shared" si="0"/>
        <v>0</v>
      </c>
      <c r="I49" s="28">
        <f t="shared" si="0"/>
        <v>0</v>
      </c>
      <c r="J49" s="1" t="s">
        <v>112</v>
      </c>
      <c r="K49" s="28">
        <v>13023048</v>
      </c>
      <c r="L49" s="28">
        <v>13023048</v>
      </c>
      <c r="M49" s="28">
        <v>0</v>
      </c>
      <c r="N49" s="28">
        <v>0</v>
      </c>
      <c r="O49" s="28">
        <v>0</v>
      </c>
    </row>
    <row r="50" spans="1:15" ht="18" customHeight="1" thickBot="1">
      <c r="A50" s="40" t="s">
        <v>113</v>
      </c>
      <c r="B50" s="363">
        <f>'YR1997'!B50+'YR1998'!B50+'YR1999'!B50</f>
        <v>6766473</v>
      </c>
      <c r="C50" s="367">
        <v>6335623</v>
      </c>
      <c r="D50" s="367">
        <v>430850</v>
      </c>
      <c r="E50" s="367">
        <v>0</v>
      </c>
      <c r="F50" s="386">
        <f t="shared" si="1"/>
        <v>0</v>
      </c>
      <c r="H50" s="28">
        <f t="shared" si="0"/>
        <v>0</v>
      </c>
      <c r="I50" s="28">
        <f t="shared" si="0"/>
        <v>0</v>
      </c>
      <c r="J50" s="1" t="s">
        <v>113</v>
      </c>
      <c r="K50" s="28">
        <v>6766473</v>
      </c>
      <c r="L50" s="28">
        <v>6335623</v>
      </c>
      <c r="M50" s="28">
        <v>430850</v>
      </c>
      <c r="N50" s="28">
        <v>0</v>
      </c>
      <c r="O50" s="28">
        <v>0</v>
      </c>
    </row>
    <row r="51" spans="1:15" ht="18" customHeight="1" thickBot="1">
      <c r="A51" s="40" t="s">
        <v>114</v>
      </c>
      <c r="B51" s="363">
        <f>'YR1997'!B51+'YR1998'!B51+'YR1999'!B51</f>
        <v>6670005</v>
      </c>
      <c r="C51" s="367">
        <v>6636105</v>
      </c>
      <c r="D51" s="367">
        <v>33900</v>
      </c>
      <c r="E51" s="367">
        <v>0</v>
      </c>
      <c r="F51" s="386">
        <f t="shared" si="1"/>
        <v>0</v>
      </c>
      <c r="H51" s="28">
        <f t="shared" si="0"/>
        <v>0</v>
      </c>
      <c r="I51" s="28">
        <f t="shared" si="0"/>
        <v>0</v>
      </c>
      <c r="J51" s="1" t="s">
        <v>114</v>
      </c>
      <c r="K51" s="28">
        <v>6670005</v>
      </c>
      <c r="L51" s="28">
        <v>6636105</v>
      </c>
      <c r="M51" s="28">
        <v>33900</v>
      </c>
      <c r="N51" s="28">
        <v>0</v>
      </c>
      <c r="O51" s="28">
        <v>0</v>
      </c>
    </row>
    <row r="52" spans="1:15" ht="18" customHeight="1" thickBot="1">
      <c r="A52" s="40" t="s">
        <v>115</v>
      </c>
      <c r="B52" s="363">
        <f>'YR1997'!B52+'YR1998'!B52+'YR1999'!B52</f>
        <v>65746</v>
      </c>
      <c r="C52" s="367">
        <f>5333+1500+182+1000+671+9400+11671+11671+1619+1619+1550+1200+1670</f>
        <v>49086</v>
      </c>
      <c r="D52" s="367">
        <v>0</v>
      </c>
      <c r="E52" s="367">
        <v>0</v>
      </c>
      <c r="F52" s="386">
        <f t="shared" si="1"/>
        <v>16660</v>
      </c>
      <c r="H52" s="28">
        <f t="shared" si="0"/>
        <v>2870</v>
      </c>
      <c r="I52" s="28">
        <f t="shared" si="0"/>
        <v>0</v>
      </c>
      <c r="J52" s="1" t="s">
        <v>115</v>
      </c>
      <c r="K52" s="28">
        <v>65746</v>
      </c>
      <c r="L52" s="28">
        <v>46216</v>
      </c>
      <c r="M52" s="28">
        <v>0</v>
      </c>
      <c r="N52" s="28">
        <v>0</v>
      </c>
      <c r="O52" s="28">
        <v>19530</v>
      </c>
    </row>
    <row r="53" spans="1:15" ht="18" customHeight="1" thickBot="1">
      <c r="A53" s="40" t="s">
        <v>187</v>
      </c>
      <c r="B53" s="363">
        <f>'YR1997'!B53+'YR1998'!B53+'YR1999'!B53</f>
        <v>179154</v>
      </c>
      <c r="C53" s="367">
        <v>0</v>
      </c>
      <c r="D53" s="367">
        <v>0</v>
      </c>
      <c r="E53" s="367">
        <v>0</v>
      </c>
      <c r="F53" s="386">
        <f t="shared" si="1"/>
        <v>179154</v>
      </c>
      <c r="H53" s="28">
        <f t="shared" si="0"/>
        <v>0</v>
      </c>
      <c r="I53" s="28">
        <f t="shared" si="0"/>
        <v>0</v>
      </c>
      <c r="J53" s="1" t="s">
        <v>187</v>
      </c>
      <c r="K53" s="28">
        <v>179154</v>
      </c>
      <c r="L53" s="28">
        <v>0</v>
      </c>
      <c r="M53" s="28">
        <v>0</v>
      </c>
      <c r="N53" s="28">
        <v>0</v>
      </c>
      <c r="O53" s="28">
        <v>179154</v>
      </c>
    </row>
    <row r="54" spans="1:15" ht="18" customHeight="1" thickBot="1">
      <c r="A54" s="40" t="s">
        <v>117</v>
      </c>
      <c r="B54" s="363">
        <f>'YR1997'!B54+'YR1998'!B54+'YR1999'!B54</f>
        <v>5555291</v>
      </c>
      <c r="C54" s="367">
        <v>0</v>
      </c>
      <c r="D54" s="367">
        <v>0</v>
      </c>
      <c r="E54" s="367">
        <v>0</v>
      </c>
      <c r="F54" s="386">
        <f t="shared" si="1"/>
        <v>5555291</v>
      </c>
      <c r="H54" s="28">
        <f t="shared" si="0"/>
        <v>0</v>
      </c>
      <c r="I54" s="28">
        <f t="shared" si="0"/>
        <v>0</v>
      </c>
      <c r="J54" s="1" t="s">
        <v>117</v>
      </c>
      <c r="K54" s="28">
        <v>5555291</v>
      </c>
      <c r="L54" s="28">
        <v>0</v>
      </c>
      <c r="M54" s="28">
        <v>0</v>
      </c>
      <c r="N54" s="28">
        <v>0</v>
      </c>
      <c r="O54" s="28">
        <v>5555291</v>
      </c>
    </row>
    <row r="55" spans="1:15" ht="18" customHeight="1" thickBot="1">
      <c r="A55" s="40" t="s">
        <v>118</v>
      </c>
      <c r="B55" s="363">
        <f>'YR1997'!B55+'YR1998'!B55+'YR1999'!B55</f>
        <v>0</v>
      </c>
      <c r="C55" s="363">
        <f>'YR1997'!C55+'YR1998'!C55+'YR1999'!C55</f>
        <v>0</v>
      </c>
      <c r="D55" s="363">
        <f>'YR1997'!D55+'YR1998'!D55+'YR1999'!D55</f>
        <v>0</v>
      </c>
      <c r="E55" s="363">
        <f>'YR1997'!E55+'YR1998'!E55+'YR1999'!E55</f>
        <v>0</v>
      </c>
      <c r="F55" s="386">
        <f t="shared" ref="F55" si="5">B55-C55-D55-E55</f>
        <v>0</v>
      </c>
      <c r="K55" s="28"/>
      <c r="L55" s="28"/>
      <c r="M55" s="28"/>
      <c r="N55" s="28"/>
      <c r="O55" s="28"/>
    </row>
    <row r="56" spans="1:15" ht="18" customHeight="1" thickBot="1">
      <c r="A56" s="40" t="s">
        <v>119</v>
      </c>
      <c r="B56" s="363">
        <f>'YR1997'!B56+'YR1998'!B56+'YR1999'!B56</f>
        <v>29298411</v>
      </c>
      <c r="C56" s="367">
        <f>26043034+2690377</f>
        <v>28733411</v>
      </c>
      <c r="D56" s="367">
        <v>565000</v>
      </c>
      <c r="E56" s="367">
        <v>0</v>
      </c>
      <c r="F56" s="386">
        <f t="shared" si="1"/>
        <v>0</v>
      </c>
      <c r="H56" s="28">
        <f t="shared" si="0"/>
        <v>0</v>
      </c>
      <c r="I56" s="28">
        <f t="shared" si="0"/>
        <v>0</v>
      </c>
      <c r="J56" s="1" t="s">
        <v>119</v>
      </c>
      <c r="K56" s="28">
        <v>29298411</v>
      </c>
      <c r="L56" s="28">
        <v>28733411</v>
      </c>
      <c r="M56" s="28">
        <v>565000</v>
      </c>
      <c r="N56" s="28">
        <v>0</v>
      </c>
      <c r="O56" s="28">
        <v>0</v>
      </c>
    </row>
    <row r="57" spans="1:15" ht="18" customHeight="1" thickBot="1">
      <c r="A57" s="40" t="s">
        <v>120</v>
      </c>
      <c r="B57" s="363">
        <f>'YR1997'!B57+'YR1998'!B57+'YR1999'!B57</f>
        <v>116499999</v>
      </c>
      <c r="C57" s="367">
        <f>113858703+2000000</f>
        <v>115858703</v>
      </c>
      <c r="D57" s="367">
        <v>641296</v>
      </c>
      <c r="E57" s="367">
        <f>2000000-2000000</f>
        <v>0</v>
      </c>
      <c r="F57" s="386">
        <f t="shared" si="1"/>
        <v>0</v>
      </c>
      <c r="H57" s="28">
        <f t="shared" si="0"/>
        <v>0</v>
      </c>
      <c r="I57" s="28">
        <f t="shared" si="0"/>
        <v>0</v>
      </c>
      <c r="J57" s="1" t="s">
        <v>120</v>
      </c>
      <c r="K57" s="28">
        <v>116499999</v>
      </c>
      <c r="L57" s="28">
        <v>115858703</v>
      </c>
      <c r="M57" s="28">
        <v>641296</v>
      </c>
      <c r="N57" s="28">
        <v>0</v>
      </c>
      <c r="O57" s="28">
        <v>0</v>
      </c>
    </row>
    <row r="58" spans="1:15" ht="18" customHeight="1" thickBot="1">
      <c r="A58" s="251" t="s">
        <v>121</v>
      </c>
      <c r="B58" s="363">
        <f>'YR1997'!B58+'YR1998'!B58+'YR1999'!B58</f>
        <v>332255</v>
      </c>
      <c r="C58" s="367">
        <v>105500</v>
      </c>
      <c r="D58" s="367">
        <v>0</v>
      </c>
      <c r="E58" s="367">
        <v>0</v>
      </c>
      <c r="F58" s="386">
        <f>B58-C58-D58-E58</f>
        <v>226755</v>
      </c>
      <c r="H58" s="28">
        <f t="shared" si="0"/>
        <v>0</v>
      </c>
      <c r="I58" s="28">
        <f t="shared" si="0"/>
        <v>0</v>
      </c>
      <c r="J58" s="1" t="s">
        <v>121</v>
      </c>
      <c r="K58" s="28">
        <v>332255</v>
      </c>
      <c r="L58" s="28">
        <v>105500</v>
      </c>
      <c r="M58" s="28">
        <v>0</v>
      </c>
      <c r="N58" s="28">
        <v>0</v>
      </c>
      <c r="O58" s="28">
        <v>226755</v>
      </c>
    </row>
    <row r="59" spans="1:15" ht="20.25" customHeight="1" thickBot="1">
      <c r="A59" s="278" t="s">
        <v>124</v>
      </c>
      <c r="B59" s="50">
        <f>SUM(B8:B58)</f>
        <v>472567009</v>
      </c>
      <c r="C59" s="403">
        <f>SUM(C8:C58)</f>
        <v>418966144.33000004</v>
      </c>
      <c r="D59" s="403">
        <f>SUM(D8:D58)</f>
        <v>20836903.199999999</v>
      </c>
      <c r="E59" s="404">
        <f>SUM(E8:E58)</f>
        <v>0</v>
      </c>
      <c r="F59" s="399">
        <f>SUM(F8:F58)</f>
        <v>32763961.470000006</v>
      </c>
      <c r="H59" s="28">
        <f t="shared" si="0"/>
        <v>279698.62999999523</v>
      </c>
      <c r="I59" s="28">
        <f t="shared" si="0"/>
        <v>-521163</v>
      </c>
      <c r="J59" s="1" t="s">
        <v>124</v>
      </c>
      <c r="K59" s="28">
        <v>472567009</v>
      </c>
      <c r="L59" s="28">
        <v>418686445.70000005</v>
      </c>
      <c r="M59" s="28">
        <v>21358066.199999999</v>
      </c>
      <c r="N59" s="28">
        <v>0</v>
      </c>
      <c r="O59" s="28">
        <v>32522497.100000005</v>
      </c>
    </row>
    <row r="60" spans="1:15">
      <c r="A60" s="387"/>
      <c r="B60" s="289"/>
      <c r="C60" s="289"/>
      <c r="D60" s="289"/>
      <c r="E60" s="289"/>
      <c r="F60" s="289"/>
      <c r="H60" s="28">
        <f t="shared" si="0"/>
        <v>0</v>
      </c>
      <c r="I60" s="28">
        <f t="shared" si="0"/>
        <v>0</v>
      </c>
      <c r="K60" s="28"/>
      <c r="L60" s="28"/>
      <c r="M60" s="28"/>
      <c r="N60" s="28"/>
      <c r="O60" s="28"/>
    </row>
    <row r="61" spans="1:15">
      <c r="A61" s="387" t="s">
        <v>212</v>
      </c>
      <c r="B61" s="289"/>
      <c r="C61" s="289"/>
      <c r="D61" s="289"/>
      <c r="E61" s="289"/>
      <c r="F61" s="289"/>
      <c r="H61" s="28">
        <f t="shared" si="0"/>
        <v>0</v>
      </c>
      <c r="I61" s="28">
        <f t="shared" si="0"/>
        <v>0</v>
      </c>
      <c r="J61" s="1" t="s">
        <v>212</v>
      </c>
      <c r="K61" s="28"/>
      <c r="L61" s="28"/>
      <c r="M61" s="28"/>
      <c r="N61" s="28"/>
      <c r="O61" s="28"/>
    </row>
    <row r="62" spans="1:15">
      <c r="A62" s="387"/>
      <c r="B62" s="289"/>
      <c r="C62" s="289"/>
      <c r="D62" s="289"/>
      <c r="E62" s="289"/>
      <c r="F62" s="289"/>
      <c r="H62" s="28">
        <f t="shared" si="0"/>
        <v>0</v>
      </c>
      <c r="I62" s="28">
        <f t="shared" si="0"/>
        <v>0</v>
      </c>
      <c r="K62" s="28"/>
      <c r="L62" s="28"/>
      <c r="M62" s="28"/>
      <c r="N62" s="28"/>
      <c r="O62" s="28"/>
    </row>
    <row r="63" spans="1:15">
      <c r="A63" s="389"/>
      <c r="H63" s="28">
        <f t="shared" si="0"/>
        <v>0</v>
      </c>
      <c r="I63" s="28">
        <f t="shared" si="0"/>
        <v>0</v>
      </c>
      <c r="K63" s="28"/>
      <c r="L63" s="28"/>
      <c r="M63" s="28"/>
      <c r="N63" s="28"/>
      <c r="O63" s="28"/>
    </row>
    <row r="64" spans="1:15" ht="16" thickBot="1">
      <c r="A64" s="390"/>
      <c r="B64" s="289"/>
      <c r="C64" s="289"/>
      <c r="D64" s="289"/>
      <c r="E64" s="289"/>
      <c r="F64" s="289"/>
      <c r="H64" s="28">
        <f t="shared" si="0"/>
        <v>0</v>
      </c>
      <c r="I64" s="28">
        <f t="shared" si="0"/>
        <v>0</v>
      </c>
      <c r="K64" s="28"/>
      <c r="L64" s="28"/>
      <c r="M64" s="28"/>
      <c r="N64" s="28"/>
      <c r="O64" s="28"/>
    </row>
    <row r="65" spans="1:15" ht="16.5" customHeight="1" thickBot="1">
      <c r="A65" s="391" t="s">
        <v>139</v>
      </c>
      <c r="B65" s="377">
        <f>B10+B11+B14+B17+B19+B25+B32+B34+B42+B44+B46+B47+B52+B53+B54+B58</f>
        <v>37808537</v>
      </c>
      <c r="C65" s="377">
        <f>C10+C11+C14+C17+C19+C25+C32+C34+C42+C44+C46+C47+C52+C53+C54+C58</f>
        <v>5044575.67</v>
      </c>
      <c r="D65" s="377">
        <f>D10+D11+D14+D17+D19+D25+D32+D34+D42+D44+D46+D47+D52+D53+D54+D58</f>
        <v>0</v>
      </c>
      <c r="E65" s="377">
        <f>E10+E11+E14+E17+E19+E25+E32+E34+E42+E44+E46+E47+E52+E53+E54+E58</f>
        <v>0</v>
      </c>
      <c r="F65" s="392">
        <f>B65-C65-D65-E65</f>
        <v>32763961.329999998</v>
      </c>
      <c r="G65" s="365"/>
      <c r="H65" s="28">
        <f t="shared" si="0"/>
        <v>-241465</v>
      </c>
      <c r="I65" s="28">
        <f t="shared" si="0"/>
        <v>0</v>
      </c>
      <c r="J65" s="1" t="s">
        <v>139</v>
      </c>
      <c r="K65" s="28">
        <v>37808537</v>
      </c>
      <c r="L65" s="28">
        <v>5286040.67</v>
      </c>
      <c r="M65" s="28">
        <v>0</v>
      </c>
      <c r="N65" s="28">
        <v>0</v>
      </c>
      <c r="O65" s="28">
        <v>32522496.329999998</v>
      </c>
    </row>
    <row r="66" spans="1:15">
      <c r="A66" s="289"/>
      <c r="B66" s="289"/>
      <c r="C66" s="289"/>
      <c r="D66" s="289"/>
      <c r="E66" s="289"/>
      <c r="F66" s="289"/>
      <c r="K66" s="28"/>
      <c r="L66" s="28"/>
      <c r="M66" s="28"/>
      <c r="N66" s="28"/>
      <c r="O66" s="28"/>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ECD10-22A4-4A04-BF27-B6085EF21B76}">
  <dimension ref="A1:F64"/>
  <sheetViews>
    <sheetView workbookViewId="0">
      <selection activeCell="F3" sqref="F3"/>
    </sheetView>
  </sheetViews>
  <sheetFormatPr defaultColWidth="9.7265625" defaultRowHeight="15.5"/>
  <cols>
    <col min="1" max="1" width="22.26953125" style="1" customWidth="1"/>
    <col min="2" max="2" width="17.26953125" style="1" customWidth="1"/>
    <col min="3" max="3" width="16.26953125" style="1" customWidth="1"/>
    <col min="4" max="4" width="13.7265625" style="1" customWidth="1"/>
    <col min="5" max="5" width="16.7265625" style="1" customWidth="1"/>
    <col min="6" max="6" width="16.26953125" style="1" customWidth="1"/>
    <col min="7" max="16384" width="9.7265625" style="1"/>
  </cols>
  <sheetData>
    <row r="1" spans="1:6" ht="16.5" customHeight="1">
      <c r="A1" s="389"/>
      <c r="B1" s="355"/>
      <c r="F1" s="380" t="str">
        <f>Status!C1</f>
        <v>UNEP/OzL.Pro/ExCom/94/3</v>
      </c>
    </row>
    <row r="2" spans="1:6" ht="16.5" customHeight="1">
      <c r="A2" s="389"/>
      <c r="B2" s="22"/>
      <c r="F2" s="380" t="s">
        <v>244</v>
      </c>
    </row>
    <row r="3" spans="1:6" ht="16.5" customHeight="1">
      <c r="B3" s="22"/>
      <c r="F3" s="380"/>
    </row>
    <row r="4" spans="1:6" ht="20.25" customHeight="1">
      <c r="A4" s="381" t="s">
        <v>2</v>
      </c>
      <c r="B4" s="381"/>
      <c r="C4" s="381"/>
      <c r="D4" s="381"/>
      <c r="E4" s="381"/>
      <c r="F4" s="381"/>
    </row>
    <row r="5" spans="1:6" ht="20.25" customHeight="1">
      <c r="A5" s="382" t="s">
        <v>214</v>
      </c>
      <c r="B5" s="381"/>
      <c r="C5" s="381"/>
      <c r="D5" s="381"/>
      <c r="E5" s="381"/>
      <c r="F5" s="381"/>
    </row>
    <row r="6" spans="1:6" ht="30" customHeight="1" thickBot="1">
      <c r="A6" s="383" t="str">
        <f>Status!A6</f>
        <v>As at 24/05/2024</v>
      </c>
      <c r="B6" s="381"/>
      <c r="C6" s="381"/>
      <c r="D6" s="381"/>
      <c r="E6" s="381"/>
      <c r="F6" s="381"/>
    </row>
    <row r="7" spans="1:6" ht="30.5" thickBot="1">
      <c r="A7" s="405" t="s">
        <v>60</v>
      </c>
      <c r="B7" s="359" t="s">
        <v>61</v>
      </c>
      <c r="C7" s="359" t="s">
        <v>62</v>
      </c>
      <c r="D7" s="359" t="s">
        <v>63</v>
      </c>
      <c r="E7" s="359" t="s">
        <v>64</v>
      </c>
      <c r="F7" s="384" t="s">
        <v>65</v>
      </c>
    </row>
    <row r="8" spans="1:6" ht="18" customHeight="1">
      <c r="A8" s="406" t="s">
        <v>130</v>
      </c>
      <c r="B8" s="363">
        <v>2719451</v>
      </c>
      <c r="C8" s="363">
        <v>2719451</v>
      </c>
      <c r="D8" s="363">
        <v>0</v>
      </c>
      <c r="E8" s="363">
        <v>0</v>
      </c>
      <c r="F8" s="385">
        <f>B8-C8-D8-E8</f>
        <v>0</v>
      </c>
    </row>
    <row r="9" spans="1:6" ht="18" customHeight="1">
      <c r="A9" s="407" t="s">
        <v>69</v>
      </c>
      <c r="B9" s="367">
        <v>1589409</v>
      </c>
      <c r="C9" s="367">
        <v>1574247</v>
      </c>
      <c r="D9" s="367">
        <v>15162</v>
      </c>
      <c r="E9" s="367">
        <v>0</v>
      </c>
      <c r="F9" s="386">
        <f t="shared" ref="F9:F58" si="0">B9-C9-D9-E9</f>
        <v>0</v>
      </c>
    </row>
    <row r="10" spans="1:6" ht="18" customHeight="1">
      <c r="A10" s="408" t="s">
        <v>70</v>
      </c>
      <c r="B10" s="367">
        <v>215902</v>
      </c>
      <c r="C10" s="367">
        <v>0</v>
      </c>
      <c r="D10" s="367">
        <v>0</v>
      </c>
      <c r="E10" s="367">
        <v>0</v>
      </c>
      <c r="F10" s="386">
        <f t="shared" si="0"/>
        <v>215902</v>
      </c>
    </row>
    <row r="11" spans="1:6" ht="18" customHeight="1">
      <c r="A11" s="407" t="s">
        <v>71</v>
      </c>
      <c r="B11" s="367">
        <v>537459</v>
      </c>
      <c r="C11" s="367">
        <v>0</v>
      </c>
      <c r="D11" s="367">
        <v>0</v>
      </c>
      <c r="E11" s="367">
        <v>0</v>
      </c>
      <c r="F11" s="386">
        <f t="shared" si="0"/>
        <v>537459</v>
      </c>
    </row>
    <row r="12" spans="1:6" ht="18" customHeight="1">
      <c r="A12" s="407" t="s">
        <v>72</v>
      </c>
      <c r="B12" s="367">
        <v>1851248</v>
      </c>
      <c r="C12" s="367">
        <v>1742768</v>
      </c>
      <c r="D12" s="367">
        <v>108480</v>
      </c>
      <c r="E12" s="367">
        <v>0</v>
      </c>
      <c r="F12" s="386">
        <f t="shared" si="0"/>
        <v>0</v>
      </c>
    </row>
    <row r="13" spans="1:6" ht="18" customHeight="1">
      <c r="A13" s="407" t="s">
        <v>215</v>
      </c>
      <c r="B13" s="367">
        <v>0</v>
      </c>
      <c r="C13" s="367">
        <v>0</v>
      </c>
      <c r="D13" s="367">
        <v>0</v>
      </c>
      <c r="E13" s="367">
        <v>0</v>
      </c>
      <c r="F13" s="386">
        <f t="shared" si="0"/>
        <v>0</v>
      </c>
    </row>
    <row r="14" spans="1:6" ht="18" customHeight="1">
      <c r="A14" s="407" t="s">
        <v>73</v>
      </c>
      <c r="B14" s="367">
        <v>0</v>
      </c>
      <c r="C14" s="367">
        <v>0</v>
      </c>
      <c r="D14" s="367">
        <v>0</v>
      </c>
      <c r="E14" s="367">
        <v>0</v>
      </c>
      <c r="F14" s="386">
        <f t="shared" si="0"/>
        <v>0</v>
      </c>
    </row>
    <row r="15" spans="1:6" ht="18" customHeight="1">
      <c r="A15" s="407" t="s">
        <v>131</v>
      </c>
      <c r="B15" s="367">
        <v>5700741</v>
      </c>
      <c r="C15" s="367">
        <v>5070281</v>
      </c>
      <c r="D15" s="367">
        <v>630460</v>
      </c>
      <c r="E15" s="367">
        <v>0</v>
      </c>
      <c r="F15" s="386">
        <f t="shared" si="0"/>
        <v>0</v>
      </c>
    </row>
    <row r="16" spans="1:6" ht="18" customHeight="1">
      <c r="A16" s="407" t="s">
        <v>76</v>
      </c>
      <c r="B16" s="367">
        <v>0</v>
      </c>
      <c r="C16" s="367">
        <v>0</v>
      </c>
      <c r="D16" s="367">
        <v>0</v>
      </c>
      <c r="E16" s="367">
        <v>0</v>
      </c>
      <c r="F16" s="386">
        <f t="shared" si="0"/>
        <v>0</v>
      </c>
    </row>
    <row r="17" spans="1:6" ht="18" customHeight="1">
      <c r="A17" s="407" t="s">
        <v>77</v>
      </c>
      <c r="B17" s="367">
        <v>477741</v>
      </c>
      <c r="C17" s="367">
        <v>477741</v>
      </c>
      <c r="D17" s="367">
        <v>0</v>
      </c>
      <c r="E17" s="367">
        <v>0</v>
      </c>
      <c r="F17" s="386">
        <f t="shared" si="0"/>
        <v>0</v>
      </c>
    </row>
    <row r="18" spans="1:6" ht="18" customHeight="1">
      <c r="A18" s="407" t="s">
        <v>78</v>
      </c>
      <c r="B18" s="367">
        <v>1318383</v>
      </c>
      <c r="C18" s="367">
        <v>1318383</v>
      </c>
      <c r="D18" s="367">
        <v>0</v>
      </c>
      <c r="E18" s="367">
        <v>0</v>
      </c>
      <c r="F18" s="386">
        <f t="shared" si="0"/>
        <v>0</v>
      </c>
    </row>
    <row r="19" spans="1:6" ht="18" customHeight="1">
      <c r="A19" s="407" t="s">
        <v>79</v>
      </c>
      <c r="B19" s="367">
        <v>0</v>
      </c>
      <c r="C19" s="367">
        <v>0</v>
      </c>
      <c r="D19" s="367">
        <v>0</v>
      </c>
      <c r="E19" s="367">
        <v>0</v>
      </c>
      <c r="F19" s="386">
        <f t="shared" si="0"/>
        <v>0</v>
      </c>
    </row>
    <row r="20" spans="1:6" ht="18" customHeight="1">
      <c r="A20" s="407" t="s">
        <v>80</v>
      </c>
      <c r="B20" s="367">
        <v>1134636</v>
      </c>
      <c r="C20" s="367">
        <v>907709</v>
      </c>
      <c r="D20" s="367">
        <v>123000</v>
      </c>
      <c r="E20" s="367">
        <v>0</v>
      </c>
      <c r="F20" s="386">
        <f t="shared" si="0"/>
        <v>103927</v>
      </c>
    </row>
    <row r="21" spans="1:6" ht="18" customHeight="1">
      <c r="A21" s="407" t="s">
        <v>81</v>
      </c>
      <c r="B21" s="367">
        <v>11773570</v>
      </c>
      <c r="C21" s="367">
        <v>0</v>
      </c>
      <c r="D21" s="367">
        <v>2859581</v>
      </c>
      <c r="E21" s="367">
        <v>8843366</v>
      </c>
      <c r="F21" s="386">
        <f t="shared" si="0"/>
        <v>70623</v>
      </c>
    </row>
    <row r="22" spans="1:6" ht="18" customHeight="1">
      <c r="A22" s="407" t="s">
        <v>216</v>
      </c>
      <c r="B22" s="367">
        <v>0</v>
      </c>
      <c r="C22" s="367">
        <v>0</v>
      </c>
      <c r="D22" s="367">
        <v>0</v>
      </c>
      <c r="E22" s="367">
        <v>0</v>
      </c>
      <c r="F22" s="386">
        <f t="shared" si="0"/>
        <v>0</v>
      </c>
    </row>
    <row r="23" spans="1:6" ht="18" customHeight="1">
      <c r="A23" s="407" t="s">
        <v>82</v>
      </c>
      <c r="B23" s="367">
        <v>16615295</v>
      </c>
      <c r="C23" s="367">
        <f>8033014-101614</f>
        <v>7931400</v>
      </c>
      <c r="D23" s="367">
        <f>6366907+101614</f>
        <v>6468521</v>
      </c>
      <c r="E23" s="367">
        <v>2215374</v>
      </c>
      <c r="F23" s="386">
        <f t="shared" si="0"/>
        <v>0</v>
      </c>
    </row>
    <row r="24" spans="1:6" ht="18" customHeight="1">
      <c r="A24" s="407" t="s">
        <v>83</v>
      </c>
      <c r="B24" s="367">
        <v>698237</v>
      </c>
      <c r="C24" s="367">
        <v>698237</v>
      </c>
      <c r="D24" s="367">
        <v>0</v>
      </c>
      <c r="E24" s="367">
        <v>0</v>
      </c>
      <c r="F24" s="386">
        <f t="shared" si="0"/>
        <v>0</v>
      </c>
    </row>
    <row r="25" spans="1:6" ht="18" customHeight="1">
      <c r="A25" s="407" t="s">
        <v>85</v>
      </c>
      <c r="B25" s="367">
        <v>257245</v>
      </c>
      <c r="C25" s="367">
        <v>257245</v>
      </c>
      <c r="D25" s="367">
        <v>0</v>
      </c>
      <c r="E25" s="367">
        <v>0</v>
      </c>
      <c r="F25" s="386">
        <f t="shared" si="0"/>
        <v>0</v>
      </c>
    </row>
    <row r="26" spans="1:6" ht="18" customHeight="1">
      <c r="A26" s="407" t="s">
        <v>86</v>
      </c>
      <c r="B26" s="367">
        <v>55124</v>
      </c>
      <c r="C26" s="367">
        <v>55124</v>
      </c>
      <c r="D26" s="367">
        <v>0</v>
      </c>
      <c r="E26" s="367">
        <v>0</v>
      </c>
      <c r="F26" s="386">
        <f t="shared" si="0"/>
        <v>0</v>
      </c>
    </row>
    <row r="27" spans="1:6" ht="18" customHeight="1">
      <c r="A27" s="407" t="s">
        <v>87</v>
      </c>
      <c r="B27" s="367">
        <v>385868</v>
      </c>
      <c r="C27" s="367">
        <v>385868</v>
      </c>
      <c r="D27" s="367">
        <v>0</v>
      </c>
      <c r="E27" s="367">
        <v>0</v>
      </c>
      <c r="F27" s="386">
        <f t="shared" si="0"/>
        <v>0</v>
      </c>
    </row>
    <row r="28" spans="1:6" ht="18" customHeight="1">
      <c r="A28" s="407" t="s">
        <v>88</v>
      </c>
      <c r="B28" s="367">
        <v>491522</v>
      </c>
      <c r="C28" s="367">
        <v>491522</v>
      </c>
      <c r="D28" s="367">
        <v>0</v>
      </c>
      <c r="E28" s="367">
        <v>0</v>
      </c>
      <c r="F28" s="386">
        <f t="shared" si="0"/>
        <v>0</v>
      </c>
    </row>
    <row r="29" spans="1:6" ht="18" customHeight="1">
      <c r="A29" s="407" t="s">
        <v>89</v>
      </c>
      <c r="B29" s="367">
        <v>9550235</v>
      </c>
      <c r="C29" s="367">
        <v>9550235</v>
      </c>
      <c r="D29" s="367">
        <v>0</v>
      </c>
      <c r="E29" s="367">
        <v>0</v>
      </c>
      <c r="F29" s="386">
        <f t="shared" si="0"/>
        <v>0</v>
      </c>
    </row>
    <row r="30" spans="1:6" ht="18" customHeight="1">
      <c r="A30" s="407" t="s">
        <v>90</v>
      </c>
      <c r="B30" s="367">
        <v>28361303</v>
      </c>
      <c r="C30" s="409">
        <v>28361303</v>
      </c>
      <c r="D30" s="410">
        <v>0</v>
      </c>
      <c r="E30" s="410">
        <v>0</v>
      </c>
      <c r="F30" s="386">
        <f t="shared" si="0"/>
        <v>0</v>
      </c>
    </row>
    <row r="31" spans="1:6" ht="18" customHeight="1">
      <c r="A31" s="407" t="s">
        <v>92</v>
      </c>
      <c r="B31" s="367">
        <v>0</v>
      </c>
      <c r="C31" s="367">
        <v>0</v>
      </c>
      <c r="D31" s="367">
        <v>0</v>
      </c>
      <c r="E31" s="367">
        <v>0</v>
      </c>
      <c r="F31" s="386">
        <f t="shared" si="0"/>
        <v>0</v>
      </c>
    </row>
    <row r="32" spans="1:6" ht="18" customHeight="1">
      <c r="A32" s="407" t="s">
        <v>93</v>
      </c>
      <c r="B32" s="367">
        <v>139131</v>
      </c>
      <c r="C32" s="367">
        <v>139131</v>
      </c>
      <c r="D32" s="367">
        <v>0</v>
      </c>
      <c r="E32" s="367">
        <v>0</v>
      </c>
      <c r="F32" s="386">
        <f t="shared" si="0"/>
        <v>0</v>
      </c>
    </row>
    <row r="33" spans="1:6" ht="18" customHeight="1">
      <c r="A33" s="407" t="s">
        <v>94</v>
      </c>
      <c r="B33" s="367">
        <v>18375</v>
      </c>
      <c r="C33" s="367">
        <v>18375</v>
      </c>
      <c r="D33" s="367">
        <v>0</v>
      </c>
      <c r="E33" s="367">
        <v>0</v>
      </c>
      <c r="F33" s="386">
        <f t="shared" si="0"/>
        <v>0</v>
      </c>
    </row>
    <row r="34" spans="1:6" ht="18" customHeight="1">
      <c r="A34" s="407" t="s">
        <v>95</v>
      </c>
      <c r="B34" s="367">
        <v>156185</v>
      </c>
      <c r="C34" s="367">
        <v>0</v>
      </c>
      <c r="D34" s="367">
        <v>0</v>
      </c>
      <c r="E34" s="367">
        <v>0</v>
      </c>
      <c r="F34" s="386">
        <f t="shared" si="0"/>
        <v>156185</v>
      </c>
    </row>
    <row r="35" spans="1:6" ht="18" customHeight="1">
      <c r="A35" s="407" t="s">
        <v>96</v>
      </c>
      <c r="B35" s="367">
        <v>128623</v>
      </c>
      <c r="C35" s="367">
        <v>128623</v>
      </c>
      <c r="D35" s="367">
        <v>0</v>
      </c>
      <c r="E35" s="367">
        <v>0</v>
      </c>
      <c r="F35" s="386">
        <f t="shared" si="0"/>
        <v>0</v>
      </c>
    </row>
    <row r="36" spans="1:6" ht="18" customHeight="1">
      <c r="A36" s="407" t="s">
        <v>97</v>
      </c>
      <c r="B36" s="367">
        <v>0</v>
      </c>
      <c r="C36" s="367">
        <v>0</v>
      </c>
      <c r="D36" s="367">
        <v>0</v>
      </c>
      <c r="E36" s="367">
        <v>0</v>
      </c>
      <c r="F36" s="386">
        <f t="shared" si="0"/>
        <v>0</v>
      </c>
    </row>
    <row r="37" spans="1:6" ht="18" customHeight="1">
      <c r="A37" s="407" t="s">
        <v>98</v>
      </c>
      <c r="B37" s="367">
        <v>18375</v>
      </c>
      <c r="C37" s="367">
        <v>18375</v>
      </c>
      <c r="D37" s="367">
        <v>0</v>
      </c>
      <c r="E37" s="367">
        <v>0</v>
      </c>
      <c r="F37" s="386">
        <f t="shared" si="0"/>
        <v>0</v>
      </c>
    </row>
    <row r="38" spans="1:6" ht="18" customHeight="1">
      <c r="A38" s="407" t="s">
        <v>99</v>
      </c>
      <c r="B38" s="367">
        <v>2916979</v>
      </c>
      <c r="C38" s="367">
        <v>2916979</v>
      </c>
      <c r="D38" s="367">
        <v>0</v>
      </c>
      <c r="E38" s="367">
        <v>0</v>
      </c>
      <c r="F38" s="386">
        <f t="shared" si="0"/>
        <v>0</v>
      </c>
    </row>
    <row r="39" spans="1:6" ht="18" customHeight="1">
      <c r="A39" s="407" t="s">
        <v>100</v>
      </c>
      <c r="B39" s="367">
        <v>440992</v>
      </c>
      <c r="C39" s="367">
        <v>440992</v>
      </c>
      <c r="D39" s="367">
        <v>0</v>
      </c>
      <c r="E39" s="367">
        <v>0</v>
      </c>
      <c r="F39" s="386">
        <f t="shared" si="0"/>
        <v>0</v>
      </c>
    </row>
    <row r="40" spans="1:6" ht="18" customHeight="1">
      <c r="A40" s="407" t="s">
        <v>101</v>
      </c>
      <c r="B40" s="367">
        <v>1028982</v>
      </c>
      <c r="C40" s="367">
        <v>1028982</v>
      </c>
      <c r="D40" s="367">
        <v>0</v>
      </c>
      <c r="E40" s="367">
        <v>0</v>
      </c>
      <c r="F40" s="386">
        <f t="shared" si="0"/>
        <v>0</v>
      </c>
    </row>
    <row r="41" spans="1:6" ht="18" customHeight="1">
      <c r="A41" s="407" t="s">
        <v>102</v>
      </c>
      <c r="B41" s="367">
        <v>0</v>
      </c>
      <c r="C41" s="367">
        <v>0</v>
      </c>
      <c r="D41" s="367">
        <v>0</v>
      </c>
      <c r="E41" s="367">
        <v>0</v>
      </c>
      <c r="F41" s="386">
        <f t="shared" si="0"/>
        <v>0</v>
      </c>
    </row>
    <row r="42" spans="1:6" ht="18" customHeight="1">
      <c r="A42" s="407" t="s">
        <v>103</v>
      </c>
      <c r="B42" s="367">
        <v>620145</v>
      </c>
      <c r="C42" s="367">
        <v>620145</v>
      </c>
      <c r="D42" s="367">
        <v>0</v>
      </c>
      <c r="E42" s="367">
        <v>0</v>
      </c>
      <c r="F42" s="386">
        <f t="shared" si="0"/>
        <v>0</v>
      </c>
    </row>
    <row r="43" spans="1:6" ht="18" customHeight="1">
      <c r="A43" s="407" t="s">
        <v>104</v>
      </c>
      <c r="B43" s="367">
        <v>505303</v>
      </c>
      <c r="C43" s="367">
        <v>505303</v>
      </c>
      <c r="D43" s="367">
        <v>0</v>
      </c>
      <c r="E43" s="367">
        <v>0</v>
      </c>
      <c r="F43" s="386">
        <f t="shared" si="0"/>
        <v>0</v>
      </c>
    </row>
    <row r="44" spans="1:6" ht="18" customHeight="1">
      <c r="A44" s="407" t="s">
        <v>106</v>
      </c>
      <c r="B44" s="367">
        <v>8176728</v>
      </c>
      <c r="C44" s="367">
        <v>0</v>
      </c>
      <c r="D44" s="367">
        <v>0</v>
      </c>
      <c r="E44" s="367">
        <v>0</v>
      </c>
      <c r="F44" s="386">
        <f t="shared" si="0"/>
        <v>8176728</v>
      </c>
    </row>
    <row r="45" spans="1:6" ht="18" customHeight="1">
      <c r="A45" s="407" t="s">
        <v>108</v>
      </c>
      <c r="B45" s="367">
        <v>0</v>
      </c>
      <c r="C45" s="367">
        <v>0</v>
      </c>
      <c r="D45" s="367">
        <v>0</v>
      </c>
      <c r="E45" s="367">
        <v>0</v>
      </c>
      <c r="F45" s="386">
        <f t="shared" si="0"/>
        <v>0</v>
      </c>
    </row>
    <row r="46" spans="1:6" ht="18" customHeight="1">
      <c r="A46" s="411" t="s">
        <v>217</v>
      </c>
      <c r="B46" s="367">
        <v>151591</v>
      </c>
      <c r="C46" s="367">
        <v>151591</v>
      </c>
      <c r="D46" s="367">
        <v>0</v>
      </c>
      <c r="E46" s="367">
        <v>0</v>
      </c>
      <c r="F46" s="386">
        <f t="shared" si="0"/>
        <v>0</v>
      </c>
    </row>
    <row r="47" spans="1:6" ht="18" customHeight="1">
      <c r="A47" s="407" t="s">
        <v>110</v>
      </c>
      <c r="B47" s="367">
        <v>0</v>
      </c>
      <c r="C47" s="367">
        <v>0</v>
      </c>
      <c r="D47" s="367">
        <v>0</v>
      </c>
      <c r="E47" s="367">
        <v>0</v>
      </c>
      <c r="F47" s="386">
        <f t="shared" si="0"/>
        <v>0</v>
      </c>
    </row>
    <row r="48" spans="1:6" ht="18" customHeight="1">
      <c r="A48" s="407" t="s">
        <v>111</v>
      </c>
      <c r="B48" s="367">
        <v>0</v>
      </c>
      <c r="C48" s="367">
        <v>0</v>
      </c>
      <c r="D48" s="367">
        <v>0</v>
      </c>
      <c r="E48" s="367">
        <v>0</v>
      </c>
      <c r="F48" s="386">
        <f t="shared" si="0"/>
        <v>0</v>
      </c>
    </row>
    <row r="49" spans="1:6" ht="18" customHeight="1">
      <c r="A49" s="407" t="s">
        <v>112</v>
      </c>
      <c r="B49" s="367">
        <v>4341016</v>
      </c>
      <c r="C49" s="367">
        <v>4341016</v>
      </c>
      <c r="D49" s="367">
        <v>0</v>
      </c>
      <c r="E49" s="367">
        <v>0</v>
      </c>
      <c r="F49" s="386">
        <f t="shared" si="0"/>
        <v>0</v>
      </c>
    </row>
    <row r="50" spans="1:6" ht="18" customHeight="1">
      <c r="A50" s="407" t="s">
        <v>113</v>
      </c>
      <c r="B50" s="367">
        <v>2255491</v>
      </c>
      <c r="C50" s="367">
        <v>1824641</v>
      </c>
      <c r="D50" s="367">
        <v>430850</v>
      </c>
      <c r="E50" s="367">
        <v>0</v>
      </c>
      <c r="F50" s="386">
        <f t="shared" si="0"/>
        <v>0</v>
      </c>
    </row>
    <row r="51" spans="1:6" ht="18" customHeight="1">
      <c r="A51" s="407" t="s">
        <v>114</v>
      </c>
      <c r="B51" s="367">
        <v>2223335</v>
      </c>
      <c r="C51" s="367">
        <v>2223335</v>
      </c>
      <c r="D51" s="367">
        <v>0</v>
      </c>
      <c r="E51" s="367">
        <v>0</v>
      </c>
      <c r="F51" s="386">
        <f t="shared" si="0"/>
        <v>0</v>
      </c>
    </row>
    <row r="52" spans="1:6" ht="18" customHeight="1">
      <c r="A52" s="407" t="s">
        <v>115</v>
      </c>
      <c r="B52" s="367">
        <v>36749</v>
      </c>
      <c r="C52" s="367">
        <v>0</v>
      </c>
      <c r="D52" s="367">
        <v>0</v>
      </c>
      <c r="E52" s="367">
        <v>0</v>
      </c>
      <c r="F52" s="386">
        <f t="shared" si="0"/>
        <v>36749</v>
      </c>
    </row>
    <row r="53" spans="1:6" ht="18" customHeight="1">
      <c r="A53" s="407" t="s">
        <v>187</v>
      </c>
      <c r="B53" s="367">
        <v>59718</v>
      </c>
      <c r="C53" s="367">
        <v>0</v>
      </c>
      <c r="D53" s="367">
        <v>0</v>
      </c>
      <c r="E53" s="367">
        <v>0</v>
      </c>
      <c r="F53" s="386">
        <f t="shared" si="0"/>
        <v>59718</v>
      </c>
    </row>
    <row r="54" spans="1:6" ht="18" customHeight="1">
      <c r="A54" s="407" t="s">
        <v>117</v>
      </c>
      <c r="B54" s="367">
        <v>2094712</v>
      </c>
      <c r="C54" s="367">
        <v>0</v>
      </c>
      <c r="D54" s="367">
        <v>0</v>
      </c>
      <c r="E54" s="367">
        <v>0</v>
      </c>
      <c r="F54" s="386">
        <f t="shared" si="0"/>
        <v>2094712</v>
      </c>
    </row>
    <row r="55" spans="1:6" ht="18" customHeight="1">
      <c r="A55" s="407" t="s">
        <v>118</v>
      </c>
      <c r="B55" s="367">
        <v>0</v>
      </c>
      <c r="C55" s="367">
        <v>0</v>
      </c>
      <c r="D55" s="367">
        <v>0</v>
      </c>
      <c r="E55" s="367">
        <v>0</v>
      </c>
      <c r="F55" s="386">
        <f t="shared" si="0"/>
        <v>0</v>
      </c>
    </row>
    <row r="56" spans="1:6" ht="18" customHeight="1">
      <c r="A56" s="407" t="s">
        <v>119</v>
      </c>
      <c r="B56" s="367">
        <v>9766137</v>
      </c>
      <c r="C56" s="367">
        <v>1627690</v>
      </c>
      <c r="D56" s="367">
        <v>565000</v>
      </c>
      <c r="E56" s="367">
        <v>7573447</v>
      </c>
      <c r="F56" s="386">
        <f t="shared" si="0"/>
        <v>0</v>
      </c>
    </row>
    <row r="57" spans="1:6" ht="18" customHeight="1">
      <c r="A57" s="407" t="s">
        <v>120</v>
      </c>
      <c r="B57" s="367">
        <v>38833333</v>
      </c>
      <c r="C57" s="367">
        <v>39213037</v>
      </c>
      <c r="D57" s="367">
        <v>-379704</v>
      </c>
      <c r="E57" s="367">
        <v>0</v>
      </c>
      <c r="F57" s="386">
        <f t="shared" si="0"/>
        <v>0</v>
      </c>
    </row>
    <row r="58" spans="1:6" ht="18" customHeight="1" thickBot="1">
      <c r="A58" s="412" t="s">
        <v>121</v>
      </c>
      <c r="B58" s="395">
        <v>252652</v>
      </c>
      <c r="C58" s="395">
        <v>25897</v>
      </c>
      <c r="D58" s="395">
        <v>0</v>
      </c>
      <c r="E58" s="395">
        <v>0</v>
      </c>
      <c r="F58" s="413">
        <f t="shared" si="0"/>
        <v>226755</v>
      </c>
    </row>
    <row r="59" spans="1:6" ht="20.25" customHeight="1" thickBot="1">
      <c r="A59" s="414" t="s">
        <v>124</v>
      </c>
      <c r="B59" s="50">
        <f>SUM(B8:B58)</f>
        <v>157897921</v>
      </c>
      <c r="C59" s="403">
        <f>SUM(C8:C58)</f>
        <v>116765626</v>
      </c>
      <c r="D59" s="403">
        <f>SUM(D8:D58)</f>
        <v>10821350</v>
      </c>
      <c r="E59" s="404">
        <f>SUM(E8:E58)</f>
        <v>18632187</v>
      </c>
      <c r="F59" s="399">
        <f>SUM(F8:F58)</f>
        <v>11678758</v>
      </c>
    </row>
    <row r="60" spans="1:6">
      <c r="A60" s="375"/>
      <c r="B60" s="289"/>
      <c r="C60" s="289"/>
      <c r="D60" s="289"/>
      <c r="E60" s="289"/>
      <c r="F60" s="289"/>
    </row>
    <row r="61" spans="1:6">
      <c r="A61" s="375"/>
      <c r="B61" s="289"/>
      <c r="C61" s="289"/>
      <c r="D61" s="289"/>
      <c r="E61" s="289"/>
      <c r="F61" s="289"/>
    </row>
    <row r="62" spans="1:6">
      <c r="A62" s="289"/>
      <c r="B62" s="289"/>
      <c r="C62" s="289"/>
      <c r="D62" s="289"/>
      <c r="E62" s="289"/>
      <c r="F62" s="289"/>
    </row>
    <row r="63" spans="1:6">
      <c r="A63" s="289"/>
      <c r="B63" s="289"/>
      <c r="C63" s="289"/>
      <c r="D63" s="289"/>
      <c r="E63" s="289"/>
      <c r="F63" s="289"/>
    </row>
    <row r="64" spans="1:6">
      <c r="A64" s="289"/>
      <c r="B64" s="289"/>
      <c r="C64" s="289"/>
      <c r="D64" s="289"/>
      <c r="E64" s="289"/>
      <c r="F64" s="28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F8955-F76F-4EB7-8CBB-4C4797AC9156}">
  <sheetPr>
    <pageSetUpPr fitToPage="1"/>
  </sheetPr>
  <dimension ref="A1:H70"/>
  <sheetViews>
    <sheetView topLeftCell="A43" zoomScale="106" zoomScaleNormal="106" workbookViewId="0">
      <selection activeCell="C69" sqref="C69"/>
    </sheetView>
  </sheetViews>
  <sheetFormatPr defaultRowHeight="14.5"/>
  <cols>
    <col min="1" max="1" width="30.7265625" customWidth="1"/>
    <col min="2" max="6" width="20.7265625" customWidth="1"/>
    <col min="7" max="7" width="13.7265625" bestFit="1" customWidth="1"/>
    <col min="8" max="8" width="14.26953125" style="112" bestFit="1" customWidth="1"/>
    <col min="11" max="11" width="9.81640625" bestFit="1" customWidth="1"/>
  </cols>
  <sheetData>
    <row r="1" spans="1:8" ht="18">
      <c r="A1" s="738" t="str">
        <f>Status!C1</f>
        <v>UNEP/OzL.Pro/ExCom/94/3</v>
      </c>
      <c r="B1" s="738"/>
      <c r="C1" s="62"/>
      <c r="D1" s="62"/>
      <c r="E1" s="62"/>
      <c r="F1" s="62"/>
    </row>
    <row r="2" spans="1:8" ht="18">
      <c r="A2" s="95" t="s">
        <v>0</v>
      </c>
      <c r="B2" s="62"/>
      <c r="C2" s="62"/>
      <c r="D2" s="62"/>
      <c r="E2" s="62"/>
      <c r="F2" s="62"/>
    </row>
    <row r="3" spans="1:8" ht="18">
      <c r="A3" s="23" t="s">
        <v>129</v>
      </c>
      <c r="B3" s="62"/>
      <c r="C3" s="62"/>
      <c r="D3" s="62"/>
      <c r="E3" s="62"/>
      <c r="F3" s="62"/>
    </row>
    <row r="4" spans="1:8" ht="15.5">
      <c r="A4" s="1"/>
      <c r="B4" s="62"/>
      <c r="C4" s="62"/>
      <c r="D4" s="62"/>
      <c r="E4" s="62"/>
      <c r="F4" s="62"/>
    </row>
    <row r="5" spans="1:8" ht="22.5" customHeight="1">
      <c r="A5" s="735" t="s">
        <v>2</v>
      </c>
      <c r="B5" s="735"/>
      <c r="C5" s="735"/>
      <c r="D5" s="735"/>
      <c r="E5" s="735"/>
      <c r="F5" s="735"/>
    </row>
    <row r="6" spans="1:8" ht="15.5">
      <c r="A6" s="729" t="s">
        <v>272</v>
      </c>
      <c r="B6" s="729"/>
      <c r="C6" s="729"/>
      <c r="D6" s="729"/>
      <c r="E6" s="729"/>
      <c r="F6" s="729"/>
    </row>
    <row r="7" spans="1:8" ht="16.5" thickBot="1">
      <c r="A7" s="728" t="str">
        <f>Status!A6</f>
        <v>As at 24/05/2024</v>
      </c>
      <c r="B7" s="728"/>
      <c r="C7" s="728"/>
      <c r="D7" s="728"/>
      <c r="E7" s="728"/>
      <c r="F7" s="728"/>
    </row>
    <row r="8" spans="1:8" ht="30.75" customHeight="1" thickBot="1">
      <c r="A8" s="68" t="s">
        <v>60</v>
      </c>
      <c r="B8" s="69" t="s">
        <v>61</v>
      </c>
      <c r="C8" s="69" t="s">
        <v>62</v>
      </c>
      <c r="D8" s="629" t="s">
        <v>63</v>
      </c>
      <c r="E8" s="668" t="s">
        <v>64</v>
      </c>
      <c r="F8" s="70" t="s">
        <v>65</v>
      </c>
    </row>
    <row r="9" spans="1:8">
      <c r="A9" s="506" t="s">
        <v>67</v>
      </c>
      <c r="B9" s="619">
        <f>'YR2024'!B9</f>
        <v>14842</v>
      </c>
      <c r="C9" s="619">
        <f>'YR2024'!C9</f>
        <v>14842</v>
      </c>
      <c r="D9" s="619">
        <f>'YR2024'!D9</f>
        <v>0</v>
      </c>
      <c r="E9" s="619">
        <f>'YR2024'!E9</f>
        <v>0</v>
      </c>
      <c r="F9" s="665">
        <f>B9-C9-D9-E9</f>
        <v>0</v>
      </c>
      <c r="H9"/>
    </row>
    <row r="10" spans="1:8">
      <c r="A10" s="506" t="s">
        <v>130</v>
      </c>
      <c r="B10" s="503">
        <f>'YR2024'!B10</f>
        <v>6266282</v>
      </c>
      <c r="C10" s="619">
        <f>'YR2024'!C10</f>
        <v>8225550.1679999996</v>
      </c>
      <c r="D10" s="534"/>
      <c r="E10" s="534"/>
      <c r="F10" s="540">
        <f t="shared" ref="F10:F57" si="0">B10-C10-D10-E10</f>
        <v>-1959268.1679999996</v>
      </c>
      <c r="H10"/>
    </row>
    <row r="11" spans="1:8">
      <c r="A11" s="506" t="s">
        <v>69</v>
      </c>
      <c r="B11" s="503">
        <f>'YR2024'!B11</f>
        <v>2015540</v>
      </c>
      <c r="C11" s="619"/>
      <c r="D11" s="669"/>
      <c r="E11" s="522"/>
      <c r="F11" s="515">
        <f t="shared" si="0"/>
        <v>2015540</v>
      </c>
      <c r="H11"/>
    </row>
    <row r="12" spans="1:8">
      <c r="A12" s="506" t="s">
        <v>70</v>
      </c>
      <c r="B12" s="503">
        <f>'YR2024'!B12</f>
        <v>89052</v>
      </c>
      <c r="C12" s="619"/>
      <c r="D12" s="669"/>
      <c r="E12" s="522"/>
      <c r="F12" s="618">
        <f t="shared" si="0"/>
        <v>89052</v>
      </c>
      <c r="H12"/>
    </row>
    <row r="13" spans="1:8">
      <c r="A13" s="506" t="s">
        <v>71</v>
      </c>
      <c r="B13" s="619">
        <f>'YR2024'!B13</f>
        <v>121704</v>
      </c>
      <c r="C13" s="619"/>
      <c r="D13" s="669"/>
      <c r="E13" s="522"/>
      <c r="F13" s="515">
        <f t="shared" si="0"/>
        <v>121704</v>
      </c>
      <c r="H13"/>
    </row>
    <row r="14" spans="1:8">
      <c r="A14" s="506" t="s">
        <v>72</v>
      </c>
      <c r="B14" s="503">
        <f>'YR2024'!B14</f>
        <v>2457831</v>
      </c>
      <c r="C14" s="619">
        <f>'YR2024'!C14</f>
        <v>2457831</v>
      </c>
      <c r="D14" s="534"/>
      <c r="E14" s="534"/>
      <c r="F14" s="665">
        <f t="shared" si="0"/>
        <v>0</v>
      </c>
      <c r="H14"/>
    </row>
    <row r="15" spans="1:8">
      <c r="A15" s="506" t="s">
        <v>73</v>
      </c>
      <c r="B15" s="503">
        <f>'YR2024'!B15</f>
        <v>166230</v>
      </c>
      <c r="C15" s="619"/>
      <c r="D15" s="669"/>
      <c r="E15" s="522"/>
      <c r="F15" s="540">
        <f>B15-C15-D15-E15</f>
        <v>166230</v>
      </c>
      <c r="H15"/>
    </row>
    <row r="16" spans="1:8">
      <c r="A16" s="506" t="s">
        <v>131</v>
      </c>
      <c r="B16" s="503">
        <f>'YR2024'!B16</f>
        <v>7800942</v>
      </c>
      <c r="C16" s="619"/>
      <c r="D16" s="669"/>
      <c r="E16" s="522"/>
      <c r="F16" s="674">
        <f t="shared" si="0"/>
        <v>7800942</v>
      </c>
      <c r="H16"/>
    </row>
    <row r="17" spans="1:8">
      <c r="A17" s="506" t="s">
        <v>75</v>
      </c>
      <c r="B17" s="619">
        <f>'YR2024'!B17</f>
        <v>270124</v>
      </c>
      <c r="C17" s="619"/>
      <c r="D17" s="534"/>
      <c r="E17" s="534"/>
      <c r="F17" s="618">
        <f t="shared" si="0"/>
        <v>270124</v>
      </c>
      <c r="H17"/>
    </row>
    <row r="18" spans="1:8">
      <c r="A18" s="506" t="s">
        <v>76</v>
      </c>
      <c r="B18" s="503">
        <f>'YR2024'!B18</f>
        <v>106862</v>
      </c>
      <c r="C18" s="619"/>
      <c r="D18" s="534"/>
      <c r="E18" s="534"/>
      <c r="F18" s="540">
        <f t="shared" si="0"/>
        <v>106862</v>
      </c>
      <c r="H18"/>
    </row>
    <row r="19" spans="1:8">
      <c r="A19" s="506" t="s">
        <v>77</v>
      </c>
      <c r="B19" s="503">
        <f>'YR2024'!B19</f>
        <v>1009254</v>
      </c>
      <c r="C19" s="619">
        <f>'YR2024'!C19</f>
        <v>1009254</v>
      </c>
      <c r="D19" s="669"/>
      <c r="E19" s="522"/>
      <c r="F19" s="515">
        <f t="shared" si="0"/>
        <v>0</v>
      </c>
      <c r="H19"/>
    </row>
    <row r="20" spans="1:8">
      <c r="A20" s="506" t="s">
        <v>78</v>
      </c>
      <c r="B20" s="503">
        <f>'YR2024'!B20</f>
        <v>1641522</v>
      </c>
      <c r="C20" s="619"/>
      <c r="D20" s="534"/>
      <c r="E20" s="534"/>
      <c r="F20" s="665">
        <f t="shared" si="0"/>
        <v>1641522</v>
      </c>
      <c r="H20"/>
    </row>
    <row r="21" spans="1:8">
      <c r="A21" s="506" t="s">
        <v>79</v>
      </c>
      <c r="B21" s="619">
        <f>'YR2024'!B21</f>
        <v>130609</v>
      </c>
      <c r="C21" s="619">
        <f>'YR2024'!C21</f>
        <v>130609</v>
      </c>
      <c r="D21" s="669"/>
      <c r="E21" s="522"/>
      <c r="F21" s="540">
        <f t="shared" si="0"/>
        <v>0</v>
      </c>
      <c r="H21"/>
    </row>
    <row r="22" spans="1:8">
      <c r="A22" s="506" t="s">
        <v>80</v>
      </c>
      <c r="B22" s="503">
        <f>'YR2024'!B22</f>
        <v>1237821</v>
      </c>
      <c r="C22" s="619"/>
      <c r="D22" s="669"/>
      <c r="E22" s="522"/>
      <c r="F22" s="515">
        <f t="shared" si="0"/>
        <v>1237821</v>
      </c>
      <c r="H22"/>
    </row>
    <row r="23" spans="1:8">
      <c r="A23" s="506" t="s">
        <v>132</v>
      </c>
      <c r="B23" s="503">
        <f>'YR2024'!B23</f>
        <v>12817530</v>
      </c>
      <c r="C23" s="619"/>
      <c r="D23" s="534"/>
      <c r="E23" s="534"/>
      <c r="F23" s="665">
        <f t="shared" si="0"/>
        <v>12817530</v>
      </c>
      <c r="H23"/>
    </row>
    <row r="24" spans="1:8">
      <c r="A24" s="506" t="s">
        <v>133</v>
      </c>
      <c r="B24" s="503">
        <f>'YR2024'!B24</f>
        <v>18139862</v>
      </c>
      <c r="C24" s="619"/>
      <c r="D24" s="669"/>
      <c r="E24" s="522"/>
      <c r="F24" s="515">
        <f t="shared" si="0"/>
        <v>18139862</v>
      </c>
    </row>
    <row r="25" spans="1:8">
      <c r="A25" s="506" t="s">
        <v>83</v>
      </c>
      <c r="B25" s="619">
        <f>'YR2024'!B25</f>
        <v>964728</v>
      </c>
      <c r="C25" s="619">
        <f>'YR2024'!C25</f>
        <v>964728</v>
      </c>
      <c r="D25" s="669"/>
      <c r="E25" s="522"/>
      <c r="F25" s="515">
        <f t="shared" si="0"/>
        <v>0</v>
      </c>
      <c r="H25"/>
    </row>
    <row r="26" spans="1:8">
      <c r="A26" s="506" t="s">
        <v>84</v>
      </c>
      <c r="B26" s="503">
        <f>'YR2024'!B26</f>
        <v>2968</v>
      </c>
      <c r="C26" s="619">
        <f>'YR2024'!C26</f>
        <v>2968</v>
      </c>
      <c r="D26" s="534"/>
      <c r="E26" s="534"/>
      <c r="F26" s="665">
        <f t="shared" si="0"/>
        <v>0</v>
      </c>
      <c r="H26"/>
    </row>
    <row r="27" spans="1:8">
      <c r="A27" s="506" t="s">
        <v>85</v>
      </c>
      <c r="B27" s="503">
        <f>'YR2024'!B27</f>
        <v>676794</v>
      </c>
      <c r="C27" s="619">
        <f>'YR2024'!C27</f>
        <v>676794</v>
      </c>
      <c r="D27" s="669"/>
      <c r="E27" s="522"/>
      <c r="F27" s="540">
        <f t="shared" si="0"/>
        <v>0</v>
      </c>
      <c r="H27"/>
    </row>
    <row r="28" spans="1:8">
      <c r="A28" s="506" t="s">
        <v>86</v>
      </c>
      <c r="B28" s="503">
        <f>'YR2024'!B28</f>
        <v>106862</v>
      </c>
      <c r="C28" s="619"/>
      <c r="D28" s="669"/>
      <c r="E28" s="522"/>
      <c r="F28" s="515">
        <f t="shared" si="0"/>
        <v>106862</v>
      </c>
      <c r="H28"/>
    </row>
    <row r="29" spans="1:8">
      <c r="A29" s="506" t="s">
        <v>134</v>
      </c>
      <c r="B29" s="619">
        <f>'YR2024'!B29</f>
        <v>1303125</v>
      </c>
      <c r="C29" s="619">
        <f>'YR2024'!C29</f>
        <v>1303125</v>
      </c>
      <c r="D29" s="534"/>
      <c r="E29" s="534"/>
      <c r="F29" s="665">
        <f t="shared" si="0"/>
        <v>0</v>
      </c>
      <c r="H29"/>
    </row>
    <row r="30" spans="1:8">
      <c r="A30" s="506" t="s">
        <v>88</v>
      </c>
      <c r="B30" s="503">
        <f>'YR2024'!B30</f>
        <v>1665270</v>
      </c>
      <c r="C30" s="619"/>
      <c r="D30" s="669"/>
      <c r="E30" s="522"/>
      <c r="F30" s="515">
        <f t="shared" si="0"/>
        <v>1665270</v>
      </c>
      <c r="H30"/>
    </row>
    <row r="31" spans="1:8">
      <c r="A31" s="506" t="s">
        <v>89</v>
      </c>
      <c r="B31" s="503">
        <f>'YR2024'!B31</f>
        <v>9466212</v>
      </c>
      <c r="C31" s="619">
        <f>'YR2024'!C31</f>
        <v>9466212</v>
      </c>
      <c r="D31" s="534"/>
      <c r="E31" s="534"/>
      <c r="F31" s="665">
        <f t="shared" si="0"/>
        <v>0</v>
      </c>
      <c r="H31"/>
    </row>
    <row r="32" spans="1:8">
      <c r="A32" s="506" t="s">
        <v>135</v>
      </c>
      <c r="B32" s="503">
        <f>'YR2024'!B32</f>
        <v>23845117</v>
      </c>
      <c r="C32" s="619"/>
      <c r="D32" s="684"/>
      <c r="E32" s="522"/>
      <c r="F32" s="515">
        <f t="shared" si="0"/>
        <v>23845117</v>
      </c>
    </row>
    <row r="33" spans="1:6" customFormat="1">
      <c r="A33" s="506" t="s">
        <v>91</v>
      </c>
      <c r="B33" s="619">
        <f>'YR2024'!B33</f>
        <v>394797</v>
      </c>
      <c r="C33" s="619"/>
      <c r="D33" s="669"/>
      <c r="E33" s="522"/>
      <c r="F33" s="618">
        <f t="shared" si="0"/>
        <v>394797</v>
      </c>
    </row>
    <row r="34" spans="1:6" customFormat="1">
      <c r="A34" s="506" t="s">
        <v>93</v>
      </c>
      <c r="B34" s="503">
        <f>'YR2024'!B34</f>
        <v>148420</v>
      </c>
      <c r="C34" s="619">
        <f>'YR2024'!C34</f>
        <v>148420</v>
      </c>
      <c r="D34" s="534"/>
      <c r="E34" s="534"/>
      <c r="F34" s="618">
        <f t="shared" si="0"/>
        <v>0</v>
      </c>
    </row>
    <row r="35" spans="1:6" customFormat="1">
      <c r="A35" s="502" t="s">
        <v>94</v>
      </c>
      <c r="B35" s="503">
        <f>'YR2024'!B35</f>
        <v>29684</v>
      </c>
      <c r="C35" s="619">
        <f>'YR2024'!C35</f>
        <v>29684</v>
      </c>
      <c r="D35" s="534"/>
      <c r="E35" s="534"/>
      <c r="F35" s="540">
        <f t="shared" si="0"/>
        <v>0</v>
      </c>
    </row>
    <row r="36" spans="1:6" customFormat="1">
      <c r="A36" s="506" t="s">
        <v>95</v>
      </c>
      <c r="B36" s="503">
        <f>'YR2024'!B36</f>
        <v>228566</v>
      </c>
      <c r="C36" s="619"/>
      <c r="D36" s="669"/>
      <c r="E36" s="522"/>
      <c r="F36" s="540">
        <f t="shared" si="0"/>
        <v>228566</v>
      </c>
    </row>
    <row r="37" spans="1:6" customFormat="1">
      <c r="A37" s="506" t="s">
        <v>96</v>
      </c>
      <c r="B37" s="619">
        <f>'YR2024'!B37</f>
        <v>201851</v>
      </c>
      <c r="C37" s="619"/>
      <c r="D37" s="669"/>
      <c r="E37" s="522"/>
      <c r="F37" s="515">
        <f t="shared" si="0"/>
        <v>201851</v>
      </c>
    </row>
    <row r="38" spans="1:6" customFormat="1">
      <c r="A38" s="506" t="s">
        <v>97</v>
      </c>
      <c r="B38" s="503">
        <f>'YR2024'!B38</f>
        <v>56400</v>
      </c>
      <c r="C38" s="619"/>
      <c r="D38" s="669"/>
      <c r="E38" s="522"/>
      <c r="F38" s="515">
        <f t="shared" si="0"/>
        <v>56400</v>
      </c>
    </row>
    <row r="39" spans="1:6" customFormat="1">
      <c r="A39" s="501" t="s">
        <v>98</v>
      </c>
      <c r="B39" s="503">
        <f>'YR2024'!B39</f>
        <v>32652</v>
      </c>
      <c r="C39" s="619">
        <f>'YR2024'!C39</f>
        <v>32652</v>
      </c>
      <c r="D39" s="534"/>
      <c r="E39" s="534"/>
      <c r="F39" s="618">
        <f t="shared" si="0"/>
        <v>0</v>
      </c>
    </row>
    <row r="40" spans="1:6" customFormat="1">
      <c r="A40" s="506" t="s">
        <v>99</v>
      </c>
      <c r="B40" s="503">
        <f>'YR2024'!B40</f>
        <v>4087480</v>
      </c>
      <c r="C40" s="619"/>
      <c r="D40" s="534"/>
      <c r="E40" s="534"/>
      <c r="F40" s="515">
        <f t="shared" si="0"/>
        <v>4087480</v>
      </c>
    </row>
    <row r="41" spans="1:6" customFormat="1">
      <c r="A41" s="506" t="s">
        <v>100</v>
      </c>
      <c r="B41" s="619">
        <f>'YR2024'!B41</f>
        <v>917234</v>
      </c>
      <c r="C41" s="619"/>
      <c r="D41" s="534"/>
      <c r="E41" s="534"/>
      <c r="F41" s="515">
        <f t="shared" si="0"/>
        <v>917234</v>
      </c>
    </row>
    <row r="42" spans="1:6" customFormat="1">
      <c r="A42" s="507" t="s">
        <v>101</v>
      </c>
      <c r="B42" s="503">
        <f>'YR2024'!B42</f>
        <v>2015540</v>
      </c>
      <c r="C42" s="619"/>
      <c r="D42" s="534"/>
      <c r="E42" s="534"/>
      <c r="F42" s="540">
        <f t="shared" si="0"/>
        <v>2015540</v>
      </c>
    </row>
    <row r="43" spans="1:6" customFormat="1">
      <c r="A43" s="506" t="s">
        <v>103</v>
      </c>
      <c r="B43" s="503">
        <f>'YR2024'!B43</f>
        <v>2484547</v>
      </c>
      <c r="C43" s="619">
        <f>'YR2024'!C43</f>
        <v>2484547</v>
      </c>
      <c r="D43" s="669"/>
      <c r="E43" s="522"/>
      <c r="F43" s="515">
        <f t="shared" si="0"/>
        <v>0</v>
      </c>
    </row>
    <row r="44" spans="1:6" customFormat="1">
      <c r="A44" s="520" t="s">
        <v>104</v>
      </c>
      <c r="B44" s="503">
        <f>'YR2024'!B44</f>
        <v>1047843</v>
      </c>
      <c r="C44" s="619">
        <f>'YR2024'!C44</f>
        <v>1047843</v>
      </c>
      <c r="D44" s="534"/>
      <c r="E44" s="534"/>
      <c r="F44" s="665">
        <f t="shared" si="0"/>
        <v>0</v>
      </c>
    </row>
    <row r="45" spans="1:6" customFormat="1">
      <c r="A45" s="506" t="s">
        <v>105</v>
      </c>
      <c r="B45" s="619">
        <f>'YR2024'!B45</f>
        <v>926139</v>
      </c>
      <c r="C45" s="619"/>
      <c r="D45" s="669"/>
      <c r="E45" s="522"/>
      <c r="F45" s="515">
        <f t="shared" si="0"/>
        <v>926139</v>
      </c>
    </row>
    <row r="46" spans="1:6" customFormat="1">
      <c r="A46" s="520" t="s">
        <v>106</v>
      </c>
      <c r="B46" s="503">
        <f>'YR2024'!B46</f>
        <v>5539025</v>
      </c>
      <c r="C46" s="619">
        <f>'YR2024'!C46</f>
        <v>1500000</v>
      </c>
      <c r="D46" s="669"/>
      <c r="E46" s="522"/>
      <c r="F46" s="665">
        <f t="shared" si="0"/>
        <v>4039025</v>
      </c>
    </row>
    <row r="47" spans="1:6" customFormat="1">
      <c r="A47" s="506" t="s">
        <v>107</v>
      </c>
      <c r="B47" s="503">
        <f>'YR2024'!B47</f>
        <v>5937</v>
      </c>
      <c r="C47" s="619">
        <f>'YR2024'!C47</f>
        <v>5937</v>
      </c>
      <c r="D47" s="669"/>
      <c r="E47" s="522"/>
      <c r="F47" s="515">
        <f t="shared" si="0"/>
        <v>0</v>
      </c>
    </row>
    <row r="48" spans="1:6" customFormat="1">
      <c r="A48" s="501" t="s">
        <v>109</v>
      </c>
      <c r="B48" s="503">
        <f>'YR2024'!B48</f>
        <v>460101</v>
      </c>
      <c r="C48" s="619">
        <f>'YR2024'!C48</f>
        <v>460101</v>
      </c>
      <c r="D48" s="669"/>
      <c r="E48" s="522"/>
      <c r="F48" s="618">
        <f t="shared" si="0"/>
        <v>0</v>
      </c>
    </row>
    <row r="49" spans="1:8">
      <c r="A49" s="506" t="s">
        <v>110</v>
      </c>
      <c r="B49" s="619">
        <f>'YR2024'!B49</f>
        <v>234503</v>
      </c>
      <c r="C49" s="619"/>
      <c r="D49" s="669"/>
      <c r="E49" s="522"/>
      <c r="F49" s="515">
        <f t="shared" si="0"/>
        <v>234503</v>
      </c>
      <c r="H49"/>
    </row>
    <row r="50" spans="1:8">
      <c r="A50" s="501" t="s">
        <v>112</v>
      </c>
      <c r="B50" s="503">
        <f>'YR2024'!B50</f>
        <v>6334555</v>
      </c>
      <c r="C50" s="619">
        <f>'YR2024'!C50</f>
        <v>6334555</v>
      </c>
      <c r="D50" s="534"/>
      <c r="E50" s="534"/>
      <c r="F50" s="618">
        <f t="shared" si="0"/>
        <v>0</v>
      </c>
      <c r="H50"/>
    </row>
    <row r="51" spans="1:8">
      <c r="A51" s="506" t="s">
        <v>136</v>
      </c>
      <c r="B51" s="503">
        <f>'YR2024'!B51</f>
        <v>2585472</v>
      </c>
      <c r="C51" s="619">
        <f>'YR2024'!C51</f>
        <v>2585472</v>
      </c>
      <c r="D51" s="534"/>
      <c r="E51" s="534"/>
      <c r="F51" s="515">
        <f t="shared" si="0"/>
        <v>0</v>
      </c>
      <c r="H51"/>
    </row>
    <row r="52" spans="1:8">
      <c r="A52" s="507" t="s">
        <v>114</v>
      </c>
      <c r="B52" s="503">
        <f>'YR2024'!B52</f>
        <v>3366160</v>
      </c>
      <c r="C52" s="619">
        <f>'YR2024'!C52</f>
        <v>3366160</v>
      </c>
      <c r="D52" s="534"/>
      <c r="E52" s="534"/>
      <c r="F52" s="540">
        <f t="shared" si="0"/>
        <v>0</v>
      </c>
      <c r="H52"/>
    </row>
    <row r="53" spans="1:8" ht="14.25" customHeight="1">
      <c r="A53" s="74" t="s">
        <v>115</v>
      </c>
      <c r="B53" s="619">
        <f>'YR2024'!B53</f>
        <v>8905</v>
      </c>
      <c r="C53" s="619"/>
      <c r="D53" s="669"/>
      <c r="E53" s="522"/>
      <c r="F53" s="515">
        <f t="shared" si="0"/>
        <v>8905</v>
      </c>
      <c r="H53"/>
    </row>
    <row r="54" spans="1:8">
      <c r="A54" s="506" t="s">
        <v>117</v>
      </c>
      <c r="B54" s="503">
        <f>'YR2024'!B54</f>
        <v>166230</v>
      </c>
      <c r="C54" s="619"/>
      <c r="D54" s="669"/>
      <c r="E54" s="522"/>
      <c r="F54" s="515">
        <f t="shared" si="0"/>
        <v>166230</v>
      </c>
      <c r="H54"/>
    </row>
    <row r="55" spans="1:8">
      <c r="A55" s="501" t="s">
        <v>119</v>
      </c>
      <c r="B55" s="503">
        <f>'YR2024'!B55</f>
        <v>12986728</v>
      </c>
      <c r="C55" s="619"/>
      <c r="D55" s="534"/>
      <c r="E55" s="534"/>
      <c r="F55" s="618">
        <f t="shared" si="0"/>
        <v>12986728</v>
      </c>
      <c r="H55"/>
    </row>
    <row r="56" spans="1:8">
      <c r="A56" s="507" t="s">
        <v>120</v>
      </c>
      <c r="B56" s="503">
        <f>'YR2024'!B56</f>
        <v>38544000</v>
      </c>
      <c r="C56" s="619">
        <f>'YR2024'!C56</f>
        <v>38544000</v>
      </c>
      <c r="D56" s="534"/>
      <c r="E56" s="534"/>
      <c r="F56" s="540">
        <f>B56-C56-D56-E56</f>
        <v>0</v>
      </c>
      <c r="H56"/>
    </row>
    <row r="57" spans="1:8" ht="15" thickBot="1">
      <c r="A57" s="506" t="s">
        <v>121</v>
      </c>
      <c r="B57" s="619">
        <f>'YR2024'!B57</f>
        <v>80147</v>
      </c>
      <c r="C57" s="619"/>
      <c r="D57" s="672"/>
      <c r="E57" s="617"/>
      <c r="F57" s="515">
        <f t="shared" si="0"/>
        <v>80147</v>
      </c>
      <c r="H57"/>
    </row>
    <row r="58" spans="1:8" ht="15" thickBot="1">
      <c r="A58" s="514" t="s">
        <v>124</v>
      </c>
      <c r="B58" s="548">
        <f>SUM(B9:B57)</f>
        <v>175199999</v>
      </c>
      <c r="C58" s="548">
        <f>SUM(C9:C57)</f>
        <v>80791284.167999998</v>
      </c>
      <c r="D58" s="548">
        <f>SUM(D9:D57)</f>
        <v>0</v>
      </c>
      <c r="E58" s="553">
        <f>SUM(E9:E57)</f>
        <v>0</v>
      </c>
      <c r="F58" s="549">
        <f>SUM(F9:F57)</f>
        <v>94408714.832000002</v>
      </c>
      <c r="H58" s="675">
        <f>F58-D58</f>
        <v>94408714.832000002</v>
      </c>
    </row>
    <row r="59" spans="1:8" ht="15" thickBot="1">
      <c r="A59" s="521" t="s">
        <v>137</v>
      </c>
      <c r="B59" s="169"/>
      <c r="C59" s="522"/>
      <c r="D59" s="522">
        <v>0</v>
      </c>
      <c r="E59" s="560">
        <v>0</v>
      </c>
      <c r="F59" s="170">
        <f>B59-C59-D59-E59</f>
        <v>0</v>
      </c>
      <c r="H59"/>
    </row>
    <row r="60" spans="1:8" ht="15" thickBot="1">
      <c r="A60" s="523" t="s">
        <v>138</v>
      </c>
      <c r="B60" s="83">
        <f>B58+B59</f>
        <v>175199999</v>
      </c>
      <c r="C60" s="83">
        <f>C58+C59</f>
        <v>80791284.167999998</v>
      </c>
      <c r="D60" s="83">
        <f>D58+D59</f>
        <v>0</v>
      </c>
      <c r="E60" s="561">
        <f>E58+E59</f>
        <v>0</v>
      </c>
      <c r="F60" s="171">
        <f>F58+F59</f>
        <v>94408714.832000002</v>
      </c>
      <c r="H60"/>
    </row>
    <row r="61" spans="1:8">
      <c r="A61" s="666"/>
      <c r="B61" s="525"/>
      <c r="C61" s="525"/>
      <c r="D61" s="525"/>
      <c r="E61" s="525"/>
      <c r="F61" s="525"/>
      <c r="H61"/>
    </row>
    <row r="62" spans="1:8" ht="15" thickBot="1">
      <c r="A62" s="667"/>
      <c r="B62" s="516"/>
      <c r="C62" s="516"/>
      <c r="D62" s="516"/>
      <c r="E62" s="516"/>
      <c r="F62" s="516"/>
    </row>
    <row r="63" spans="1:8" ht="15" thickBot="1">
      <c r="A63" s="526" t="s">
        <v>139</v>
      </c>
      <c r="B63" s="527">
        <f>B12+B13+B15+B19+B21+B27+B33+B34+B36+B43+B46+B48+B49+B53+B54+B57</f>
        <v>11938884</v>
      </c>
      <c r="C63" s="527">
        <f>C12+C13+C15+C19+C21+C27+C33+C36+C43+C46+C48+C49+C53+C54+C57</f>
        <v>6261305</v>
      </c>
      <c r="D63" s="527">
        <f>D12+D13+D15+D19+D21+D26+D34+D36+D43+D46+D48+D49+D53+D54+D57</f>
        <v>0</v>
      </c>
      <c r="E63" s="562">
        <f>E12+E13+E15+E19+E21+E26+E34+E36+E43+E46+E48+E49+E53+E54+E57</f>
        <v>0</v>
      </c>
      <c r="F63" s="528">
        <f>B63-C63-D63-E63</f>
        <v>5677579</v>
      </c>
    </row>
    <row r="64" spans="1:8">
      <c r="B64" s="482"/>
      <c r="C64" s="482"/>
      <c r="D64" s="482"/>
    </row>
    <row r="66" spans="5:7">
      <c r="G66" s="112"/>
    </row>
    <row r="69" spans="5:7">
      <c r="E69" s="112"/>
      <c r="F69" s="112"/>
      <c r="G69" s="112"/>
    </row>
    <row r="70" spans="5:7">
      <c r="E70" s="112"/>
      <c r="F70" s="112"/>
      <c r="G70" s="112"/>
    </row>
  </sheetData>
  <autoFilter ref="A8:F61" xr:uid="{F84FE1A5-D2E0-41E1-B816-359E90B3A520}"/>
  <mergeCells count="4">
    <mergeCell ref="A1:B1"/>
    <mergeCell ref="A5:F5"/>
    <mergeCell ref="A6:F6"/>
    <mergeCell ref="A7:F7"/>
  </mergeCells>
  <printOptions horizontalCentered="1"/>
  <pageMargins left="0.118110236220472" right="0.118110236220472" top="0.27559055118110198" bottom="0.196850393700787" header="0.27559055118110198" footer="0.118110236220472"/>
  <pageSetup scale="77" orientation="portrait"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962EB-1E09-4016-B2E2-E8FAFC1AB8F7}">
  <dimension ref="A1:F66"/>
  <sheetViews>
    <sheetView workbookViewId="0">
      <selection activeCell="A3" sqref="A3"/>
    </sheetView>
  </sheetViews>
  <sheetFormatPr defaultColWidth="9.7265625" defaultRowHeight="12.5"/>
  <cols>
    <col min="1" max="1" width="27" style="126" customWidth="1"/>
    <col min="2" max="6" width="17.26953125" style="126" customWidth="1"/>
    <col min="7" max="16384" width="9.7265625" style="126"/>
  </cols>
  <sheetData>
    <row r="1" spans="1:6" s="1" customFormat="1" ht="16.5" customHeight="1">
      <c r="A1" s="389" t="str">
        <f>Status!C1</f>
        <v>UNEP/OzL.Pro/ExCom/94/3</v>
      </c>
      <c r="B1" s="355"/>
      <c r="F1" s="380"/>
    </row>
    <row r="2" spans="1:6" s="1" customFormat="1" ht="16.5" customHeight="1">
      <c r="A2" s="389" t="s">
        <v>224</v>
      </c>
      <c r="B2" s="22"/>
      <c r="F2" s="380"/>
    </row>
    <row r="3" spans="1:6" s="1" customFormat="1" ht="16.5" customHeight="1">
      <c r="B3" s="22"/>
      <c r="F3" s="380"/>
    </row>
    <row r="4" spans="1:6" s="1" customFormat="1" ht="20.25" customHeight="1">
      <c r="A4" s="381" t="s">
        <v>2</v>
      </c>
      <c r="B4" s="381"/>
      <c r="C4" s="381"/>
      <c r="D4" s="381"/>
      <c r="E4" s="381"/>
      <c r="F4" s="381"/>
    </row>
    <row r="5" spans="1:6" s="1" customFormat="1" ht="20.25" customHeight="1">
      <c r="A5" s="382" t="s">
        <v>218</v>
      </c>
      <c r="B5" s="381"/>
      <c r="C5" s="381"/>
      <c r="D5" s="381"/>
      <c r="E5" s="381"/>
      <c r="F5" s="381"/>
    </row>
    <row r="6" spans="1:6" s="1" customFormat="1" ht="30" customHeight="1" thickBot="1">
      <c r="A6" s="383" t="str">
        <f>Status!A6</f>
        <v>As at 24/05/2024</v>
      </c>
      <c r="B6" s="381"/>
      <c r="C6" s="381"/>
      <c r="D6" s="381"/>
      <c r="E6" s="381"/>
      <c r="F6" s="381"/>
    </row>
    <row r="7" spans="1:6" ht="30.5" thickBot="1">
      <c r="A7" s="358" t="s">
        <v>60</v>
      </c>
      <c r="B7" s="359" t="s">
        <v>61</v>
      </c>
      <c r="C7" s="359" t="s">
        <v>62</v>
      </c>
      <c r="D7" s="359" t="s">
        <v>63</v>
      </c>
      <c r="E7" s="359" t="s">
        <v>64</v>
      </c>
      <c r="F7" s="384" t="s">
        <v>65</v>
      </c>
    </row>
    <row r="8" spans="1:6" ht="18" customHeight="1">
      <c r="A8" s="415" t="s">
        <v>130</v>
      </c>
      <c r="B8" s="416">
        <v>2719451</v>
      </c>
      <c r="C8" s="417">
        <v>2719451</v>
      </c>
      <c r="D8" s="418">
        <v>0</v>
      </c>
      <c r="E8" s="418">
        <v>0</v>
      </c>
      <c r="F8" s="419">
        <f>B8-C8-D8-E8</f>
        <v>0</v>
      </c>
    </row>
    <row r="9" spans="1:6" ht="18" customHeight="1">
      <c r="A9" s="420" t="s">
        <v>69</v>
      </c>
      <c r="B9" s="421">
        <v>1589409</v>
      </c>
      <c r="C9" s="409">
        <v>1589409</v>
      </c>
      <c r="D9" s="410">
        <v>0</v>
      </c>
      <c r="E9" s="410">
        <v>0</v>
      </c>
      <c r="F9" s="422">
        <f t="shared" ref="F9:F58" si="0">B9-C9-D9-E9</f>
        <v>0</v>
      </c>
    </row>
    <row r="10" spans="1:6" ht="18" customHeight="1">
      <c r="A10" s="423" t="s">
        <v>70</v>
      </c>
      <c r="B10" s="421">
        <v>215902</v>
      </c>
      <c r="C10" s="409">
        <v>0</v>
      </c>
      <c r="D10" s="410">
        <v>0</v>
      </c>
      <c r="E10" s="410">
        <v>0</v>
      </c>
      <c r="F10" s="422">
        <f t="shared" si="0"/>
        <v>215902</v>
      </c>
    </row>
    <row r="11" spans="1:6" ht="18" customHeight="1">
      <c r="A11" s="420" t="s">
        <v>71</v>
      </c>
      <c r="B11" s="421">
        <v>537459</v>
      </c>
      <c r="C11" s="409">
        <v>0</v>
      </c>
      <c r="D11" s="410">
        <v>0</v>
      </c>
      <c r="E11" s="410">
        <v>0</v>
      </c>
      <c r="F11" s="422">
        <f t="shared" si="0"/>
        <v>537459</v>
      </c>
    </row>
    <row r="12" spans="1:6" ht="18" customHeight="1">
      <c r="A12" s="420" t="s">
        <v>72</v>
      </c>
      <c r="B12" s="421">
        <v>1851248</v>
      </c>
      <c r="C12" s="409">
        <v>1851248</v>
      </c>
      <c r="D12" s="410">
        <v>0</v>
      </c>
      <c r="E12" s="410">
        <v>0</v>
      </c>
      <c r="F12" s="422">
        <f t="shared" si="0"/>
        <v>0</v>
      </c>
    </row>
    <row r="13" spans="1:6" ht="18" customHeight="1">
      <c r="A13" s="420" t="s">
        <v>215</v>
      </c>
      <c r="B13" s="421">
        <v>0</v>
      </c>
      <c r="C13" s="409">
        <v>0</v>
      </c>
      <c r="D13" s="410">
        <v>0</v>
      </c>
      <c r="E13" s="410">
        <v>0</v>
      </c>
      <c r="F13" s="422">
        <f t="shared" si="0"/>
        <v>0</v>
      </c>
    </row>
    <row r="14" spans="1:6" ht="18" customHeight="1">
      <c r="A14" s="420" t="s">
        <v>73</v>
      </c>
      <c r="B14" s="421">
        <v>0</v>
      </c>
      <c r="C14" s="409">
        <v>0</v>
      </c>
      <c r="D14" s="410">
        <v>0</v>
      </c>
      <c r="E14" s="410">
        <v>0</v>
      </c>
      <c r="F14" s="422">
        <f t="shared" si="0"/>
        <v>0</v>
      </c>
    </row>
    <row r="15" spans="1:6" ht="18" customHeight="1">
      <c r="A15" s="420" t="s">
        <v>131</v>
      </c>
      <c r="B15" s="421">
        <v>5700741</v>
      </c>
      <c r="C15" s="409">
        <v>5152031</v>
      </c>
      <c r="D15" s="410">
        <v>548710</v>
      </c>
      <c r="E15" s="410">
        <v>0</v>
      </c>
      <c r="F15" s="422">
        <f t="shared" si="0"/>
        <v>0</v>
      </c>
    </row>
    <row r="16" spans="1:6" ht="18" customHeight="1">
      <c r="A16" s="420" t="s">
        <v>76</v>
      </c>
      <c r="B16" s="421">
        <v>0</v>
      </c>
      <c r="C16" s="409">
        <v>0</v>
      </c>
      <c r="D16" s="410">
        <v>0</v>
      </c>
      <c r="E16" s="410">
        <v>0</v>
      </c>
      <c r="F16" s="422">
        <f t="shared" si="0"/>
        <v>0</v>
      </c>
    </row>
    <row r="17" spans="1:6" ht="18" customHeight="1">
      <c r="A17" s="420" t="s">
        <v>77</v>
      </c>
      <c r="B17" s="421">
        <v>477741</v>
      </c>
      <c r="C17" s="409">
        <v>477741</v>
      </c>
      <c r="D17" s="410">
        <v>0</v>
      </c>
      <c r="E17" s="410">
        <v>0</v>
      </c>
      <c r="F17" s="422">
        <f t="shared" si="0"/>
        <v>0</v>
      </c>
    </row>
    <row r="18" spans="1:6" ht="18" customHeight="1">
      <c r="A18" s="420" t="s">
        <v>78</v>
      </c>
      <c r="B18" s="421">
        <v>1318383</v>
      </c>
      <c r="C18" s="409">
        <v>1318383</v>
      </c>
      <c r="D18" s="410">
        <v>0</v>
      </c>
      <c r="E18" s="410">
        <v>0</v>
      </c>
      <c r="F18" s="422">
        <f t="shared" si="0"/>
        <v>0</v>
      </c>
    </row>
    <row r="19" spans="1:6" ht="18" customHeight="1">
      <c r="A19" s="420" t="s">
        <v>79</v>
      </c>
      <c r="B19" s="421">
        <v>0</v>
      </c>
      <c r="C19" s="409">
        <v>0</v>
      </c>
      <c r="D19" s="410">
        <v>0</v>
      </c>
      <c r="E19" s="410">
        <v>0</v>
      </c>
      <c r="F19" s="422">
        <f t="shared" si="0"/>
        <v>0</v>
      </c>
    </row>
    <row r="20" spans="1:6" ht="18" customHeight="1">
      <c r="A20" s="420" t="s">
        <v>80</v>
      </c>
      <c r="B20" s="421">
        <v>1134636</v>
      </c>
      <c r="C20" s="409">
        <f>909206+76855</f>
        <v>986061</v>
      </c>
      <c r="D20" s="410">
        <f>225430-76855</f>
        <v>148575</v>
      </c>
      <c r="E20" s="410">
        <v>0</v>
      </c>
      <c r="F20" s="422">
        <f t="shared" si="0"/>
        <v>0</v>
      </c>
    </row>
    <row r="21" spans="1:6" ht="18" customHeight="1">
      <c r="A21" s="420" t="s">
        <v>81</v>
      </c>
      <c r="B21" s="421">
        <v>11773570</v>
      </c>
      <c r="C21" s="409">
        <v>0</v>
      </c>
      <c r="D21" s="410">
        <v>662250</v>
      </c>
      <c r="E21" s="410">
        <v>11111320</v>
      </c>
      <c r="F21" s="422">
        <f t="shared" si="0"/>
        <v>0</v>
      </c>
    </row>
    <row r="22" spans="1:6" ht="18" customHeight="1">
      <c r="A22" s="420" t="s">
        <v>216</v>
      </c>
      <c r="B22" s="421">
        <v>0</v>
      </c>
      <c r="C22" s="409">
        <v>0</v>
      </c>
      <c r="D22" s="410">
        <v>0</v>
      </c>
      <c r="E22" s="410">
        <v>0</v>
      </c>
      <c r="F22" s="422">
        <f t="shared" si="0"/>
        <v>0</v>
      </c>
    </row>
    <row r="23" spans="1:6" ht="18" customHeight="1">
      <c r="A23" s="420" t="s">
        <v>82</v>
      </c>
      <c r="B23" s="421">
        <v>16615295</v>
      </c>
      <c r="C23" s="409">
        <f>14005333+129441</f>
        <v>14134774</v>
      </c>
      <c r="D23" s="410">
        <f>2609962-129441</f>
        <v>2480521</v>
      </c>
      <c r="E23" s="410">
        <v>0</v>
      </c>
      <c r="F23" s="422">
        <f t="shared" si="0"/>
        <v>0</v>
      </c>
    </row>
    <row r="24" spans="1:6" ht="18" customHeight="1">
      <c r="A24" s="420" t="s">
        <v>83</v>
      </c>
      <c r="B24" s="421">
        <v>698237</v>
      </c>
      <c r="C24" s="409">
        <v>698237</v>
      </c>
      <c r="D24" s="410">
        <v>0</v>
      </c>
      <c r="E24" s="410">
        <v>0</v>
      </c>
      <c r="F24" s="422">
        <f t="shared" si="0"/>
        <v>0</v>
      </c>
    </row>
    <row r="25" spans="1:6" ht="18" customHeight="1">
      <c r="A25" s="420" t="s">
        <v>85</v>
      </c>
      <c r="B25" s="421">
        <v>257245</v>
      </c>
      <c r="C25" s="409">
        <v>257245</v>
      </c>
      <c r="D25" s="410">
        <v>0</v>
      </c>
      <c r="E25" s="410">
        <v>0</v>
      </c>
      <c r="F25" s="422">
        <f t="shared" si="0"/>
        <v>0</v>
      </c>
    </row>
    <row r="26" spans="1:6" ht="18" customHeight="1">
      <c r="A26" s="420" t="s">
        <v>86</v>
      </c>
      <c r="B26" s="421">
        <v>55124</v>
      </c>
      <c r="C26" s="409">
        <v>55124</v>
      </c>
      <c r="D26" s="410">
        <v>0</v>
      </c>
      <c r="E26" s="410">
        <v>0</v>
      </c>
      <c r="F26" s="422">
        <f t="shared" si="0"/>
        <v>0</v>
      </c>
    </row>
    <row r="27" spans="1:6" ht="18" customHeight="1">
      <c r="A27" s="420" t="s">
        <v>87</v>
      </c>
      <c r="B27" s="421">
        <v>385868</v>
      </c>
      <c r="C27" s="409">
        <v>385868</v>
      </c>
      <c r="D27" s="410">
        <v>0</v>
      </c>
      <c r="E27" s="410">
        <v>0</v>
      </c>
      <c r="F27" s="422">
        <f t="shared" si="0"/>
        <v>0</v>
      </c>
    </row>
    <row r="28" spans="1:6" ht="18" customHeight="1">
      <c r="A28" s="420" t="s">
        <v>88</v>
      </c>
      <c r="B28" s="421">
        <v>491522</v>
      </c>
      <c r="C28" s="409">
        <v>491522</v>
      </c>
      <c r="D28" s="410">
        <v>0</v>
      </c>
      <c r="E28" s="410">
        <v>0</v>
      </c>
      <c r="F28" s="422">
        <f t="shared" si="0"/>
        <v>0</v>
      </c>
    </row>
    <row r="29" spans="1:6" ht="18" customHeight="1">
      <c r="A29" s="420" t="s">
        <v>89</v>
      </c>
      <c r="B29" s="421">
        <v>9550235</v>
      </c>
      <c r="C29" s="409">
        <v>9550235</v>
      </c>
      <c r="D29" s="410">
        <v>0</v>
      </c>
      <c r="E29" s="410">
        <v>0</v>
      </c>
      <c r="F29" s="422">
        <f t="shared" si="0"/>
        <v>0</v>
      </c>
    </row>
    <row r="30" spans="1:6" ht="18" customHeight="1">
      <c r="A30" s="420" t="s">
        <v>219</v>
      </c>
      <c r="B30" s="421">
        <v>28361303</v>
      </c>
      <c r="C30" s="424">
        <f>19955544+5672259</f>
        <v>25627803</v>
      </c>
      <c r="D30" s="424">
        <v>2733500</v>
      </c>
      <c r="E30" s="424">
        <v>0</v>
      </c>
      <c r="F30" s="422">
        <f t="shared" si="0"/>
        <v>0</v>
      </c>
    </row>
    <row r="31" spans="1:6" ht="18" customHeight="1">
      <c r="A31" s="420" t="s">
        <v>92</v>
      </c>
      <c r="B31" s="421">
        <v>0</v>
      </c>
      <c r="C31" s="409">
        <v>0</v>
      </c>
      <c r="D31" s="410">
        <v>0</v>
      </c>
      <c r="E31" s="410">
        <v>0</v>
      </c>
      <c r="F31" s="422">
        <f t="shared" si="0"/>
        <v>0</v>
      </c>
    </row>
    <row r="32" spans="1:6" ht="18" customHeight="1">
      <c r="A32" s="420" t="s">
        <v>93</v>
      </c>
      <c r="B32" s="421">
        <v>0</v>
      </c>
      <c r="C32" s="409">
        <v>0</v>
      </c>
      <c r="D32" s="410">
        <v>0</v>
      </c>
      <c r="E32" s="410">
        <v>0</v>
      </c>
      <c r="F32" s="422">
        <f t="shared" si="0"/>
        <v>0</v>
      </c>
    </row>
    <row r="33" spans="1:6" ht="18" customHeight="1">
      <c r="A33" s="420" t="s">
        <v>94</v>
      </c>
      <c r="B33" s="421">
        <v>18375</v>
      </c>
      <c r="C33" s="409">
        <v>18375</v>
      </c>
      <c r="D33" s="410">
        <v>0</v>
      </c>
      <c r="E33" s="410">
        <v>0</v>
      </c>
      <c r="F33" s="422">
        <f t="shared" si="0"/>
        <v>0</v>
      </c>
    </row>
    <row r="34" spans="1:6" ht="18" customHeight="1">
      <c r="A34" s="420" t="s">
        <v>95</v>
      </c>
      <c r="B34" s="421">
        <v>103125</v>
      </c>
      <c r="C34" s="409">
        <v>14975</v>
      </c>
      <c r="D34" s="410">
        <v>0</v>
      </c>
      <c r="E34" s="410">
        <v>0</v>
      </c>
      <c r="F34" s="422">
        <f t="shared" si="0"/>
        <v>88150</v>
      </c>
    </row>
    <row r="35" spans="1:6" ht="18" customHeight="1">
      <c r="A35" s="420" t="s">
        <v>96</v>
      </c>
      <c r="B35" s="421">
        <v>128623</v>
      </c>
      <c r="C35" s="409">
        <v>128623</v>
      </c>
      <c r="D35" s="410">
        <v>0</v>
      </c>
      <c r="E35" s="410">
        <v>0</v>
      </c>
      <c r="F35" s="422">
        <f t="shared" si="0"/>
        <v>0</v>
      </c>
    </row>
    <row r="36" spans="1:6" ht="18" customHeight="1">
      <c r="A36" s="420" t="s">
        <v>97</v>
      </c>
      <c r="B36" s="421">
        <v>0</v>
      </c>
      <c r="C36" s="409">
        <v>0</v>
      </c>
      <c r="D36" s="410">
        <v>0</v>
      </c>
      <c r="E36" s="410">
        <v>0</v>
      </c>
      <c r="F36" s="422">
        <f t="shared" si="0"/>
        <v>0</v>
      </c>
    </row>
    <row r="37" spans="1:6" ht="18" customHeight="1">
      <c r="A37" s="420" t="s">
        <v>98</v>
      </c>
      <c r="B37" s="421">
        <v>18375</v>
      </c>
      <c r="C37" s="409">
        <v>18375</v>
      </c>
      <c r="D37" s="410">
        <v>0</v>
      </c>
      <c r="E37" s="410">
        <v>0</v>
      </c>
      <c r="F37" s="422">
        <f t="shared" si="0"/>
        <v>0</v>
      </c>
    </row>
    <row r="38" spans="1:6" ht="18" customHeight="1">
      <c r="A38" s="420" t="s">
        <v>99</v>
      </c>
      <c r="B38" s="421">
        <v>2916979</v>
      </c>
      <c r="C38" s="410">
        <v>2916979</v>
      </c>
      <c r="D38" s="410">
        <v>0</v>
      </c>
      <c r="E38" s="425">
        <v>0</v>
      </c>
      <c r="F38" s="422">
        <f t="shared" si="0"/>
        <v>0</v>
      </c>
    </row>
    <row r="39" spans="1:6" ht="18" customHeight="1">
      <c r="A39" s="420" t="s">
        <v>100</v>
      </c>
      <c r="B39" s="421">
        <v>440992</v>
      </c>
      <c r="C39" s="409">
        <v>440992</v>
      </c>
      <c r="D39" s="410">
        <v>0</v>
      </c>
      <c r="E39" s="410">
        <v>0</v>
      </c>
      <c r="F39" s="422">
        <f t="shared" si="0"/>
        <v>0</v>
      </c>
    </row>
    <row r="40" spans="1:6" ht="18" customHeight="1">
      <c r="A40" s="420" t="s">
        <v>101</v>
      </c>
      <c r="B40" s="421">
        <v>1028982</v>
      </c>
      <c r="C40" s="409">
        <v>1028982</v>
      </c>
      <c r="D40" s="410">
        <v>0</v>
      </c>
      <c r="E40" s="410">
        <v>0</v>
      </c>
      <c r="F40" s="422">
        <f t="shared" si="0"/>
        <v>0</v>
      </c>
    </row>
    <row r="41" spans="1:6" ht="18" customHeight="1">
      <c r="A41" s="420" t="s">
        <v>102</v>
      </c>
      <c r="B41" s="421">
        <v>0</v>
      </c>
      <c r="C41" s="409">
        <v>0</v>
      </c>
      <c r="D41" s="410">
        <v>0</v>
      </c>
      <c r="E41" s="410">
        <v>0</v>
      </c>
      <c r="F41" s="422">
        <f t="shared" si="0"/>
        <v>0</v>
      </c>
    </row>
    <row r="42" spans="1:6" ht="18" customHeight="1">
      <c r="A42" s="420" t="s">
        <v>103</v>
      </c>
      <c r="B42" s="421">
        <v>620145</v>
      </c>
      <c r="C42" s="409">
        <v>620145</v>
      </c>
      <c r="D42" s="410">
        <v>0</v>
      </c>
      <c r="E42" s="410">
        <v>0</v>
      </c>
      <c r="F42" s="422">
        <f t="shared" si="0"/>
        <v>0</v>
      </c>
    </row>
    <row r="43" spans="1:6" ht="18" customHeight="1">
      <c r="A43" s="420" t="s">
        <v>104</v>
      </c>
      <c r="B43" s="421">
        <v>505303</v>
      </c>
      <c r="C43" s="409">
        <v>505303</v>
      </c>
      <c r="D43" s="410">
        <v>0</v>
      </c>
      <c r="E43" s="410">
        <v>0</v>
      </c>
      <c r="F43" s="422">
        <f t="shared" si="0"/>
        <v>0</v>
      </c>
    </row>
    <row r="44" spans="1:6" ht="18" customHeight="1">
      <c r="A44" s="420" t="s">
        <v>106</v>
      </c>
      <c r="B44" s="421">
        <v>8176728</v>
      </c>
      <c r="C44" s="409">
        <v>0</v>
      </c>
      <c r="D44" s="410">
        <v>0</v>
      </c>
      <c r="E44" s="410">
        <v>0</v>
      </c>
      <c r="F44" s="422">
        <f t="shared" si="0"/>
        <v>8176728</v>
      </c>
    </row>
    <row r="45" spans="1:6" ht="18" customHeight="1">
      <c r="A45" s="420" t="s">
        <v>108</v>
      </c>
      <c r="B45" s="421">
        <v>0</v>
      </c>
      <c r="C45" s="409">
        <v>0</v>
      </c>
      <c r="D45" s="410">
        <v>0</v>
      </c>
      <c r="E45" s="410">
        <v>0</v>
      </c>
      <c r="F45" s="422">
        <f t="shared" si="0"/>
        <v>0</v>
      </c>
    </row>
    <row r="46" spans="1:6" ht="18" customHeight="1">
      <c r="A46" s="420" t="s">
        <v>217</v>
      </c>
      <c r="B46" s="421">
        <v>151591</v>
      </c>
      <c r="C46" s="409">
        <v>151591</v>
      </c>
      <c r="D46" s="410">
        <v>0</v>
      </c>
      <c r="E46" s="410">
        <v>0</v>
      </c>
      <c r="F46" s="422">
        <f t="shared" si="0"/>
        <v>0</v>
      </c>
    </row>
    <row r="47" spans="1:6" ht="18" customHeight="1">
      <c r="A47" s="420" t="s">
        <v>110</v>
      </c>
      <c r="B47" s="421">
        <v>0</v>
      </c>
      <c r="C47" s="409">
        <v>0</v>
      </c>
      <c r="D47" s="410">
        <v>0</v>
      </c>
      <c r="E47" s="410">
        <v>0</v>
      </c>
      <c r="F47" s="422">
        <f t="shared" si="0"/>
        <v>0</v>
      </c>
    </row>
    <row r="48" spans="1:6" ht="18" customHeight="1">
      <c r="A48" s="420" t="s">
        <v>111</v>
      </c>
      <c r="B48" s="421">
        <v>0</v>
      </c>
      <c r="C48" s="409">
        <v>0</v>
      </c>
      <c r="D48" s="410">
        <v>0</v>
      </c>
      <c r="E48" s="410">
        <v>0</v>
      </c>
      <c r="F48" s="422">
        <f t="shared" si="0"/>
        <v>0</v>
      </c>
    </row>
    <row r="49" spans="1:6" ht="18" customHeight="1">
      <c r="A49" s="420" t="s">
        <v>112</v>
      </c>
      <c r="B49" s="421">
        <v>4341016</v>
      </c>
      <c r="C49" s="409">
        <v>4341016</v>
      </c>
      <c r="D49" s="410">
        <v>0</v>
      </c>
      <c r="E49" s="410">
        <v>0</v>
      </c>
      <c r="F49" s="422">
        <f t="shared" si="0"/>
        <v>0</v>
      </c>
    </row>
    <row r="50" spans="1:6" ht="18" customHeight="1">
      <c r="A50" s="420" t="s">
        <v>113</v>
      </c>
      <c r="B50" s="421">
        <v>2255491</v>
      </c>
      <c r="C50" s="409">
        <v>2255491</v>
      </c>
      <c r="D50" s="410">
        <v>0</v>
      </c>
      <c r="E50" s="410">
        <v>0</v>
      </c>
      <c r="F50" s="422">
        <f t="shared" si="0"/>
        <v>0</v>
      </c>
    </row>
    <row r="51" spans="1:6" ht="18" customHeight="1">
      <c r="A51" s="420" t="s">
        <v>114</v>
      </c>
      <c r="B51" s="421">
        <v>2223335</v>
      </c>
      <c r="C51" s="409">
        <v>2223335</v>
      </c>
      <c r="D51" s="410">
        <v>0</v>
      </c>
      <c r="E51" s="410">
        <v>0</v>
      </c>
      <c r="F51" s="422">
        <f t="shared" si="0"/>
        <v>0</v>
      </c>
    </row>
    <row r="52" spans="1:6" ht="18" customHeight="1">
      <c r="A52" s="420" t="s">
        <v>115</v>
      </c>
      <c r="B52" s="421">
        <v>28997</v>
      </c>
      <c r="C52" s="409">
        <v>5333</v>
      </c>
      <c r="D52" s="410">
        <v>0</v>
      </c>
      <c r="E52" s="410">
        <v>0</v>
      </c>
      <c r="F52" s="422">
        <f t="shared" si="0"/>
        <v>23664</v>
      </c>
    </row>
    <row r="53" spans="1:6" ht="18" customHeight="1">
      <c r="A53" s="420" t="s">
        <v>187</v>
      </c>
      <c r="B53" s="421">
        <v>59718</v>
      </c>
      <c r="C53" s="409">
        <v>0</v>
      </c>
      <c r="D53" s="410">
        <v>0</v>
      </c>
      <c r="E53" s="410">
        <v>0</v>
      </c>
      <c r="F53" s="422">
        <f t="shared" si="0"/>
        <v>59718</v>
      </c>
    </row>
    <row r="54" spans="1:6" ht="18" customHeight="1">
      <c r="A54" s="420" t="s">
        <v>117</v>
      </c>
      <c r="B54" s="421">
        <v>2094712</v>
      </c>
      <c r="C54" s="409">
        <v>0</v>
      </c>
      <c r="D54" s="410">
        <v>0</v>
      </c>
      <c r="E54" s="410">
        <v>0</v>
      </c>
      <c r="F54" s="422">
        <f t="shared" si="0"/>
        <v>2094712</v>
      </c>
    </row>
    <row r="55" spans="1:6" ht="18" customHeight="1">
      <c r="A55" s="420" t="s">
        <v>118</v>
      </c>
      <c r="B55" s="421">
        <v>0</v>
      </c>
      <c r="C55" s="409">
        <v>0</v>
      </c>
      <c r="D55" s="410">
        <v>0</v>
      </c>
      <c r="E55" s="410">
        <v>0</v>
      </c>
      <c r="F55" s="422">
        <f t="shared" si="0"/>
        <v>0</v>
      </c>
    </row>
    <row r="56" spans="1:6" ht="18" customHeight="1">
      <c r="A56" s="420" t="s">
        <v>119</v>
      </c>
      <c r="B56" s="421">
        <v>9766137</v>
      </c>
      <c r="C56" s="409">
        <v>4883070</v>
      </c>
      <c r="D56" s="410">
        <v>0</v>
      </c>
      <c r="E56" s="410">
        <v>4883067</v>
      </c>
      <c r="F56" s="422">
        <f t="shared" si="0"/>
        <v>0</v>
      </c>
    </row>
    <row r="57" spans="1:6" ht="18" customHeight="1">
      <c r="A57" s="420" t="s">
        <v>120</v>
      </c>
      <c r="B57" s="421">
        <v>38833333</v>
      </c>
      <c r="C57" s="409">
        <v>36264333</v>
      </c>
      <c r="D57" s="410">
        <v>569000</v>
      </c>
      <c r="E57" s="410">
        <v>2000000</v>
      </c>
      <c r="F57" s="422">
        <f t="shared" si="0"/>
        <v>0</v>
      </c>
    </row>
    <row r="58" spans="1:6" ht="18" customHeight="1" thickBot="1">
      <c r="A58" s="426" t="s">
        <v>121</v>
      </c>
      <c r="B58" s="427">
        <v>79603</v>
      </c>
      <c r="C58" s="428">
        <v>79603</v>
      </c>
      <c r="D58" s="429">
        <v>0</v>
      </c>
      <c r="E58" s="429">
        <v>0</v>
      </c>
      <c r="F58" s="430">
        <f t="shared" si="0"/>
        <v>0</v>
      </c>
    </row>
    <row r="59" spans="1:6" ht="20.25" customHeight="1" thickBot="1">
      <c r="A59" s="431" t="s">
        <v>124</v>
      </c>
      <c r="B59" s="432">
        <f>SUM(B8:B58)</f>
        <v>157524929</v>
      </c>
      <c r="C59" s="432">
        <f>SUM(C8:C58)</f>
        <v>121191653</v>
      </c>
      <c r="D59" s="432">
        <f>SUM(D8:D58)</f>
        <v>7142556</v>
      </c>
      <c r="E59" s="432">
        <f>SUM(E8:E58)</f>
        <v>17994387</v>
      </c>
      <c r="F59" s="399">
        <f>SUM(F8:F58)</f>
        <v>11196333</v>
      </c>
    </row>
    <row r="60" spans="1:6" ht="18" customHeight="1">
      <c r="A60" s="433"/>
      <c r="B60" s="434"/>
      <c r="C60" s="434"/>
      <c r="D60" s="434"/>
      <c r="E60" s="434"/>
      <c r="F60" s="435"/>
    </row>
    <row r="61" spans="1:6" ht="18" customHeight="1">
      <c r="A61" s="436" t="s">
        <v>220</v>
      </c>
      <c r="B61" s="1"/>
      <c r="C61" s="1"/>
      <c r="D61" s="1"/>
      <c r="E61" s="1"/>
      <c r="F61" s="1"/>
    </row>
    <row r="62" spans="1:6" ht="15.5">
      <c r="A62" s="437" t="s">
        <v>221</v>
      </c>
      <c r="B62" s="1"/>
      <c r="C62" s="1"/>
      <c r="D62" s="1"/>
      <c r="E62" s="1"/>
      <c r="F62" s="1"/>
    </row>
    <row r="63" spans="1:6" ht="15.5">
      <c r="A63" s="1"/>
      <c r="B63" s="1"/>
      <c r="C63" s="1"/>
      <c r="D63" s="1"/>
      <c r="E63" s="1"/>
      <c r="F63" s="1"/>
    </row>
    <row r="64" spans="1:6" ht="15.5">
      <c r="A64" s="1"/>
      <c r="B64" s="1"/>
      <c r="C64" s="1"/>
      <c r="D64" s="1"/>
      <c r="E64" s="1"/>
      <c r="F64" s="1"/>
    </row>
    <row r="65" spans="1:6" ht="15.5">
      <c r="A65" s="1"/>
      <c r="B65" s="1"/>
      <c r="C65" s="1"/>
      <c r="D65" s="1"/>
      <c r="E65" s="1"/>
      <c r="F65" s="1"/>
    </row>
    <row r="66" spans="1:6" ht="15.5">
      <c r="A66" s="1"/>
      <c r="B66" s="1"/>
      <c r="C66" s="1"/>
      <c r="D66" s="1"/>
      <c r="E66" s="1"/>
      <c r="F66" s="1"/>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ACC1E-1250-4556-8F09-B72C8C9E64E2}">
  <dimension ref="A1:F62"/>
  <sheetViews>
    <sheetView topLeftCell="A39" workbookViewId="0">
      <selection activeCell="F3" sqref="F3"/>
    </sheetView>
  </sheetViews>
  <sheetFormatPr defaultColWidth="9.7265625" defaultRowHeight="15.5"/>
  <cols>
    <col min="1" max="1" width="27" style="1" customWidth="1"/>
    <col min="2" max="6" width="17.26953125" style="1" customWidth="1"/>
    <col min="7" max="16384" width="9.7265625" style="1"/>
  </cols>
  <sheetData>
    <row r="1" spans="1:6" ht="16.5" customHeight="1">
      <c r="A1" s="389"/>
      <c r="B1" s="355"/>
      <c r="F1" s="380" t="str">
        <f>Status!C1</f>
        <v>UNEP/OzL.Pro/ExCom/94/3</v>
      </c>
    </row>
    <row r="2" spans="1:6" ht="16.5" customHeight="1">
      <c r="A2" s="389"/>
      <c r="B2" s="22"/>
      <c r="F2" s="380" t="s">
        <v>228</v>
      </c>
    </row>
    <row r="3" spans="1:6" ht="16.5" customHeight="1">
      <c r="B3" s="22"/>
      <c r="F3" s="380"/>
    </row>
    <row r="4" spans="1:6" ht="20.25" customHeight="1">
      <c r="A4" s="381" t="s">
        <v>2</v>
      </c>
      <c r="B4" s="381"/>
      <c r="C4" s="381"/>
      <c r="D4" s="381"/>
      <c r="E4" s="381"/>
      <c r="F4" s="381"/>
    </row>
    <row r="5" spans="1:6" ht="20.25" customHeight="1">
      <c r="A5" s="382" t="s">
        <v>222</v>
      </c>
      <c r="B5" s="381"/>
      <c r="C5" s="381"/>
      <c r="D5" s="381"/>
      <c r="E5" s="381"/>
      <c r="F5" s="381"/>
    </row>
    <row r="6" spans="1:6" ht="30" customHeight="1" thickBot="1">
      <c r="A6" s="383" t="str">
        <f>Status!A6</f>
        <v>As at 24/05/2024</v>
      </c>
      <c r="B6" s="381"/>
      <c r="C6" s="381"/>
      <c r="D6" s="381"/>
      <c r="E6" s="381"/>
      <c r="F6" s="381"/>
    </row>
    <row r="7" spans="1:6" ht="35.25" customHeight="1" thickBot="1">
      <c r="A7" s="358" t="s">
        <v>60</v>
      </c>
      <c r="B7" s="359" t="s">
        <v>61</v>
      </c>
      <c r="C7" s="359" t="s">
        <v>62</v>
      </c>
      <c r="D7" s="359" t="s">
        <v>63</v>
      </c>
      <c r="E7" s="359" t="s">
        <v>64</v>
      </c>
      <c r="F7" s="384" t="s">
        <v>65</v>
      </c>
    </row>
    <row r="8" spans="1:6" ht="18" customHeight="1">
      <c r="A8" s="438" t="s">
        <v>130</v>
      </c>
      <c r="B8" s="439">
        <v>2719451</v>
      </c>
      <c r="C8" s="439">
        <v>2719451</v>
      </c>
      <c r="D8" s="439">
        <v>0</v>
      </c>
      <c r="E8" s="439">
        <v>0</v>
      </c>
      <c r="F8" s="440">
        <f>B8-C8-D8-E8</f>
        <v>0</v>
      </c>
    </row>
    <row r="9" spans="1:6" ht="16.5" customHeight="1">
      <c r="A9" s="420" t="s">
        <v>223</v>
      </c>
      <c r="B9" s="441">
        <v>1589409</v>
      </c>
      <c r="C9" s="441">
        <v>1589409</v>
      </c>
      <c r="D9" s="441">
        <v>0</v>
      </c>
      <c r="E9" s="441">
        <v>0</v>
      </c>
      <c r="F9" s="442">
        <f t="shared" ref="F9:F58" si="0">B9-C9-D9-E9</f>
        <v>0</v>
      </c>
    </row>
    <row r="10" spans="1:6" ht="16.5" customHeight="1">
      <c r="A10" s="423" t="s">
        <v>70</v>
      </c>
      <c r="B10" s="441">
        <v>215902</v>
      </c>
      <c r="C10" s="441">
        <v>0</v>
      </c>
      <c r="D10" s="441">
        <v>0</v>
      </c>
      <c r="E10" s="441">
        <v>0</v>
      </c>
      <c r="F10" s="442">
        <f t="shared" si="0"/>
        <v>215902</v>
      </c>
    </row>
    <row r="11" spans="1:6" ht="16.5" customHeight="1">
      <c r="A11" s="420" t="s">
        <v>71</v>
      </c>
      <c r="B11" s="441">
        <v>537459</v>
      </c>
      <c r="C11" s="441">
        <v>0</v>
      </c>
      <c r="D11" s="441">
        <v>0</v>
      </c>
      <c r="E11" s="441">
        <v>0</v>
      </c>
      <c r="F11" s="442">
        <f t="shared" si="0"/>
        <v>537459</v>
      </c>
    </row>
    <row r="12" spans="1:6" ht="16.5" customHeight="1">
      <c r="A12" s="420" t="s">
        <v>72</v>
      </c>
      <c r="B12" s="441">
        <v>1851248</v>
      </c>
      <c r="C12" s="441">
        <v>1851248</v>
      </c>
      <c r="D12" s="441">
        <v>0</v>
      </c>
      <c r="E12" s="441">
        <v>0</v>
      </c>
      <c r="F12" s="442">
        <f t="shared" si="0"/>
        <v>0</v>
      </c>
    </row>
    <row r="13" spans="1:6" ht="16.5" customHeight="1">
      <c r="A13" s="420" t="s">
        <v>215</v>
      </c>
      <c r="B13" s="441">
        <v>0</v>
      </c>
      <c r="C13" s="441">
        <v>0</v>
      </c>
      <c r="D13" s="441">
        <v>0</v>
      </c>
      <c r="E13" s="441">
        <v>0</v>
      </c>
      <c r="F13" s="442">
        <f t="shared" si="0"/>
        <v>0</v>
      </c>
    </row>
    <row r="14" spans="1:6" ht="16.5" customHeight="1">
      <c r="A14" s="420" t="s">
        <v>73</v>
      </c>
      <c r="B14" s="441">
        <v>68000</v>
      </c>
      <c r="C14" s="441">
        <v>68000</v>
      </c>
      <c r="D14" s="441">
        <v>0</v>
      </c>
      <c r="E14" s="441">
        <v>0</v>
      </c>
      <c r="F14" s="442">
        <f t="shared" si="0"/>
        <v>0</v>
      </c>
    </row>
    <row r="15" spans="1:6" ht="16.5" customHeight="1">
      <c r="A15" s="420" t="s">
        <v>131</v>
      </c>
      <c r="B15" s="443">
        <v>5700741</v>
      </c>
      <c r="C15" s="443">
        <v>4840106</v>
      </c>
      <c r="D15" s="443">
        <v>860635</v>
      </c>
      <c r="E15" s="443">
        <v>0</v>
      </c>
      <c r="F15" s="442">
        <f t="shared" si="0"/>
        <v>0</v>
      </c>
    </row>
    <row r="16" spans="1:6" ht="16.5" customHeight="1">
      <c r="A16" s="420" t="s">
        <v>76</v>
      </c>
      <c r="B16" s="441">
        <v>0</v>
      </c>
      <c r="C16" s="441">
        <v>0</v>
      </c>
      <c r="D16" s="441">
        <v>0</v>
      </c>
      <c r="E16" s="441">
        <v>0</v>
      </c>
      <c r="F16" s="442">
        <f t="shared" si="0"/>
        <v>0</v>
      </c>
    </row>
    <row r="17" spans="1:6" ht="16.5" customHeight="1">
      <c r="A17" s="420" t="s">
        <v>77</v>
      </c>
      <c r="B17" s="441">
        <v>376958</v>
      </c>
      <c r="C17" s="441">
        <v>376958</v>
      </c>
      <c r="D17" s="441">
        <v>0</v>
      </c>
      <c r="E17" s="441">
        <v>0</v>
      </c>
      <c r="F17" s="442">
        <f t="shared" si="0"/>
        <v>0</v>
      </c>
    </row>
    <row r="18" spans="1:6" ht="16.5" customHeight="1">
      <c r="A18" s="420" t="s">
        <v>78</v>
      </c>
      <c r="B18" s="441">
        <v>1318383</v>
      </c>
      <c r="C18" s="441">
        <v>1318383</v>
      </c>
      <c r="D18" s="441">
        <v>0</v>
      </c>
      <c r="E18" s="441">
        <v>0</v>
      </c>
      <c r="F18" s="442">
        <f t="shared" si="0"/>
        <v>0</v>
      </c>
    </row>
    <row r="19" spans="1:6" ht="16.5" customHeight="1">
      <c r="A19" s="420" t="s">
        <v>79</v>
      </c>
      <c r="B19" s="441">
        <v>0</v>
      </c>
      <c r="C19" s="441">
        <v>0</v>
      </c>
      <c r="D19" s="441">
        <v>0</v>
      </c>
      <c r="E19" s="441">
        <v>0</v>
      </c>
      <c r="F19" s="442">
        <f t="shared" si="0"/>
        <v>0</v>
      </c>
    </row>
    <row r="20" spans="1:6" ht="16.5" customHeight="1">
      <c r="A20" s="420" t="s">
        <v>80</v>
      </c>
      <c r="B20" s="441">
        <v>1134636</v>
      </c>
      <c r="C20" s="441">
        <v>1134636</v>
      </c>
      <c r="D20" s="441">
        <v>0</v>
      </c>
      <c r="E20" s="441">
        <v>0</v>
      </c>
      <c r="F20" s="442">
        <f t="shared" si="0"/>
        <v>0</v>
      </c>
    </row>
    <row r="21" spans="1:6" ht="16.5" customHeight="1">
      <c r="A21" s="420" t="s">
        <v>81</v>
      </c>
      <c r="B21" s="441">
        <v>11773570</v>
      </c>
      <c r="C21" s="441">
        <v>2874846</v>
      </c>
      <c r="D21" s="441">
        <v>1736636</v>
      </c>
      <c r="E21" s="441">
        <v>617934</v>
      </c>
      <c r="F21" s="442">
        <f t="shared" si="0"/>
        <v>6544154</v>
      </c>
    </row>
    <row r="22" spans="1:6" ht="16.5" customHeight="1">
      <c r="A22" s="420" t="s">
        <v>216</v>
      </c>
      <c r="B22" s="441">
        <v>0</v>
      </c>
      <c r="C22" s="441">
        <v>0</v>
      </c>
      <c r="D22" s="441">
        <v>0</v>
      </c>
      <c r="E22" s="441">
        <v>0</v>
      </c>
      <c r="F22" s="442">
        <f t="shared" si="0"/>
        <v>0</v>
      </c>
    </row>
    <row r="23" spans="1:6" ht="16.5" customHeight="1">
      <c r="A23" s="420" t="s">
        <v>82</v>
      </c>
      <c r="B23" s="441">
        <v>16615295</v>
      </c>
      <c r="C23" s="441">
        <f>15622987+75353</f>
        <v>15698340</v>
      </c>
      <c r="D23" s="441">
        <f>992308-75353</f>
        <v>916955</v>
      </c>
      <c r="E23" s="441">
        <v>0</v>
      </c>
      <c r="F23" s="442">
        <f t="shared" si="0"/>
        <v>0</v>
      </c>
    </row>
    <row r="24" spans="1:6" ht="16.5" customHeight="1">
      <c r="A24" s="420" t="s">
        <v>83</v>
      </c>
      <c r="B24" s="441">
        <v>698237</v>
      </c>
      <c r="C24" s="441">
        <v>698237</v>
      </c>
      <c r="D24" s="441">
        <v>0</v>
      </c>
      <c r="E24" s="441">
        <v>0</v>
      </c>
      <c r="F24" s="442">
        <f t="shared" si="0"/>
        <v>0</v>
      </c>
    </row>
    <row r="25" spans="1:6" ht="16.5" customHeight="1">
      <c r="A25" s="420" t="s">
        <v>85</v>
      </c>
      <c r="B25" s="441">
        <v>257245</v>
      </c>
      <c r="C25" s="441">
        <v>257245</v>
      </c>
      <c r="D25" s="441">
        <v>0</v>
      </c>
      <c r="E25" s="441">
        <v>0</v>
      </c>
      <c r="F25" s="442">
        <f t="shared" si="0"/>
        <v>0</v>
      </c>
    </row>
    <row r="26" spans="1:6" ht="16.5" customHeight="1">
      <c r="A26" s="420" t="s">
        <v>86</v>
      </c>
      <c r="B26" s="441">
        <v>55124</v>
      </c>
      <c r="C26" s="441">
        <v>55124</v>
      </c>
      <c r="D26" s="441">
        <v>0</v>
      </c>
      <c r="E26" s="441">
        <v>0</v>
      </c>
      <c r="F26" s="442">
        <f t="shared" si="0"/>
        <v>0</v>
      </c>
    </row>
    <row r="27" spans="1:6" ht="16.5" customHeight="1">
      <c r="A27" s="420" t="s">
        <v>87</v>
      </c>
      <c r="B27" s="441">
        <v>385868</v>
      </c>
      <c r="C27" s="441">
        <v>385868</v>
      </c>
      <c r="D27" s="441">
        <v>0</v>
      </c>
      <c r="E27" s="441">
        <v>0</v>
      </c>
      <c r="F27" s="442">
        <f t="shared" si="0"/>
        <v>0</v>
      </c>
    </row>
    <row r="28" spans="1:6" ht="16.5" customHeight="1">
      <c r="A28" s="420" t="s">
        <v>88</v>
      </c>
      <c r="B28" s="441">
        <v>491522</v>
      </c>
      <c r="C28" s="441">
        <v>491522</v>
      </c>
      <c r="D28" s="441">
        <v>0</v>
      </c>
      <c r="E28" s="441">
        <v>0</v>
      </c>
      <c r="F28" s="442">
        <f t="shared" si="0"/>
        <v>0</v>
      </c>
    </row>
    <row r="29" spans="1:6" ht="16.5" customHeight="1">
      <c r="A29" s="420" t="s">
        <v>89</v>
      </c>
      <c r="B29" s="441">
        <v>9550235</v>
      </c>
      <c r="C29" s="441">
        <v>9550235</v>
      </c>
      <c r="D29" s="441">
        <v>0</v>
      </c>
      <c r="E29" s="441">
        <v>0</v>
      </c>
      <c r="F29" s="442">
        <f t="shared" si="0"/>
        <v>0</v>
      </c>
    </row>
    <row r="30" spans="1:6" ht="16.5" customHeight="1">
      <c r="A30" s="420" t="s">
        <v>90</v>
      </c>
      <c r="B30" s="441">
        <v>28361303</v>
      </c>
      <c r="C30" s="441">
        <v>28361303</v>
      </c>
      <c r="D30" s="441">
        <v>0</v>
      </c>
      <c r="E30" s="441">
        <v>0</v>
      </c>
      <c r="F30" s="442">
        <f t="shared" si="0"/>
        <v>0</v>
      </c>
    </row>
    <row r="31" spans="1:6" ht="16.5" customHeight="1">
      <c r="A31" s="420" t="s">
        <v>92</v>
      </c>
      <c r="B31" s="441">
        <v>0</v>
      </c>
      <c r="C31" s="441">
        <v>0</v>
      </c>
      <c r="D31" s="441">
        <v>0</v>
      </c>
      <c r="E31" s="441">
        <v>0</v>
      </c>
      <c r="F31" s="442">
        <f t="shared" si="0"/>
        <v>0</v>
      </c>
    </row>
    <row r="32" spans="1:6" ht="16.5" customHeight="1">
      <c r="A32" s="420" t="s">
        <v>93</v>
      </c>
      <c r="B32" s="441">
        <v>0</v>
      </c>
      <c r="C32" s="441">
        <v>0</v>
      </c>
      <c r="D32" s="441">
        <v>0</v>
      </c>
      <c r="E32" s="441">
        <v>0</v>
      </c>
      <c r="F32" s="442">
        <f t="shared" si="0"/>
        <v>0</v>
      </c>
    </row>
    <row r="33" spans="1:6" ht="16.5" customHeight="1">
      <c r="A33" s="420" t="s">
        <v>94</v>
      </c>
      <c r="B33" s="441">
        <v>18375</v>
      </c>
      <c r="C33" s="441">
        <v>18375</v>
      </c>
      <c r="D33" s="441">
        <v>0</v>
      </c>
      <c r="E33" s="441">
        <v>0</v>
      </c>
      <c r="F33" s="442">
        <f t="shared" si="0"/>
        <v>0</v>
      </c>
    </row>
    <row r="34" spans="1:6" ht="16.5" customHeight="1">
      <c r="A34" s="420" t="s">
        <v>95</v>
      </c>
      <c r="B34" s="441">
        <v>0</v>
      </c>
      <c r="C34" s="441">
        <v>0</v>
      </c>
      <c r="D34" s="441">
        <v>0</v>
      </c>
      <c r="E34" s="441">
        <v>0</v>
      </c>
      <c r="F34" s="442">
        <f t="shared" si="0"/>
        <v>0</v>
      </c>
    </row>
    <row r="35" spans="1:6" ht="16.5" customHeight="1">
      <c r="A35" s="420" t="s">
        <v>96</v>
      </c>
      <c r="B35" s="441">
        <v>128623</v>
      </c>
      <c r="C35" s="441">
        <v>128623</v>
      </c>
      <c r="D35" s="441">
        <v>0</v>
      </c>
      <c r="E35" s="441">
        <v>0</v>
      </c>
      <c r="F35" s="442">
        <f t="shared" si="0"/>
        <v>0</v>
      </c>
    </row>
    <row r="36" spans="1:6" ht="16.5" customHeight="1">
      <c r="A36" s="420" t="s">
        <v>97</v>
      </c>
      <c r="B36" s="441">
        <v>0</v>
      </c>
      <c r="C36" s="441">
        <v>0</v>
      </c>
      <c r="D36" s="441">
        <v>0</v>
      </c>
      <c r="E36" s="441">
        <v>0</v>
      </c>
      <c r="F36" s="442">
        <f t="shared" si="0"/>
        <v>0</v>
      </c>
    </row>
    <row r="37" spans="1:6" ht="16.5" customHeight="1">
      <c r="A37" s="420" t="s">
        <v>98</v>
      </c>
      <c r="B37" s="441">
        <v>18375</v>
      </c>
      <c r="C37" s="441">
        <v>18375</v>
      </c>
      <c r="D37" s="441">
        <v>0</v>
      </c>
      <c r="E37" s="441">
        <v>0</v>
      </c>
      <c r="F37" s="442">
        <f t="shared" si="0"/>
        <v>0</v>
      </c>
    </row>
    <row r="38" spans="1:6" ht="16.5" customHeight="1">
      <c r="A38" s="420" t="s">
        <v>99</v>
      </c>
      <c r="B38" s="441">
        <v>2916979</v>
      </c>
      <c r="C38" s="441">
        <v>2916979</v>
      </c>
      <c r="D38" s="441">
        <v>0</v>
      </c>
      <c r="E38" s="441">
        <v>0</v>
      </c>
      <c r="F38" s="442">
        <f t="shared" si="0"/>
        <v>0</v>
      </c>
    </row>
    <row r="39" spans="1:6" ht="16.5" customHeight="1">
      <c r="A39" s="420" t="s">
        <v>100</v>
      </c>
      <c r="B39" s="441">
        <v>440992</v>
      </c>
      <c r="C39" s="441">
        <v>440992</v>
      </c>
      <c r="D39" s="441">
        <v>0</v>
      </c>
      <c r="E39" s="441">
        <v>0</v>
      </c>
      <c r="F39" s="442">
        <f t="shared" si="0"/>
        <v>0</v>
      </c>
    </row>
    <row r="40" spans="1:6" ht="16.5" customHeight="1">
      <c r="A40" s="420" t="s">
        <v>101</v>
      </c>
      <c r="B40" s="441">
        <v>1028982</v>
      </c>
      <c r="C40" s="441">
        <v>1028982</v>
      </c>
      <c r="D40" s="441">
        <v>0</v>
      </c>
      <c r="E40" s="441">
        <v>0</v>
      </c>
      <c r="F40" s="442">
        <f t="shared" si="0"/>
        <v>0</v>
      </c>
    </row>
    <row r="41" spans="1:6" ht="16.5" customHeight="1">
      <c r="A41" s="420" t="s">
        <v>102</v>
      </c>
      <c r="B41" s="441">
        <v>0</v>
      </c>
      <c r="C41" s="441">
        <v>0</v>
      </c>
      <c r="D41" s="441">
        <v>0</v>
      </c>
      <c r="E41" s="441">
        <v>0</v>
      </c>
      <c r="F41" s="442">
        <f t="shared" si="0"/>
        <v>0</v>
      </c>
    </row>
    <row r="42" spans="1:6" ht="16.5" customHeight="1">
      <c r="A42" s="420" t="s">
        <v>103</v>
      </c>
      <c r="B42" s="441">
        <v>620145</v>
      </c>
      <c r="C42" s="441">
        <v>620145</v>
      </c>
      <c r="D42" s="441">
        <v>0</v>
      </c>
      <c r="E42" s="441">
        <v>0</v>
      </c>
      <c r="F42" s="442">
        <f t="shared" si="0"/>
        <v>0</v>
      </c>
    </row>
    <row r="43" spans="1:6" ht="16.5" customHeight="1">
      <c r="A43" s="420" t="s">
        <v>104</v>
      </c>
      <c r="B43" s="441">
        <v>505303</v>
      </c>
      <c r="C43" s="441">
        <v>505303</v>
      </c>
      <c r="D43" s="441">
        <v>0</v>
      </c>
      <c r="E43" s="441">
        <v>0</v>
      </c>
      <c r="F43" s="442">
        <f t="shared" si="0"/>
        <v>0</v>
      </c>
    </row>
    <row r="44" spans="1:6" ht="16.5" customHeight="1">
      <c r="A44" s="420" t="s">
        <v>106</v>
      </c>
      <c r="B44" s="441">
        <v>8176728</v>
      </c>
      <c r="C44" s="441">
        <v>0</v>
      </c>
      <c r="D44" s="441">
        <v>0</v>
      </c>
      <c r="E44" s="441">
        <v>0</v>
      </c>
      <c r="F44" s="442">
        <f t="shared" si="0"/>
        <v>8176728</v>
      </c>
    </row>
    <row r="45" spans="1:6" ht="16.5" customHeight="1">
      <c r="A45" s="420" t="s">
        <v>108</v>
      </c>
      <c r="B45" s="441">
        <v>0</v>
      </c>
      <c r="C45" s="441">
        <v>0</v>
      </c>
      <c r="D45" s="441">
        <v>0</v>
      </c>
      <c r="E45" s="441">
        <v>0</v>
      </c>
      <c r="F45" s="442">
        <f t="shared" si="0"/>
        <v>0</v>
      </c>
    </row>
    <row r="46" spans="1:6" ht="16.5" customHeight="1">
      <c r="A46" s="438" t="s">
        <v>217</v>
      </c>
      <c r="B46" s="441">
        <v>151591</v>
      </c>
      <c r="C46" s="441">
        <v>151591</v>
      </c>
      <c r="D46" s="441">
        <v>0</v>
      </c>
      <c r="E46" s="441">
        <v>0</v>
      </c>
      <c r="F46" s="442">
        <f t="shared" si="0"/>
        <v>0</v>
      </c>
    </row>
    <row r="47" spans="1:6" ht="16.5" customHeight="1">
      <c r="A47" s="420" t="s">
        <v>110</v>
      </c>
      <c r="B47" s="441">
        <v>0</v>
      </c>
      <c r="C47" s="441">
        <v>0</v>
      </c>
      <c r="D47" s="441">
        <v>0</v>
      </c>
      <c r="E47" s="441">
        <v>0</v>
      </c>
      <c r="F47" s="442">
        <f t="shared" si="0"/>
        <v>0</v>
      </c>
    </row>
    <row r="48" spans="1:6" ht="16.5" customHeight="1">
      <c r="A48" s="420" t="s">
        <v>111</v>
      </c>
      <c r="B48" s="441">
        <v>592583</v>
      </c>
      <c r="C48" s="441">
        <v>592583</v>
      </c>
      <c r="D48" s="441">
        <v>0</v>
      </c>
      <c r="E48" s="441">
        <v>0</v>
      </c>
      <c r="F48" s="442">
        <f t="shared" si="0"/>
        <v>0</v>
      </c>
    </row>
    <row r="49" spans="1:6" ht="16.5" customHeight="1">
      <c r="A49" s="420" t="s">
        <v>112</v>
      </c>
      <c r="B49" s="441">
        <v>4341016</v>
      </c>
      <c r="C49" s="441">
        <v>4341016</v>
      </c>
      <c r="D49" s="441">
        <v>0</v>
      </c>
      <c r="E49" s="441">
        <v>0</v>
      </c>
      <c r="F49" s="442">
        <f t="shared" si="0"/>
        <v>0</v>
      </c>
    </row>
    <row r="50" spans="1:6" ht="16.5" customHeight="1">
      <c r="A50" s="420" t="s">
        <v>113</v>
      </c>
      <c r="B50" s="441">
        <v>2255491</v>
      </c>
      <c r="C50" s="441">
        <v>2255491</v>
      </c>
      <c r="D50" s="441">
        <v>0</v>
      </c>
      <c r="E50" s="441">
        <v>0</v>
      </c>
      <c r="F50" s="442">
        <f t="shared" si="0"/>
        <v>0</v>
      </c>
    </row>
    <row r="51" spans="1:6" ht="16.5" customHeight="1">
      <c r="A51" s="420" t="s">
        <v>114</v>
      </c>
      <c r="B51" s="441">
        <v>2223335</v>
      </c>
      <c r="C51" s="441">
        <v>2189435</v>
      </c>
      <c r="D51" s="441">
        <v>33900</v>
      </c>
      <c r="E51" s="441">
        <v>0</v>
      </c>
      <c r="F51" s="442">
        <f t="shared" si="0"/>
        <v>0</v>
      </c>
    </row>
    <row r="52" spans="1:6" ht="16.5" customHeight="1">
      <c r="A52" s="420" t="s">
        <v>115</v>
      </c>
      <c r="B52" s="441">
        <v>0</v>
      </c>
      <c r="C52" s="441">
        <v>0</v>
      </c>
      <c r="D52" s="441">
        <v>0</v>
      </c>
      <c r="E52" s="441">
        <v>0</v>
      </c>
      <c r="F52" s="442">
        <f t="shared" si="0"/>
        <v>0</v>
      </c>
    </row>
    <row r="53" spans="1:6" ht="16.5" customHeight="1">
      <c r="A53" s="420" t="s">
        <v>187</v>
      </c>
      <c r="B53" s="441">
        <v>59718</v>
      </c>
      <c r="C53" s="441">
        <v>0</v>
      </c>
      <c r="D53" s="441">
        <v>0</v>
      </c>
      <c r="E53" s="441">
        <v>0</v>
      </c>
      <c r="F53" s="442">
        <f t="shared" si="0"/>
        <v>59718</v>
      </c>
    </row>
    <row r="54" spans="1:6" ht="16.5" customHeight="1">
      <c r="A54" s="420" t="s">
        <v>117</v>
      </c>
      <c r="B54" s="441">
        <v>1365867</v>
      </c>
      <c r="C54" s="441">
        <v>0</v>
      </c>
      <c r="D54" s="441">
        <v>0</v>
      </c>
      <c r="E54" s="441">
        <v>0</v>
      </c>
      <c r="F54" s="442">
        <f t="shared" si="0"/>
        <v>1365867</v>
      </c>
    </row>
    <row r="55" spans="1:6" ht="16.5" customHeight="1">
      <c r="A55" s="420" t="s">
        <v>118</v>
      </c>
      <c r="B55" s="441">
        <v>0</v>
      </c>
      <c r="C55" s="441">
        <v>0</v>
      </c>
      <c r="D55" s="441">
        <v>0</v>
      </c>
      <c r="E55" s="441">
        <v>0</v>
      </c>
      <c r="F55" s="442">
        <f t="shared" si="0"/>
        <v>0</v>
      </c>
    </row>
    <row r="56" spans="1:6" ht="16.5" customHeight="1">
      <c r="A56" s="420" t="s">
        <v>119</v>
      </c>
      <c r="B56" s="441">
        <v>9766137</v>
      </c>
      <c r="C56" s="441">
        <v>8138450</v>
      </c>
      <c r="D56" s="441">
        <v>0</v>
      </c>
      <c r="E56" s="441">
        <v>1627687</v>
      </c>
      <c r="F56" s="442">
        <f t="shared" si="0"/>
        <v>0</v>
      </c>
    </row>
    <row r="57" spans="1:6" ht="16.5" customHeight="1">
      <c r="A57" s="420" t="s">
        <v>120</v>
      </c>
      <c r="B57" s="441">
        <v>38833333</v>
      </c>
      <c r="C57" s="441">
        <v>38381333</v>
      </c>
      <c r="D57" s="441">
        <v>452000</v>
      </c>
      <c r="E57" s="441">
        <v>0</v>
      </c>
      <c r="F57" s="442">
        <f t="shared" si="0"/>
        <v>0</v>
      </c>
    </row>
    <row r="58" spans="1:6" ht="16.5" customHeight="1" thickBot="1">
      <c r="A58" s="426" t="s">
        <v>121</v>
      </c>
      <c r="B58" s="441">
        <v>0</v>
      </c>
      <c r="C58" s="441">
        <v>0</v>
      </c>
      <c r="D58" s="441">
        <v>0</v>
      </c>
      <c r="E58" s="441">
        <v>0</v>
      </c>
      <c r="F58" s="444">
        <f t="shared" si="0"/>
        <v>0</v>
      </c>
    </row>
    <row r="59" spans="1:6" ht="16" thickBot="1">
      <c r="A59" s="445" t="s">
        <v>124</v>
      </c>
      <c r="B59" s="432">
        <f>SUM(B8:B58)</f>
        <v>157144159</v>
      </c>
      <c r="C59" s="432">
        <f>SUM(C8:C58)</f>
        <v>133998584</v>
      </c>
      <c r="D59" s="432">
        <f>SUM(D8:D58)</f>
        <v>4000126</v>
      </c>
      <c r="E59" s="432">
        <f>SUM(E8:E58)</f>
        <v>2245621</v>
      </c>
      <c r="F59" s="446">
        <f>SUM(F8:F58)</f>
        <v>16899828</v>
      </c>
    </row>
    <row r="60" spans="1:6">
      <c r="A60" s="389"/>
      <c r="E60" s="21"/>
      <c r="F60" s="21"/>
    </row>
    <row r="61" spans="1:6">
      <c r="A61" s="447"/>
    </row>
    <row r="62" spans="1:6">
      <c r="A62" s="447"/>
    </row>
  </sheetData>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46FD2-EEBD-4C1B-9575-273098E07089}">
  <dimension ref="A1:F66"/>
  <sheetViews>
    <sheetView topLeftCell="A14" workbookViewId="0">
      <selection activeCell="B65" sqref="B65"/>
    </sheetView>
  </sheetViews>
  <sheetFormatPr defaultColWidth="9.7265625" defaultRowHeight="15.5"/>
  <cols>
    <col min="1" max="1" width="27" style="1" customWidth="1"/>
    <col min="2" max="3" width="17.26953125" style="1" customWidth="1"/>
    <col min="4" max="4" width="13.7265625" style="1" customWidth="1"/>
    <col min="5" max="6" width="17.26953125" style="1" customWidth="1"/>
    <col min="7" max="16384" width="9.7265625" style="1"/>
  </cols>
  <sheetData>
    <row r="1" spans="1:6" ht="16.5" customHeight="1">
      <c r="B1" s="355"/>
      <c r="F1" s="380" t="str">
        <f>Status!C1</f>
        <v>UNEP/OzL.Pro/ExCom/94/3</v>
      </c>
    </row>
    <row r="2" spans="1:6" ht="16.5" customHeight="1">
      <c r="B2" s="22"/>
      <c r="F2" s="380" t="s">
        <v>245</v>
      </c>
    </row>
    <row r="3" spans="1:6" ht="16.5" customHeight="1">
      <c r="B3" s="22"/>
      <c r="F3" s="380"/>
    </row>
    <row r="4" spans="1:6" ht="20.25" customHeight="1">
      <c r="A4" s="381" t="s">
        <v>2</v>
      </c>
      <c r="B4" s="381"/>
      <c r="C4" s="381"/>
      <c r="D4" s="381"/>
      <c r="E4" s="381"/>
      <c r="F4" s="381"/>
    </row>
    <row r="5" spans="1:6" ht="20.25" customHeight="1">
      <c r="A5" s="382" t="s">
        <v>225</v>
      </c>
      <c r="B5" s="381"/>
      <c r="C5" s="381"/>
      <c r="D5" s="381"/>
      <c r="E5" s="381"/>
      <c r="F5" s="381"/>
    </row>
    <row r="6" spans="1:6" ht="30" customHeight="1" thickBot="1">
      <c r="A6" s="383" t="str">
        <f>Status!A6</f>
        <v>As at 24/05/2024</v>
      </c>
      <c r="B6" s="381"/>
      <c r="C6" s="381"/>
      <c r="D6" s="381"/>
      <c r="E6" s="381"/>
      <c r="F6" s="381"/>
    </row>
    <row r="7" spans="1:6" ht="30.5" thickBot="1">
      <c r="A7" s="358" t="s">
        <v>60</v>
      </c>
      <c r="B7" s="359" t="s">
        <v>61</v>
      </c>
      <c r="C7" s="359" t="s">
        <v>62</v>
      </c>
      <c r="D7" s="359" t="s">
        <v>63</v>
      </c>
      <c r="E7" s="359" t="s">
        <v>64</v>
      </c>
      <c r="F7" s="384" t="s">
        <v>65</v>
      </c>
    </row>
    <row r="8" spans="1:6" ht="18" customHeight="1">
      <c r="A8" s="237" t="s">
        <v>130</v>
      </c>
      <c r="B8" s="448">
        <f>'YR1994'!B8+'YR1995'!B8+'YR1996'!B8</f>
        <v>7845588</v>
      </c>
      <c r="C8" s="448">
        <f>'YR1994'!C8+'YR1995'!C8+'YR1996'!C8+91869+42162</f>
        <v>7276402</v>
      </c>
      <c r="D8" s="448">
        <f>'YR1994'!D8+'YR1995'!D8+'YR1996'!D8-91869-42162</f>
        <v>569186</v>
      </c>
      <c r="E8" s="448">
        <f>'YR1994'!E8+'YR1995'!E8+'YR1996'!E8</f>
        <v>0</v>
      </c>
      <c r="F8" s="449">
        <f>B8-C8-D8-E8</f>
        <v>0</v>
      </c>
    </row>
    <row r="9" spans="1:6" ht="18" customHeight="1">
      <c r="A9" s="40" t="s">
        <v>223</v>
      </c>
      <c r="B9" s="450">
        <f>'YR1994'!B9+'YR1995'!B9+'YR1996'!B9</f>
        <v>4123053</v>
      </c>
      <c r="C9" s="450">
        <f>'YR1994'!C9+'YR1995'!C9+'YR1996'!C9</f>
        <v>4006425</v>
      </c>
      <c r="D9" s="450">
        <f>'YR1994'!D9+'YR1995'!D9+'YR1996'!D9</f>
        <v>116628</v>
      </c>
      <c r="E9" s="450">
        <f>'YR1994'!E9+'YR1995'!E9+'YR1996'!E9</f>
        <v>0</v>
      </c>
      <c r="F9" s="451">
        <f t="shared" ref="F9:F58" si="0">B9-C9-D9-E9</f>
        <v>0</v>
      </c>
    </row>
    <row r="10" spans="1:6" ht="18" customHeight="1">
      <c r="A10" s="245" t="s">
        <v>70</v>
      </c>
      <c r="B10" s="450">
        <f>'YR1994'!B10+'YR1995'!B10+'YR1996'!B10</f>
        <v>63182</v>
      </c>
      <c r="C10" s="450">
        <f>63182</f>
        <v>63182</v>
      </c>
      <c r="D10" s="450">
        <f>'YR1994'!D10+'YR1995'!D10+'YR1996'!D10</f>
        <v>0</v>
      </c>
      <c r="E10" s="450">
        <v>0</v>
      </c>
      <c r="F10" s="451">
        <f t="shared" si="0"/>
        <v>0</v>
      </c>
    </row>
    <row r="11" spans="1:6" ht="18" customHeight="1">
      <c r="A11" s="40" t="s">
        <v>71</v>
      </c>
      <c r="B11" s="450">
        <f>'YR1994'!B11+'YR1995'!B11+'YR1996'!B11</f>
        <v>160066</v>
      </c>
      <c r="C11" s="450">
        <f>'YR1994'!C11+'YR1995'!C11+'YR1996'!C11</f>
        <v>0</v>
      </c>
      <c r="D11" s="450">
        <f>'YR1994'!D11+'YR1995'!D11+'YR1996'!D11</f>
        <v>0</v>
      </c>
      <c r="E11" s="450">
        <f>'YR1994'!E11+'YR1995'!E11+'YR1996'!E11</f>
        <v>0</v>
      </c>
      <c r="F11" s="451">
        <f t="shared" si="0"/>
        <v>160066</v>
      </c>
    </row>
    <row r="12" spans="1:6" ht="18" customHeight="1">
      <c r="A12" s="40" t="s">
        <v>72</v>
      </c>
      <c r="B12" s="450">
        <f>'YR1994'!B12+'YR1995'!B12+'YR1996'!B12</f>
        <v>5452741</v>
      </c>
      <c r="C12" s="450">
        <f>'YR1994'!C12+'YR1995'!C12+'YR1996'!C12</f>
        <v>5452741</v>
      </c>
      <c r="D12" s="450">
        <f>'YR1994'!D12+'YR1995'!D12+'YR1996'!D12</f>
        <v>0</v>
      </c>
      <c r="E12" s="450">
        <f>'YR1994'!E12+'YR1995'!E12+'YR1996'!E12</f>
        <v>0</v>
      </c>
      <c r="F12" s="451">
        <f t="shared" si="0"/>
        <v>0</v>
      </c>
    </row>
    <row r="13" spans="1:6" ht="18" customHeight="1">
      <c r="A13" s="420" t="s">
        <v>215</v>
      </c>
      <c r="B13" s="450">
        <f>'YR1994'!B13+'YR1995'!B13+'YR1996'!B13</f>
        <v>0</v>
      </c>
      <c r="C13" s="450">
        <f>'YR1994'!C13+'YR1995'!C13+'YR1996'!C13</f>
        <v>0</v>
      </c>
      <c r="D13" s="450">
        <f>'YR1994'!D13+'YR1995'!D13+'YR1996'!D13</f>
        <v>0</v>
      </c>
      <c r="E13" s="450">
        <f>'YR1994'!E13+'YR1995'!E13+'YR1996'!E13</f>
        <v>0</v>
      </c>
      <c r="F13" s="451"/>
    </row>
    <row r="14" spans="1:6" ht="18" customHeight="1">
      <c r="A14" s="40" t="s">
        <v>73</v>
      </c>
      <c r="B14" s="450">
        <f>'YR1994'!B14+'YR1995'!B14+'YR1996'!B14</f>
        <v>529218</v>
      </c>
      <c r="C14" s="450">
        <f>'YR1994'!C14+'YR1995'!C14+'YR1996'!C14</f>
        <v>529218</v>
      </c>
      <c r="D14" s="450">
        <f>'YR1994'!D14+'YR1995'!D14+'YR1996'!D14</f>
        <v>0</v>
      </c>
      <c r="E14" s="450">
        <f>'YR1994'!E14+'YR1995'!E14+'YR1996'!E14</f>
        <v>0</v>
      </c>
      <c r="F14" s="451">
        <f t="shared" si="0"/>
        <v>0</v>
      </c>
    </row>
    <row r="15" spans="1:6" ht="18" customHeight="1">
      <c r="A15" s="40" t="s">
        <v>131</v>
      </c>
      <c r="B15" s="450">
        <f>'YR1994'!B15+'YR1995'!B15+'YR1996'!B15</f>
        <v>16253343</v>
      </c>
      <c r="C15" s="450">
        <f>'YR1994'!C15+'YR1995'!C15+'YR1996'!C15</f>
        <v>14815493</v>
      </c>
      <c r="D15" s="450">
        <f>'YR1994'!D15+'YR1995'!D15+'YR1996'!D15</f>
        <v>1437850</v>
      </c>
      <c r="E15" s="450">
        <f>'YR1994'!E15+'YR1995'!E15+'YR1996'!E15</f>
        <v>0</v>
      </c>
      <c r="F15" s="451">
        <f t="shared" si="0"/>
        <v>0</v>
      </c>
    </row>
    <row r="16" spans="1:6" ht="18" customHeight="1">
      <c r="A16" s="40" t="s">
        <v>76</v>
      </c>
      <c r="B16" s="450">
        <f>'YR1994'!B16+'YR1995'!B16+'YR1996'!B16</f>
        <v>122023</v>
      </c>
      <c r="C16" s="450">
        <f>'YR1994'!C16+'YR1995'!C16+'YR1996'!C16</f>
        <v>122023</v>
      </c>
      <c r="D16" s="450">
        <f>'YR1994'!D16+'YR1995'!D16+'YR1996'!D16</f>
        <v>0</v>
      </c>
      <c r="E16" s="450">
        <f>'YR1994'!E16+'YR1995'!E16+'YR1996'!E16</f>
        <v>0</v>
      </c>
      <c r="F16" s="451">
        <f t="shared" si="0"/>
        <v>0</v>
      </c>
    </row>
    <row r="17" spans="1:6" ht="18" customHeight="1">
      <c r="A17" s="40" t="s">
        <v>77</v>
      </c>
      <c r="B17" s="450">
        <f>'YR1994'!B17+'YR1995'!B17+'YR1996'!B17</f>
        <v>1918089</v>
      </c>
      <c r="C17" s="450">
        <f>'YR1994'!C17+'YR1995'!C17+'YR1996'!C17</f>
        <v>1918089</v>
      </c>
      <c r="D17" s="450">
        <f>'YR1994'!D17+'YR1995'!D17+'YR1996'!D17</f>
        <v>0</v>
      </c>
      <c r="E17" s="450">
        <f>'YR1994'!E17+'YR1995'!E17+'YR1996'!E17</f>
        <v>0</v>
      </c>
      <c r="F17" s="451">
        <f t="shared" si="0"/>
        <v>0</v>
      </c>
    </row>
    <row r="18" spans="1:6" ht="18" customHeight="1">
      <c r="A18" s="40" t="s">
        <v>78</v>
      </c>
      <c r="B18" s="450">
        <f>'YR1994'!B18+'YR1995'!B18+'YR1996'!B18</f>
        <v>3517291</v>
      </c>
      <c r="C18" s="450">
        <f>'YR1994'!C18+'YR1995'!C18+'YR1996'!C18+43947</f>
        <v>3356238</v>
      </c>
      <c r="D18" s="450">
        <f>'YR1994'!D18+'YR1995'!D18+'YR1996'!D18-43947</f>
        <v>161053</v>
      </c>
      <c r="E18" s="450">
        <f>'YR1994'!E18+'YR1995'!E18+'YR1996'!E18</f>
        <v>0</v>
      </c>
      <c r="F18" s="451">
        <f t="shared" si="0"/>
        <v>0</v>
      </c>
    </row>
    <row r="19" spans="1:6" ht="18" customHeight="1">
      <c r="A19" s="40" t="s">
        <v>79</v>
      </c>
      <c r="B19" s="450">
        <f>'YR1994'!B19+'YR1995'!B19+'YR1996'!B19</f>
        <v>0</v>
      </c>
      <c r="C19" s="450">
        <f>'YR1994'!C19+'YR1995'!C19+'YR1996'!C19</f>
        <v>0</v>
      </c>
      <c r="D19" s="450">
        <f>'YR1994'!D19+'YR1995'!D19+'YR1996'!D19</f>
        <v>0</v>
      </c>
      <c r="E19" s="450">
        <f>'YR1994'!E19+'YR1995'!E19+'YR1996'!E19</f>
        <v>0</v>
      </c>
      <c r="F19" s="451">
        <f t="shared" si="0"/>
        <v>0</v>
      </c>
    </row>
    <row r="20" spans="1:6" ht="18" customHeight="1">
      <c r="A20" s="40" t="s">
        <v>80</v>
      </c>
      <c r="B20" s="450">
        <f>'YR1994'!B20+'YR1995'!B20+'YR1996'!B20</f>
        <v>3064031</v>
      </c>
      <c r="C20" s="450">
        <f>'YR1994'!C20+'YR1995'!C20+'YR1996'!C20</f>
        <v>2960591</v>
      </c>
      <c r="D20" s="450">
        <f>'YR1994'!D20+'YR1995'!D20+'YR1996'!D20</f>
        <v>103440</v>
      </c>
      <c r="E20" s="450">
        <f>'YR1994'!E20+'YR1995'!E20+'YR1996'!E20</f>
        <v>0</v>
      </c>
      <c r="F20" s="451">
        <f t="shared" si="0"/>
        <v>0</v>
      </c>
    </row>
    <row r="21" spans="1:6" ht="18" customHeight="1">
      <c r="A21" s="40" t="s">
        <v>81</v>
      </c>
      <c r="B21" s="450">
        <f>'YR1994'!B21+'YR1995'!B21+'YR1996'!B21-693288</f>
        <v>31398558</v>
      </c>
      <c r="C21" s="450">
        <f>'YR1994'!C21+'YR1995'!C21+'YR1996'!C21+1649</f>
        <v>30114778</v>
      </c>
      <c r="D21" s="450">
        <f>'YR1994'!D21+'YR1995'!D21+'YR1996'!D21-1649</f>
        <v>1283780</v>
      </c>
      <c r="E21" s="450">
        <f>'YR1994'!E21+'YR1995'!E21+'YR1996'!E21</f>
        <v>0</v>
      </c>
      <c r="F21" s="451">
        <f t="shared" si="0"/>
        <v>0</v>
      </c>
    </row>
    <row r="22" spans="1:6" ht="18" customHeight="1">
      <c r="A22" s="420" t="s">
        <v>216</v>
      </c>
      <c r="B22" s="450">
        <f>'YR1994'!B22+'YR1995'!B22+'YR1996'!B22</f>
        <v>0</v>
      </c>
      <c r="C22" s="450">
        <f>'YR1994'!C22+'YR1995'!C22+'YR1996'!C22</f>
        <v>0</v>
      </c>
      <c r="D22" s="450">
        <f>'YR1994'!D22+'YR1995'!D22+'YR1996'!D22</f>
        <v>0</v>
      </c>
      <c r="E22" s="450">
        <f>'YR1994'!E22+'YR1995'!E22+'YR1996'!E22</f>
        <v>0</v>
      </c>
      <c r="F22" s="451">
        <f t="shared" si="0"/>
        <v>0</v>
      </c>
    </row>
    <row r="23" spans="1:6" ht="18" customHeight="1">
      <c r="A23" s="40" t="s">
        <v>82</v>
      </c>
      <c r="B23" s="450">
        <f>'YR1994'!B23+'YR1995'!B23+'YR1996'!B23-171486</f>
        <v>46731522</v>
      </c>
      <c r="C23" s="450">
        <f>'YR1994'!C23+'YR1995'!C23+'YR1996'!C23</f>
        <v>45394604</v>
      </c>
      <c r="D23" s="450">
        <f>'YR1994'!D23+'YR1995'!D23+'YR1996'!D23</f>
        <v>1336918</v>
      </c>
      <c r="E23" s="450">
        <v>0</v>
      </c>
      <c r="F23" s="451">
        <f t="shared" si="0"/>
        <v>0</v>
      </c>
    </row>
    <row r="24" spans="1:6" ht="18" customHeight="1">
      <c r="A24" s="40" t="s">
        <v>83</v>
      </c>
      <c r="B24" s="450">
        <f>'YR1994'!B24+'YR1995'!B24+'YR1996'!B24</f>
        <v>1882874</v>
      </c>
      <c r="C24" s="450">
        <f>'YR1994'!C24+'YR1995'!C24+'YR1996'!C24</f>
        <v>1882874</v>
      </c>
      <c r="D24" s="450">
        <f>'YR1994'!D24+'YR1995'!D24+'YR1996'!D24</f>
        <v>0</v>
      </c>
      <c r="E24" s="450">
        <f>'YR1994'!E24+'YR1995'!E24+'YR1996'!E24</f>
        <v>0</v>
      </c>
      <c r="F24" s="451">
        <f t="shared" si="0"/>
        <v>0</v>
      </c>
    </row>
    <row r="25" spans="1:6" ht="18" customHeight="1">
      <c r="A25" s="40" t="s">
        <v>85</v>
      </c>
      <c r="B25" s="450">
        <f>'YR1994'!B25+'YR1995'!B25+'YR1996'!B25</f>
        <v>871800</v>
      </c>
      <c r="C25" s="450">
        <f>'YR1994'!C25+'YR1995'!C25+'YR1996'!C25</f>
        <v>871800</v>
      </c>
      <c r="D25" s="450">
        <f>'YR1994'!D25+'YR1995'!D25+'YR1996'!D25</f>
        <v>0</v>
      </c>
      <c r="E25" s="450">
        <f>'YR1994'!E25+'YR1995'!E25+'YR1996'!E25</f>
        <v>0</v>
      </c>
      <c r="F25" s="451">
        <f t="shared" si="0"/>
        <v>0</v>
      </c>
    </row>
    <row r="26" spans="1:6" ht="18" customHeight="1">
      <c r="A26" s="40" t="s">
        <v>86</v>
      </c>
      <c r="B26" s="450">
        <f>'YR1994'!B26+'YR1995'!B26+'YR1996'!B26</f>
        <v>156911</v>
      </c>
      <c r="C26" s="450">
        <f>'YR1994'!C26+'YR1995'!C26+'YR1996'!C26</f>
        <v>156911</v>
      </c>
      <c r="D26" s="450">
        <f>'YR1994'!D26+'YR1995'!D26+'YR1996'!D26</f>
        <v>0</v>
      </c>
      <c r="E26" s="450">
        <f>'YR1994'!E26+'YR1995'!E26+'YR1996'!E26</f>
        <v>0</v>
      </c>
      <c r="F26" s="451">
        <f t="shared" si="0"/>
        <v>0</v>
      </c>
    </row>
    <row r="27" spans="1:6" ht="18" customHeight="1">
      <c r="A27" s="40" t="s">
        <v>87</v>
      </c>
      <c r="B27" s="450">
        <f>'YR1994'!B27+'YR1995'!B27+'YR1996'!B27</f>
        <v>993714</v>
      </c>
      <c r="C27" s="450">
        <f>'YR1994'!C27+'YR1995'!C27+'YR1996'!C27</f>
        <v>993714</v>
      </c>
      <c r="D27" s="450">
        <f>'YR1994'!D27+'YR1995'!D27+'YR1996'!D27</f>
        <v>0</v>
      </c>
      <c r="E27" s="450">
        <f>'YR1994'!E27+'YR1995'!E27+'YR1996'!E27</f>
        <v>0</v>
      </c>
      <c r="F27" s="451">
        <f t="shared" si="0"/>
        <v>0</v>
      </c>
    </row>
    <row r="28" spans="1:6" ht="18" customHeight="1">
      <c r="A28" s="40" t="s">
        <v>88</v>
      </c>
      <c r="B28" s="450">
        <f>'YR1994'!B28+'YR1995'!B28+'YR1996'!B28</f>
        <v>1268293</v>
      </c>
      <c r="C28" s="450">
        <f>'YR1994'!C28+'YR1995'!C28+'YR1996'!C28</f>
        <v>1268293</v>
      </c>
      <c r="D28" s="450">
        <f>'YR1994'!D28+'YR1995'!D28+'YR1996'!D28</f>
        <v>0</v>
      </c>
      <c r="E28" s="450">
        <f>'YR1994'!E28+'YR1995'!E28+'YR1996'!E28</f>
        <v>0</v>
      </c>
      <c r="F28" s="451">
        <f t="shared" si="0"/>
        <v>0</v>
      </c>
    </row>
    <row r="29" spans="1:6" ht="18" customHeight="1">
      <c r="A29" s="40" t="s">
        <v>89</v>
      </c>
      <c r="B29" s="450">
        <f>'YR1994'!B29+'YR1995'!B29+'YR1996'!B29-1568782</f>
        <v>22449969</v>
      </c>
      <c r="C29" s="450">
        <f>'YR1994'!C29+'YR1995'!C29+'YR1996'!C29</f>
        <v>22449969</v>
      </c>
      <c r="D29" s="450">
        <f>'YR1994'!D29+'YR1995'!D29+'YR1996'!D29</f>
        <v>0</v>
      </c>
      <c r="E29" s="450">
        <f>'YR1994'!E29+'YR1995'!E29+'YR1996'!E29</f>
        <v>0</v>
      </c>
      <c r="F29" s="451">
        <f t="shared" si="0"/>
        <v>0</v>
      </c>
    </row>
    <row r="30" spans="1:6" ht="18" customHeight="1">
      <c r="A30" s="40" t="s">
        <v>90</v>
      </c>
      <c r="B30" s="450">
        <f>'YR1994'!B30+'YR1995'!B30+'YR1996'!B30-5164674</f>
        <v>65152008</v>
      </c>
      <c r="C30" s="450">
        <f>'YR1994'!C30+'YR1995'!C30+'YR1996'!C30</f>
        <v>65152008</v>
      </c>
      <c r="D30" s="450">
        <f>'YR1994'!D30+'YR1995'!D30+'YR1996'!D30</f>
        <v>0</v>
      </c>
      <c r="E30" s="450">
        <f>'YR1994'!E30+'YR1995'!E30+'YR1996'!E30</f>
        <v>0</v>
      </c>
      <c r="F30" s="451">
        <f t="shared" si="0"/>
        <v>0</v>
      </c>
    </row>
    <row r="31" spans="1:6" ht="18" customHeight="1">
      <c r="A31" s="420" t="s">
        <v>92</v>
      </c>
      <c r="B31" s="450">
        <f>'YR1994'!B31+'YR1995'!B31+'YR1996'!B31</f>
        <v>0</v>
      </c>
      <c r="C31" s="450">
        <f>'YR1994'!C31+'YR1995'!C31+'YR1996'!C31</f>
        <v>0</v>
      </c>
      <c r="D31" s="450">
        <f>'YR1994'!D31+'YR1995'!D31+'YR1996'!D31</f>
        <v>0</v>
      </c>
      <c r="E31" s="450">
        <f>'YR1994'!E31+'YR1995'!E31+'YR1996'!E31</f>
        <v>0</v>
      </c>
      <c r="F31" s="451">
        <f t="shared" ref="F31" si="1">B31-C31-D31-E31</f>
        <v>0</v>
      </c>
    </row>
    <row r="32" spans="1:6" ht="18" customHeight="1">
      <c r="A32" s="40" t="s">
        <v>93</v>
      </c>
      <c r="B32" s="450">
        <f>'YR1994'!B32+'YR1995'!B32+'YR1996'!B32</f>
        <v>0</v>
      </c>
      <c r="C32" s="450">
        <f>'YR1994'!C32+'YR1995'!C32+'YR1996'!C32</f>
        <v>0</v>
      </c>
      <c r="D32" s="450">
        <f>'YR1994'!D32+'YR1995'!D32+'YR1996'!D32</f>
        <v>0</v>
      </c>
      <c r="E32" s="450">
        <f>'YR1994'!E32+'YR1995'!E32+'YR1996'!E32</f>
        <v>0</v>
      </c>
      <c r="F32" s="451">
        <f t="shared" si="0"/>
        <v>0</v>
      </c>
    </row>
    <row r="33" spans="1:6" ht="18" customHeight="1">
      <c r="A33" s="40" t="s">
        <v>94</v>
      </c>
      <c r="B33" s="450">
        <f>'YR1994'!B33+'YR1995'!B33+'YR1996'!B33</f>
        <v>52304</v>
      </c>
      <c r="C33" s="450">
        <f>'YR1994'!C33+'YR1995'!C33+'YR1996'!C33</f>
        <v>52304</v>
      </c>
      <c r="D33" s="450">
        <f>'YR1994'!D33+'YR1995'!D33+'YR1996'!D33</f>
        <v>0</v>
      </c>
      <c r="E33" s="450">
        <f>'YR1994'!E33+'YR1995'!E33+'YR1996'!E33</f>
        <v>0</v>
      </c>
      <c r="F33" s="451">
        <f t="shared" si="0"/>
        <v>0</v>
      </c>
    </row>
    <row r="34" spans="1:6" ht="18" customHeight="1">
      <c r="A34" s="40" t="s">
        <v>95</v>
      </c>
      <c r="B34" s="450">
        <f>'YR1994'!B34+'YR1995'!B34+'YR1996'!B34</f>
        <v>0</v>
      </c>
      <c r="C34" s="450">
        <f>'YR1994'!C34+'YR1995'!C34+'YR1996'!C34</f>
        <v>0</v>
      </c>
      <c r="D34" s="450">
        <f>'YR1994'!D34+'YR1995'!D34+'YR1996'!D34</f>
        <v>0</v>
      </c>
      <c r="E34" s="450">
        <f>'YR1994'!E34+'YR1995'!E34+'YR1996'!E34</f>
        <v>0</v>
      </c>
      <c r="F34" s="451">
        <f t="shared" si="0"/>
        <v>0</v>
      </c>
    </row>
    <row r="35" spans="1:6" ht="18" customHeight="1">
      <c r="A35" s="40" t="s">
        <v>96</v>
      </c>
      <c r="B35" s="450">
        <f>'YR1994'!B35+'YR1995'!B35+'YR1996'!B35</f>
        <v>331238</v>
      </c>
      <c r="C35" s="450">
        <f>'YR1994'!C35+'YR1995'!C35+'YR1996'!C35</f>
        <v>331238</v>
      </c>
      <c r="D35" s="450">
        <f>'YR1994'!D35+'YR1995'!D35+'YR1996'!D35</f>
        <v>0</v>
      </c>
      <c r="E35" s="450">
        <f>'YR1994'!E35+'YR1995'!E35+'YR1996'!E35</f>
        <v>0</v>
      </c>
      <c r="F35" s="451">
        <f t="shared" si="0"/>
        <v>0</v>
      </c>
    </row>
    <row r="36" spans="1:6" ht="18" customHeight="1">
      <c r="A36" s="420" t="s">
        <v>97</v>
      </c>
      <c r="B36" s="450">
        <f>'YR1994'!B36+'YR1995'!B36+'YR1996'!B36</f>
        <v>0</v>
      </c>
      <c r="C36" s="450">
        <f>'YR1994'!C36+'YR1995'!C36+'YR1996'!C36</f>
        <v>0</v>
      </c>
      <c r="D36" s="450">
        <f>'YR1994'!D36+'YR1995'!D36+'YR1996'!D36</f>
        <v>0</v>
      </c>
      <c r="E36" s="450">
        <f>'YR1994'!E36+'YR1995'!E36+'YR1996'!E36</f>
        <v>0</v>
      </c>
      <c r="F36" s="451">
        <f t="shared" ref="F36" si="2">B36-C36-D36-E36</f>
        <v>0</v>
      </c>
    </row>
    <row r="37" spans="1:6" ht="18" customHeight="1">
      <c r="A37" s="40" t="s">
        <v>98</v>
      </c>
      <c r="B37" s="450">
        <f>'YR1994'!B37+'YR1995'!B37+'YR1996'!B37</f>
        <v>52304</v>
      </c>
      <c r="C37" s="450">
        <f>'YR1994'!C37+'YR1995'!C37+'YR1996'!C37</f>
        <v>52304</v>
      </c>
      <c r="D37" s="450">
        <f>'YR1994'!D37+'YR1995'!D37+'YR1996'!D37</f>
        <v>0</v>
      </c>
      <c r="E37" s="450">
        <f>'YR1994'!E37+'YR1995'!E37+'YR1996'!E37</f>
        <v>0</v>
      </c>
      <c r="F37" s="451">
        <f t="shared" si="0"/>
        <v>0</v>
      </c>
    </row>
    <row r="38" spans="1:6" ht="18" customHeight="1">
      <c r="A38" s="40" t="s">
        <v>99</v>
      </c>
      <c r="B38" s="450">
        <f>'YR1994'!B38+'YR1995'!B38+'YR1996'!B38</f>
        <v>7997927</v>
      </c>
      <c r="C38" s="450">
        <f>'YR1994'!C38+'YR1995'!C38+'YR1996'!C38</f>
        <v>7997927</v>
      </c>
      <c r="D38" s="450">
        <f>'YR1994'!D38+'YR1995'!D38+'YR1996'!D38</f>
        <v>0</v>
      </c>
      <c r="E38" s="450">
        <f>'YR1994'!E38+'YR1995'!E38+'YR1996'!E38</f>
        <v>0</v>
      </c>
      <c r="F38" s="451">
        <f t="shared" si="0"/>
        <v>0</v>
      </c>
    </row>
    <row r="39" spans="1:6" ht="18" customHeight="1">
      <c r="A39" s="40" t="s">
        <v>100</v>
      </c>
      <c r="B39" s="450">
        <f>'YR1994'!B39+'YR1995'!B39+'YR1996'!B39</f>
        <v>1255284</v>
      </c>
      <c r="C39" s="450">
        <f>'YR1994'!C39+'YR1995'!C39+'YR1996'!C39</f>
        <v>1255284</v>
      </c>
      <c r="D39" s="450">
        <f>'YR1994'!D39+'YR1995'!D39+'YR1996'!D39</f>
        <v>0</v>
      </c>
      <c r="E39" s="450">
        <f>'YR1994'!E39+'YR1995'!E39+'YR1996'!E39</f>
        <v>0</v>
      </c>
      <c r="F39" s="451">
        <f t="shared" si="0"/>
        <v>0</v>
      </c>
    </row>
    <row r="40" spans="1:6" ht="18" customHeight="1">
      <c r="A40" s="40" t="s">
        <v>101</v>
      </c>
      <c r="B40" s="450">
        <f>'YR1994'!B40+'YR1995'!B40+'YR1996'!B40</f>
        <v>2894111</v>
      </c>
      <c r="C40" s="450">
        <f>'YR1994'!C40+'YR1995'!C40+'YR1996'!C40</f>
        <v>2894111</v>
      </c>
      <c r="D40" s="450">
        <f>'YR1994'!D40+'YR1995'!D40+'YR1996'!D40</f>
        <v>0</v>
      </c>
      <c r="E40" s="450">
        <f>'YR1994'!E40+'YR1995'!E40+'YR1996'!E40</f>
        <v>0</v>
      </c>
      <c r="F40" s="451">
        <f t="shared" si="0"/>
        <v>0</v>
      </c>
    </row>
    <row r="41" spans="1:6" ht="18" customHeight="1">
      <c r="A41" s="40" t="s">
        <v>102</v>
      </c>
      <c r="B41" s="450">
        <f>'YR1994'!B41+'YR1995'!B41+'YR1996'!B41</f>
        <v>16915</v>
      </c>
      <c r="C41" s="450">
        <f>'YR1994'!C41+'YR1995'!C41+'YR1996'!C41</f>
        <v>16915</v>
      </c>
      <c r="D41" s="450">
        <f>'YR1994'!D41+'YR1995'!D41+'YR1996'!D41</f>
        <v>0</v>
      </c>
      <c r="E41" s="450">
        <f>'YR1994'!E41+'YR1995'!E41+'YR1996'!E41</f>
        <v>0</v>
      </c>
      <c r="F41" s="451">
        <f t="shared" si="0"/>
        <v>0</v>
      </c>
    </row>
    <row r="42" spans="1:6" ht="18" customHeight="1">
      <c r="A42" s="40" t="s">
        <v>103</v>
      </c>
      <c r="B42" s="450">
        <f>'YR1994'!B42+'YR1995'!B42+'YR1996'!B42</f>
        <v>1606</v>
      </c>
      <c r="C42" s="450">
        <f>'YR1994'!C42+'YR1995'!C42+'YR1996'!C42</f>
        <v>1606</v>
      </c>
      <c r="D42" s="450">
        <f>'YR1994'!D42+'YR1995'!D42+'YR1996'!D42</f>
        <v>0</v>
      </c>
      <c r="E42" s="450">
        <f>'YR1994'!E42+'YR1995'!E42+'YR1996'!E42</f>
        <v>0</v>
      </c>
      <c r="F42" s="451">
        <f t="shared" si="0"/>
        <v>0</v>
      </c>
    </row>
    <row r="43" spans="1:6" ht="18" customHeight="1">
      <c r="A43" s="40" t="s">
        <v>104</v>
      </c>
      <c r="B43" s="450">
        <f>'YR1994'!B43+'YR1995'!B43+'YR1996'!B43</f>
        <v>1176693</v>
      </c>
      <c r="C43" s="450">
        <f>'YR1994'!C43+'YR1995'!C43+'YR1996'!C43</f>
        <v>1176693</v>
      </c>
      <c r="D43" s="450">
        <f>'YR1994'!D43+'YR1995'!D43+'YR1996'!D43</f>
        <v>0</v>
      </c>
      <c r="E43" s="450">
        <f>'YR1994'!E43+'YR1995'!E43+'YR1996'!E43</f>
        <v>0</v>
      </c>
      <c r="F43" s="451">
        <f t="shared" si="0"/>
        <v>0</v>
      </c>
    </row>
    <row r="44" spans="1:6" ht="18" customHeight="1">
      <c r="A44" s="40" t="s">
        <v>106</v>
      </c>
      <c r="B44" s="450">
        <f>'YR1994'!B44+'YR1995'!B44+'YR1996'!B44</f>
        <v>31159609</v>
      </c>
      <c r="C44" s="450">
        <f>'YR1994'!C44+'YR1995'!C44+'YR1996'!C44</f>
        <v>0</v>
      </c>
      <c r="D44" s="450">
        <f>'YR1994'!D44+'YR1995'!D44+'YR1996'!D44</f>
        <v>0</v>
      </c>
      <c r="E44" s="450">
        <f>'YR1994'!E44+'YR1995'!E44+'YR1996'!E44</f>
        <v>0</v>
      </c>
      <c r="F44" s="451">
        <f t="shared" si="0"/>
        <v>31159609</v>
      </c>
    </row>
    <row r="45" spans="1:6" ht="18" customHeight="1">
      <c r="A45" s="40" t="s">
        <v>108</v>
      </c>
      <c r="B45" s="450">
        <f>'YR1994'!B45+'YR1995'!B45+'YR1996'!B45</f>
        <v>209324</v>
      </c>
      <c r="C45" s="450">
        <f>'YR1994'!C45+'YR1995'!C45+'YR1996'!C45</f>
        <v>169324</v>
      </c>
      <c r="D45" s="450">
        <f>'YR1994'!D45+'YR1995'!D45+'YR1996'!D45</f>
        <v>40000</v>
      </c>
      <c r="E45" s="450">
        <f>'YR1994'!E45+'YR1995'!E45+'YR1996'!E45</f>
        <v>0</v>
      </c>
      <c r="F45" s="451">
        <f t="shared" si="0"/>
        <v>0</v>
      </c>
    </row>
    <row r="46" spans="1:6" ht="18" customHeight="1">
      <c r="A46" s="30" t="s">
        <v>109</v>
      </c>
      <c r="B46" s="450">
        <f>'YR1994'!B46+'YR1995'!B46+'YR1996'!B46</f>
        <v>597218</v>
      </c>
      <c r="C46" s="450">
        <f>'YR1994'!C46+'YR1995'!C46+'YR1996'!C46</f>
        <v>597218</v>
      </c>
      <c r="D46" s="450">
        <f>'YR1994'!D46+'YR1995'!D46+'YR1996'!D46</f>
        <v>0</v>
      </c>
      <c r="E46" s="450">
        <f>'YR1994'!E46+'YR1995'!E46+'YR1996'!E46</f>
        <v>0</v>
      </c>
      <c r="F46" s="451">
        <f t="shared" si="0"/>
        <v>0</v>
      </c>
    </row>
    <row r="47" spans="1:6" ht="18" customHeight="1">
      <c r="A47" s="40" t="s">
        <v>110</v>
      </c>
      <c r="B47" s="450">
        <f>'YR1994'!B47+'YR1995'!B47+'YR1996'!B47</f>
        <v>61290</v>
      </c>
      <c r="C47" s="450">
        <f>'YR1994'!C47+'YR1995'!C47+'YR1996'!C47</f>
        <v>61290</v>
      </c>
      <c r="D47" s="450">
        <f>'YR1994'!D47+'YR1995'!D47+'YR1996'!D47</f>
        <v>0</v>
      </c>
      <c r="E47" s="450">
        <f>'YR1994'!E47+'YR1995'!E47+'YR1996'!E47</f>
        <v>0</v>
      </c>
      <c r="F47" s="451">
        <f t="shared" si="0"/>
        <v>0</v>
      </c>
    </row>
    <row r="48" spans="1:6" ht="18" customHeight="1">
      <c r="A48" s="40" t="s">
        <v>111</v>
      </c>
      <c r="B48" s="450">
        <f>'YR1994'!B48+'YR1995'!B48+'YR1996'!B48</f>
        <v>1992053</v>
      </c>
      <c r="C48" s="450">
        <f>'YR1994'!C48+'YR1995'!C48+'YR1996'!C48</f>
        <v>1962053</v>
      </c>
      <c r="D48" s="450">
        <f>'YR1994'!D48+'YR1995'!D48+'YR1996'!D48</f>
        <v>30000</v>
      </c>
      <c r="E48" s="450">
        <f>'YR1994'!E48+'YR1995'!E48+'YR1996'!E48</f>
        <v>0</v>
      </c>
      <c r="F48" s="451">
        <f t="shared" si="0"/>
        <v>0</v>
      </c>
    </row>
    <row r="49" spans="1:6" ht="18" customHeight="1">
      <c r="A49" s="40" t="s">
        <v>112</v>
      </c>
      <c r="B49" s="450">
        <f>'YR1994'!B49+'YR1995'!B49+'YR1996'!B49</f>
        <v>11022275</v>
      </c>
      <c r="C49" s="450">
        <f>'YR1994'!C49+'YR1995'!C49+'YR1996'!C49</f>
        <v>11022275</v>
      </c>
      <c r="D49" s="450">
        <f>'YR1994'!D49+'YR1995'!D49+'YR1996'!D49</f>
        <v>0</v>
      </c>
      <c r="E49" s="450">
        <f>'YR1994'!E49+'YR1995'!E49+'YR1996'!E49</f>
        <v>0</v>
      </c>
      <c r="F49" s="451">
        <f t="shared" si="0"/>
        <v>0</v>
      </c>
    </row>
    <row r="50" spans="1:6" ht="18" customHeight="1">
      <c r="A50" s="40" t="s">
        <v>113</v>
      </c>
      <c r="B50" s="450">
        <f>'YR1994'!B50+'YR1995'!B50+'YR1996'!B50</f>
        <v>6010335</v>
      </c>
      <c r="C50" s="450">
        <f>'YR1994'!C50+'YR1995'!C50+'YR1996'!C50</f>
        <v>6010335</v>
      </c>
      <c r="D50" s="450">
        <f>'YR1994'!D50+'YR1995'!D50+'YR1996'!D50</f>
        <v>0</v>
      </c>
      <c r="E50" s="450">
        <f>'YR1994'!E50+'YR1995'!E50+'YR1996'!E50</f>
        <v>0</v>
      </c>
      <c r="F50" s="451">
        <f t="shared" si="0"/>
        <v>0</v>
      </c>
    </row>
    <row r="51" spans="1:6" ht="18" customHeight="1">
      <c r="A51" s="40" t="s">
        <v>114</v>
      </c>
      <c r="B51" s="450">
        <f>'YR1994'!B51+'YR1995'!B51+'YR1996'!B51</f>
        <v>5979856</v>
      </c>
      <c r="C51" s="450">
        <f>'YR1994'!C51+'YR1995'!C51+'YR1996'!C51</f>
        <v>5737256</v>
      </c>
      <c r="D51" s="450">
        <f>'YR1994'!D51+'YR1995'!D51+'YR1996'!D51</f>
        <v>242600</v>
      </c>
      <c r="E51" s="450">
        <f>'YR1994'!E51+'YR1995'!E51+'YR1996'!E51</f>
        <v>0</v>
      </c>
      <c r="F51" s="451">
        <f t="shared" si="0"/>
        <v>0</v>
      </c>
    </row>
    <row r="52" spans="1:6" ht="18" customHeight="1">
      <c r="A52" s="40" t="s">
        <v>115</v>
      </c>
      <c r="B52" s="450">
        <f>'YR1994'!B52+'YR1995'!B52+'YR1996'!B52</f>
        <v>0</v>
      </c>
      <c r="C52" s="450">
        <f>'YR1994'!C52+'YR1995'!C52+'YR1996'!C52</f>
        <v>0</v>
      </c>
      <c r="D52" s="450">
        <f>'YR1994'!D52+'YR1995'!D52+'YR1996'!D52</f>
        <v>0</v>
      </c>
      <c r="E52" s="450">
        <f>'YR1994'!E52+'YR1995'!E52+'YR1996'!E52</f>
        <v>0</v>
      </c>
      <c r="F52" s="451">
        <f t="shared" si="0"/>
        <v>0</v>
      </c>
    </row>
    <row r="53" spans="1:6" ht="18" customHeight="1">
      <c r="A53" s="40" t="s">
        <v>187</v>
      </c>
      <c r="B53" s="450">
        <f>'YR1994'!B53+'YR1995'!B53+'YR1996'!B53</f>
        <v>56603</v>
      </c>
      <c r="C53" s="450">
        <f>'YR1994'!C53+'YR1995'!C53+'YR1996'!C53</f>
        <v>0</v>
      </c>
      <c r="D53" s="450">
        <f>'YR1994'!D53+'YR1995'!D53+'YR1996'!D53</f>
        <v>0</v>
      </c>
      <c r="E53" s="450">
        <f>'YR1994'!E53+'YR1995'!E53+'YR1996'!E53</f>
        <v>0</v>
      </c>
      <c r="F53" s="451">
        <f t="shared" si="0"/>
        <v>56603</v>
      </c>
    </row>
    <row r="54" spans="1:6" ht="18" customHeight="1">
      <c r="A54" s="40" t="s">
        <v>117</v>
      </c>
      <c r="B54" s="450">
        <f>'YR1994'!B54+'YR1995'!B54+'YR1996'!B54</f>
        <v>0</v>
      </c>
      <c r="C54" s="450">
        <f>'YR1994'!C54+'YR1995'!C54+'YR1996'!C54</f>
        <v>0</v>
      </c>
      <c r="D54" s="450">
        <f>'YR1994'!D54+'YR1995'!D54+'YR1996'!D54</f>
        <v>0</v>
      </c>
      <c r="E54" s="450">
        <f>'YR1994'!E54+'YR1995'!E54+'YR1996'!E54</f>
        <v>0</v>
      </c>
      <c r="F54" s="451">
        <f t="shared" si="0"/>
        <v>0</v>
      </c>
    </row>
    <row r="55" spans="1:6" ht="18" customHeight="1">
      <c r="A55" s="420" t="s">
        <v>118</v>
      </c>
      <c r="B55" s="450">
        <f>'YR1994'!B55+'YR1995'!B55+'YR1996'!B55</f>
        <v>0</v>
      </c>
      <c r="C55" s="450">
        <f>'YR1994'!C55+'YR1995'!C55+'YR1996'!C55</f>
        <v>0</v>
      </c>
      <c r="D55" s="450">
        <f>'YR1994'!D55+'YR1995'!D55+'YR1996'!D55</f>
        <v>0</v>
      </c>
      <c r="E55" s="450">
        <f>'YR1994'!E55+'YR1995'!E55+'YR1996'!E55</f>
        <v>0</v>
      </c>
      <c r="F55" s="451">
        <f t="shared" ref="F55" si="3">B55-C55-D55-E55</f>
        <v>0</v>
      </c>
    </row>
    <row r="56" spans="1:6" ht="18" customHeight="1">
      <c r="A56" s="40" t="s">
        <v>119</v>
      </c>
      <c r="B56" s="450">
        <f>'YR1994'!B56+'YR1995'!B56+'YR1996'!B56-500037</f>
        <v>26270127</v>
      </c>
      <c r="C56" s="450">
        <f>'YR1994'!C56+'YR1995'!C56+'YR1996'!C56</f>
        <v>26270127</v>
      </c>
      <c r="D56" s="450">
        <f>'YR1994'!D56+'YR1995'!D56+'YR1996'!D56</f>
        <v>0</v>
      </c>
      <c r="E56" s="450">
        <f>'YR1994'!E56+'YR1995'!E56+'YR1996'!E56</f>
        <v>0</v>
      </c>
      <c r="F56" s="451">
        <f t="shared" si="0"/>
        <v>0</v>
      </c>
    </row>
    <row r="57" spans="1:6" ht="18" customHeight="1">
      <c r="A57" s="40" t="s">
        <v>120</v>
      </c>
      <c r="B57" s="450">
        <f>'YR1994'!B57+'YR1995'!B57+'YR1996'!B57</f>
        <v>113750001</v>
      </c>
      <c r="C57" s="450">
        <f>'YR1994'!C57+'YR1995'!C57+'YR1996'!C57</f>
        <v>107201216</v>
      </c>
      <c r="D57" s="450">
        <f>'YR1994'!D57+'YR1995'!D57+'YR1996'!D57</f>
        <v>6548785</v>
      </c>
      <c r="E57" s="450">
        <f>'YR1994'!E57+'YR1995'!E57+'YR1996'!E57</f>
        <v>0</v>
      </c>
      <c r="F57" s="451">
        <f t="shared" si="0"/>
        <v>0</v>
      </c>
    </row>
    <row r="58" spans="1:6" ht="18" customHeight="1" thickBot="1">
      <c r="A58" s="251" t="s">
        <v>121</v>
      </c>
      <c r="B58" s="450">
        <f>'YR1994'!B58+'YR1995'!B58+'YR1996'!B58</f>
        <v>0</v>
      </c>
      <c r="C58" s="450">
        <f>'YR1994'!C58+'YR1995'!C58+'YR1996'!C58</f>
        <v>0</v>
      </c>
      <c r="D58" s="450">
        <f>'YR1994'!D58+'YR1995'!D58+'YR1996'!D58</f>
        <v>0</v>
      </c>
      <c r="E58" s="450">
        <f>'YR1994'!E58+'YR1995'!E58+'YR1996'!E58</f>
        <v>0</v>
      </c>
      <c r="F58" s="452">
        <f t="shared" si="0"/>
        <v>0</v>
      </c>
    </row>
    <row r="59" spans="1:6" ht="18" customHeight="1" thickBot="1">
      <c r="A59" s="278" t="s">
        <v>122</v>
      </c>
      <c r="B59" s="453">
        <f>SUM(B8:B58)</f>
        <v>424841347</v>
      </c>
      <c r="C59" s="453">
        <f>SUM(C8:C58)</f>
        <v>381594829</v>
      </c>
      <c r="D59" s="453">
        <f>SUM(D8:D58)</f>
        <v>11870240</v>
      </c>
      <c r="E59" s="453">
        <f>SUM(E8:E58)</f>
        <v>0</v>
      </c>
      <c r="F59" s="453">
        <f>SUM(F8:F58)</f>
        <v>31376278</v>
      </c>
    </row>
    <row r="60" spans="1:6" ht="18" customHeight="1" thickBot="1">
      <c r="A60" s="454" t="s">
        <v>226</v>
      </c>
      <c r="B60" s="455">
        <f>693288+171486+1568782+5164674+500037</f>
        <v>8098267</v>
      </c>
      <c r="C60" s="456">
        <v>0</v>
      </c>
      <c r="D60" s="456">
        <v>0</v>
      </c>
      <c r="E60" s="457">
        <v>0</v>
      </c>
      <c r="F60" s="458">
        <f>B60-C60-D60-E60</f>
        <v>8098267</v>
      </c>
    </row>
    <row r="61" spans="1:6" ht="18" customHeight="1" thickBot="1">
      <c r="A61" s="278" t="s">
        <v>124</v>
      </c>
      <c r="B61" s="453">
        <f>SUM(B59:B60)</f>
        <v>432939614</v>
      </c>
      <c r="C61" s="453">
        <f>SUM(C59:C60)</f>
        <v>381594829</v>
      </c>
      <c r="D61" s="453">
        <f>SUM(D59:D60)</f>
        <v>11870240</v>
      </c>
      <c r="E61" s="453">
        <f>SUM(E59:E60)</f>
        <v>0</v>
      </c>
      <c r="F61" s="459">
        <f>SUM(F59:F60)</f>
        <v>39474545</v>
      </c>
    </row>
    <row r="62" spans="1:6" ht="18" customHeight="1">
      <c r="A62" s="460"/>
      <c r="B62" s="461"/>
      <c r="C62" s="461"/>
      <c r="D62" s="461"/>
      <c r="E62" s="461"/>
      <c r="F62" s="461"/>
    </row>
    <row r="63" spans="1:6" ht="18" customHeight="1">
      <c r="A63" s="462" t="s">
        <v>227</v>
      </c>
      <c r="B63" s="463"/>
      <c r="C63" s="463"/>
      <c r="D63" s="463"/>
      <c r="E63" s="464"/>
      <c r="F63" s="464"/>
    </row>
    <row r="64" spans="1:6" ht="16" thickBot="1">
      <c r="A64" s="387"/>
      <c r="B64" s="289"/>
      <c r="C64" s="289"/>
      <c r="D64" s="289"/>
      <c r="E64" s="289"/>
      <c r="F64" s="289"/>
    </row>
    <row r="65" spans="1:6" ht="16.5" customHeight="1" thickBot="1">
      <c r="A65" s="391" t="s">
        <v>139</v>
      </c>
      <c r="B65" s="377">
        <f>B10+B11+B14+B17+B19+B25+B32+B34+B42+B44+B46+B47+B52+B53+B54+B58</f>
        <v>35418681</v>
      </c>
      <c r="C65" s="377">
        <f>C10+C11+C14+C17+C19+C25+C32+C34+C42+C44+C46+C47+C52+C53+C54+C58</f>
        <v>4042403</v>
      </c>
      <c r="D65" s="377">
        <f>D10+D11+D14+D17+D19+D25+D32+D34+D42+D44+D46+D47+D52+D53+D54+D58</f>
        <v>0</v>
      </c>
      <c r="E65" s="377">
        <f>E10+E11+E14+E17+E19+E25+E32+E34+E42+E44+E46+E47+E52+E53+E54+E58</f>
        <v>0</v>
      </c>
      <c r="F65" s="392">
        <f>B65-C65-D65-E65</f>
        <v>31376278</v>
      </c>
    </row>
    <row r="66" spans="1:6">
      <c r="A66" s="289"/>
      <c r="B66" s="289"/>
      <c r="C66" s="289"/>
      <c r="D66" s="289"/>
      <c r="E66" s="289"/>
      <c r="F66" s="289"/>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36BB1-71AC-478C-BCA1-FE2FD309C8C0}">
  <dimension ref="A1:G61"/>
  <sheetViews>
    <sheetView topLeftCell="A40" workbookViewId="0">
      <selection activeCell="B61" sqref="B61"/>
    </sheetView>
  </sheetViews>
  <sheetFormatPr defaultColWidth="9.7265625" defaultRowHeight="15.5"/>
  <cols>
    <col min="1" max="1" width="24.7265625" style="1" customWidth="1"/>
    <col min="2" max="7" width="15" style="1" customWidth="1"/>
    <col min="8" max="16384" width="9.7265625" style="469"/>
  </cols>
  <sheetData>
    <row r="1" spans="1:7" s="1" customFormat="1" ht="16.5" customHeight="1">
      <c r="A1" s="389" t="str">
        <f>Status!C1</f>
        <v>UNEP/OzL.Pro/ExCom/94/3</v>
      </c>
      <c r="B1" s="355"/>
      <c r="G1" s="380"/>
    </row>
    <row r="2" spans="1:7" s="1" customFormat="1" ht="16.5" customHeight="1">
      <c r="A2" s="389" t="s">
        <v>246</v>
      </c>
      <c r="B2" s="22"/>
      <c r="G2" s="380"/>
    </row>
    <row r="3" spans="1:7" s="1" customFormat="1" ht="16.5" customHeight="1">
      <c r="B3" s="22"/>
      <c r="G3" s="380"/>
    </row>
    <row r="4" spans="1:7" s="1" customFormat="1" ht="20.25" customHeight="1">
      <c r="A4" s="756" t="s">
        <v>2</v>
      </c>
      <c r="B4" s="756"/>
      <c r="C4" s="756"/>
      <c r="D4" s="756"/>
      <c r="E4" s="756"/>
      <c r="F4" s="756"/>
      <c r="G4" s="756"/>
    </row>
    <row r="5" spans="1:7" s="1" customFormat="1" ht="20.25" customHeight="1">
      <c r="A5" s="757" t="s">
        <v>229</v>
      </c>
      <c r="B5" s="757"/>
      <c r="C5" s="757"/>
      <c r="D5" s="757"/>
      <c r="E5" s="757"/>
      <c r="F5" s="757"/>
      <c r="G5" s="757"/>
    </row>
    <row r="6" spans="1:7" s="1" customFormat="1" ht="30" customHeight="1" thickBot="1">
      <c r="A6" s="767" t="str">
        <f>Status!A6</f>
        <v>As at 24/05/2024</v>
      </c>
      <c r="B6" s="767"/>
      <c r="C6" s="767"/>
      <c r="D6" s="767"/>
      <c r="E6" s="767"/>
      <c r="F6" s="767"/>
      <c r="G6" s="767"/>
    </row>
    <row r="7" spans="1:7" s="1" customFormat="1" ht="35.25" customHeight="1" thickBot="1">
      <c r="A7" s="358" t="s">
        <v>60</v>
      </c>
      <c r="B7" s="359" t="s">
        <v>61</v>
      </c>
      <c r="C7" s="465" t="s">
        <v>62</v>
      </c>
      <c r="D7" s="465" t="s">
        <v>63</v>
      </c>
      <c r="E7" s="465" t="s">
        <v>64</v>
      </c>
      <c r="F7" s="465" t="s">
        <v>230</v>
      </c>
      <c r="G7" s="466" t="s">
        <v>65</v>
      </c>
    </row>
    <row r="8" spans="1:7" ht="18" customHeight="1">
      <c r="A8" s="438" t="s">
        <v>130</v>
      </c>
      <c r="B8" s="467">
        <v>2577608</v>
      </c>
      <c r="C8" s="467">
        <v>2062087</v>
      </c>
      <c r="D8" s="467">
        <v>515521</v>
      </c>
      <c r="E8" s="467">
        <v>0</v>
      </c>
      <c r="F8" s="467">
        <v>0</v>
      </c>
      <c r="G8" s="468">
        <f>B8-C8-D8-E8-F8</f>
        <v>0</v>
      </c>
    </row>
    <row r="9" spans="1:7" ht="18" customHeight="1">
      <c r="A9" s="420" t="s">
        <v>223</v>
      </c>
      <c r="B9" s="441">
        <v>1506507</v>
      </c>
      <c r="C9" s="441">
        <v>1389879</v>
      </c>
      <c r="D9" s="441">
        <v>116628</v>
      </c>
      <c r="E9" s="441">
        <v>0</v>
      </c>
      <c r="F9" s="441">
        <v>0</v>
      </c>
      <c r="G9" s="470">
        <f>B9-C9-D9-E9-F9</f>
        <v>0</v>
      </c>
    </row>
    <row r="10" spans="1:7" ht="18" customHeight="1">
      <c r="A10" s="423" t="s">
        <v>70</v>
      </c>
      <c r="B10" s="441">
        <v>63182</v>
      </c>
      <c r="C10" s="441">
        <v>0</v>
      </c>
      <c r="D10" s="441">
        <v>0</v>
      </c>
      <c r="E10" s="441">
        <v>0</v>
      </c>
      <c r="F10" s="441">
        <v>0</v>
      </c>
      <c r="G10" s="470">
        <f t="shared" ref="G10:G57" si="0">B10-C10-D10-E10-F10</f>
        <v>63182</v>
      </c>
    </row>
    <row r="11" spans="1:7" ht="18" customHeight="1">
      <c r="A11" s="420" t="s">
        <v>71</v>
      </c>
      <c r="B11" s="441">
        <v>160066</v>
      </c>
      <c r="C11" s="441">
        <v>0</v>
      </c>
      <c r="D11" s="441">
        <v>0</v>
      </c>
      <c r="E11" s="441">
        <v>0</v>
      </c>
      <c r="F11" s="441">
        <v>0</v>
      </c>
      <c r="G11" s="470">
        <f t="shared" si="0"/>
        <v>160066</v>
      </c>
    </row>
    <row r="12" spans="1:7" ht="18" customHeight="1">
      <c r="A12" s="420" t="s">
        <v>72</v>
      </c>
      <c r="B12" s="441">
        <v>1754689</v>
      </c>
      <c r="C12" s="441">
        <v>1754689</v>
      </c>
      <c r="D12" s="441">
        <v>0</v>
      </c>
      <c r="E12" s="441">
        <v>0</v>
      </c>
      <c r="F12" s="441">
        <v>0</v>
      </c>
      <c r="G12" s="470">
        <f t="shared" si="0"/>
        <v>0</v>
      </c>
    </row>
    <row r="13" spans="1:7" ht="18" customHeight="1">
      <c r="A13" s="420" t="s">
        <v>215</v>
      </c>
      <c r="B13" s="441">
        <v>0</v>
      </c>
      <c r="C13" s="441">
        <v>0</v>
      </c>
      <c r="D13" s="441">
        <v>0</v>
      </c>
      <c r="E13" s="441">
        <v>0</v>
      </c>
      <c r="F13" s="441">
        <v>0</v>
      </c>
      <c r="G13" s="470">
        <f t="shared" si="0"/>
        <v>0</v>
      </c>
    </row>
    <row r="14" spans="1:7" ht="18" customHeight="1">
      <c r="A14" s="420" t="s">
        <v>73</v>
      </c>
      <c r="B14" s="441">
        <v>75684</v>
      </c>
      <c r="C14" s="441">
        <v>75684</v>
      </c>
      <c r="D14" s="441">
        <v>0</v>
      </c>
      <c r="E14" s="441">
        <v>0</v>
      </c>
      <c r="F14" s="441">
        <v>0</v>
      </c>
      <c r="G14" s="470">
        <f t="shared" si="0"/>
        <v>0</v>
      </c>
    </row>
    <row r="15" spans="1:7" ht="18" customHeight="1">
      <c r="A15" s="420" t="s">
        <v>131</v>
      </c>
      <c r="B15" s="441">
        <v>5403397</v>
      </c>
      <c r="C15" s="441">
        <v>4551817</v>
      </c>
      <c r="D15" s="441">
        <v>851580</v>
      </c>
      <c r="E15" s="441">
        <v>0</v>
      </c>
      <c r="F15" s="441">
        <v>0</v>
      </c>
      <c r="G15" s="470">
        <f t="shared" si="0"/>
        <v>0</v>
      </c>
    </row>
    <row r="16" spans="1:7" ht="18" customHeight="1">
      <c r="A16" s="420" t="s">
        <v>76</v>
      </c>
      <c r="B16" s="441">
        <v>52249</v>
      </c>
      <c r="C16" s="441">
        <v>52249</v>
      </c>
      <c r="D16" s="441">
        <v>0</v>
      </c>
      <c r="E16" s="441">
        <v>0</v>
      </c>
      <c r="F16" s="441">
        <v>0</v>
      </c>
      <c r="G16" s="470">
        <f t="shared" si="0"/>
        <v>0</v>
      </c>
    </row>
    <row r="17" spans="1:7" ht="18" customHeight="1">
      <c r="A17" s="420" t="s">
        <v>77</v>
      </c>
      <c r="B17" s="441">
        <v>452823</v>
      </c>
      <c r="C17" s="441">
        <v>452823</v>
      </c>
      <c r="D17" s="441">
        <v>0</v>
      </c>
      <c r="E17" s="441">
        <v>0</v>
      </c>
      <c r="F17" s="441">
        <v>0</v>
      </c>
      <c r="G17" s="470">
        <f t="shared" si="0"/>
        <v>0</v>
      </c>
    </row>
    <row r="18" spans="1:7" ht="18" customHeight="1">
      <c r="A18" s="420" t="s">
        <v>78</v>
      </c>
      <c r="B18" s="441">
        <v>1249617</v>
      </c>
      <c r="C18" s="441">
        <v>1249617</v>
      </c>
      <c r="D18" s="441">
        <v>0</v>
      </c>
      <c r="E18" s="441">
        <v>0</v>
      </c>
      <c r="F18" s="441">
        <v>0</v>
      </c>
      <c r="G18" s="470">
        <f t="shared" si="0"/>
        <v>0</v>
      </c>
    </row>
    <row r="19" spans="1:7" ht="18" customHeight="1">
      <c r="A19" s="420" t="s">
        <v>79</v>
      </c>
      <c r="B19" s="441">
        <v>0</v>
      </c>
      <c r="C19" s="441">
        <v>0</v>
      </c>
      <c r="D19" s="441">
        <v>0</v>
      </c>
      <c r="E19" s="441">
        <v>0</v>
      </c>
      <c r="F19" s="441">
        <v>0</v>
      </c>
      <c r="G19" s="470">
        <f t="shared" si="0"/>
        <v>0</v>
      </c>
    </row>
    <row r="20" spans="1:7" ht="18" customHeight="1">
      <c r="A20" s="420" t="s">
        <v>80</v>
      </c>
      <c r="B20" s="441">
        <v>1075455</v>
      </c>
      <c r="C20" s="441">
        <v>972015</v>
      </c>
      <c r="D20" s="441">
        <v>103440</v>
      </c>
      <c r="E20" s="441">
        <v>0</v>
      </c>
      <c r="F20" s="441">
        <v>0</v>
      </c>
      <c r="G20" s="470">
        <f t="shared" si="0"/>
        <v>0</v>
      </c>
    </row>
    <row r="21" spans="1:7" ht="18" customHeight="1">
      <c r="A21" s="420" t="s">
        <v>81</v>
      </c>
      <c r="B21" s="441">
        <v>11159474</v>
      </c>
      <c r="C21" s="441">
        <f>9504614+16910</f>
        <v>9521524</v>
      </c>
      <c r="D21" s="441">
        <f>961572-16910</f>
        <v>944662</v>
      </c>
      <c r="E21" s="441">
        <v>0</v>
      </c>
      <c r="F21" s="441">
        <v>693288</v>
      </c>
      <c r="G21" s="470">
        <f t="shared" si="0"/>
        <v>0</v>
      </c>
    </row>
    <row r="22" spans="1:7" ht="18" customHeight="1">
      <c r="A22" s="420" t="s">
        <v>216</v>
      </c>
      <c r="B22" s="441">
        <v>0</v>
      </c>
      <c r="C22" s="441">
        <v>0</v>
      </c>
      <c r="D22" s="441">
        <v>0</v>
      </c>
      <c r="E22" s="441">
        <v>0</v>
      </c>
      <c r="F22" s="441">
        <v>0</v>
      </c>
      <c r="G22" s="470">
        <f t="shared" si="0"/>
        <v>0</v>
      </c>
    </row>
    <row r="23" spans="1:7" ht="18" customHeight="1">
      <c r="A23" s="420" t="s">
        <v>82</v>
      </c>
      <c r="B23" s="441">
        <v>15748660</v>
      </c>
      <c r="C23" s="441">
        <v>15577174</v>
      </c>
      <c r="D23" s="441">
        <v>0</v>
      </c>
      <c r="E23" s="441">
        <v>0</v>
      </c>
      <c r="F23" s="441">
        <v>171486</v>
      </c>
      <c r="G23" s="470">
        <f t="shared" si="0"/>
        <v>0</v>
      </c>
    </row>
    <row r="24" spans="1:7" ht="18" customHeight="1">
      <c r="A24" s="420" t="s">
        <v>83</v>
      </c>
      <c r="B24" s="441">
        <v>661818</v>
      </c>
      <c r="C24" s="441">
        <v>661818</v>
      </c>
      <c r="D24" s="441">
        <v>0</v>
      </c>
      <c r="E24" s="441">
        <v>0</v>
      </c>
      <c r="F24" s="441">
        <v>0</v>
      </c>
      <c r="G24" s="470">
        <f t="shared" si="0"/>
        <v>0</v>
      </c>
    </row>
    <row r="25" spans="1:7" ht="18" customHeight="1">
      <c r="A25" s="420" t="s">
        <v>85</v>
      </c>
      <c r="B25" s="441">
        <v>243828</v>
      </c>
      <c r="C25" s="441">
        <v>243828</v>
      </c>
      <c r="D25" s="441">
        <v>0</v>
      </c>
      <c r="E25" s="441">
        <v>0</v>
      </c>
      <c r="F25" s="441">
        <v>0</v>
      </c>
      <c r="G25" s="470">
        <f t="shared" si="0"/>
        <v>0</v>
      </c>
    </row>
    <row r="26" spans="1:7" ht="18" customHeight="1">
      <c r="A26" s="420" t="s">
        <v>86</v>
      </c>
      <c r="B26" s="441">
        <v>52249</v>
      </c>
      <c r="C26" s="441">
        <v>52249</v>
      </c>
      <c r="D26" s="441">
        <v>0</v>
      </c>
      <c r="E26" s="441">
        <v>0</v>
      </c>
      <c r="F26" s="441">
        <v>0</v>
      </c>
      <c r="G26" s="470">
        <f t="shared" si="0"/>
        <v>0</v>
      </c>
    </row>
    <row r="27" spans="1:7" ht="18" customHeight="1">
      <c r="A27" s="420" t="s">
        <v>87</v>
      </c>
      <c r="B27" s="441">
        <v>365742</v>
      </c>
      <c r="C27" s="441">
        <v>365742</v>
      </c>
      <c r="D27" s="441">
        <v>0</v>
      </c>
      <c r="E27" s="441">
        <v>0</v>
      </c>
      <c r="F27" s="441">
        <v>0</v>
      </c>
      <c r="G27" s="470">
        <f t="shared" si="0"/>
        <v>0</v>
      </c>
    </row>
    <row r="28" spans="1:7" ht="18" customHeight="1">
      <c r="A28" s="420" t="s">
        <v>88</v>
      </c>
      <c r="B28" s="441">
        <v>465885</v>
      </c>
      <c r="C28" s="441">
        <v>465885</v>
      </c>
      <c r="D28" s="441">
        <v>0</v>
      </c>
      <c r="E28" s="441">
        <v>0</v>
      </c>
      <c r="F28" s="441">
        <v>0</v>
      </c>
      <c r="G28" s="470">
        <f t="shared" si="0"/>
        <v>0</v>
      </c>
    </row>
    <row r="29" spans="1:7" ht="18" customHeight="1">
      <c r="A29" s="420" t="s">
        <v>89</v>
      </c>
      <c r="B29" s="441">
        <v>9052105</v>
      </c>
      <c r="C29" s="441">
        <v>7483323</v>
      </c>
      <c r="D29" s="441">
        <v>0</v>
      </c>
      <c r="E29" s="441">
        <v>0</v>
      </c>
      <c r="F29" s="441">
        <v>1568782</v>
      </c>
      <c r="G29" s="470">
        <f t="shared" si="0"/>
        <v>0</v>
      </c>
    </row>
    <row r="30" spans="1:7" ht="18" customHeight="1">
      <c r="A30" s="420" t="s">
        <v>90</v>
      </c>
      <c r="B30" s="441">
        <f>26882010</f>
        <v>26882010</v>
      </c>
      <c r="C30" s="441">
        <v>21717336</v>
      </c>
      <c r="D30" s="441">
        <v>0</v>
      </c>
      <c r="E30" s="441">
        <v>0</v>
      </c>
      <c r="F30" s="441">
        <v>5164674</v>
      </c>
      <c r="G30" s="470">
        <f t="shared" si="0"/>
        <v>0</v>
      </c>
    </row>
    <row r="31" spans="1:7" ht="18" customHeight="1">
      <c r="A31" s="420" t="s">
        <v>92</v>
      </c>
      <c r="B31" s="441">
        <v>0</v>
      </c>
      <c r="C31" s="441">
        <v>0</v>
      </c>
      <c r="D31" s="441">
        <v>0</v>
      </c>
      <c r="E31" s="441">
        <v>0</v>
      </c>
      <c r="F31" s="441">
        <v>0</v>
      </c>
      <c r="G31" s="470">
        <f t="shared" si="0"/>
        <v>0</v>
      </c>
    </row>
    <row r="32" spans="1:7" ht="18" customHeight="1">
      <c r="A32" s="420" t="s">
        <v>93</v>
      </c>
      <c r="B32" s="441">
        <v>0</v>
      </c>
      <c r="C32" s="441">
        <v>0</v>
      </c>
      <c r="D32" s="441">
        <v>0</v>
      </c>
      <c r="E32" s="441">
        <v>0</v>
      </c>
      <c r="F32" s="441">
        <v>0</v>
      </c>
      <c r="G32" s="470">
        <f t="shared" si="0"/>
        <v>0</v>
      </c>
    </row>
    <row r="33" spans="1:7" ht="18" customHeight="1">
      <c r="A33" s="420" t="s">
        <v>94</v>
      </c>
      <c r="B33" s="441">
        <v>17416</v>
      </c>
      <c r="C33" s="441">
        <v>17416</v>
      </c>
      <c r="D33" s="441">
        <v>0</v>
      </c>
      <c r="E33" s="441">
        <v>0</v>
      </c>
      <c r="F33" s="441">
        <v>0</v>
      </c>
      <c r="G33" s="470">
        <f t="shared" si="0"/>
        <v>0</v>
      </c>
    </row>
    <row r="34" spans="1:7" ht="18" customHeight="1">
      <c r="A34" s="420" t="s">
        <v>95</v>
      </c>
      <c r="B34" s="441">
        <v>0</v>
      </c>
      <c r="C34" s="441">
        <v>0</v>
      </c>
      <c r="D34" s="441">
        <v>0</v>
      </c>
      <c r="E34" s="441">
        <v>0</v>
      </c>
      <c r="F34" s="441">
        <v>0</v>
      </c>
      <c r="G34" s="470">
        <f t="shared" si="0"/>
        <v>0</v>
      </c>
    </row>
    <row r="35" spans="1:7" ht="18" customHeight="1">
      <c r="A35" s="420" t="s">
        <v>96</v>
      </c>
      <c r="B35" s="441">
        <v>121914</v>
      </c>
      <c r="C35" s="441">
        <v>121914</v>
      </c>
      <c r="D35" s="441">
        <v>0</v>
      </c>
      <c r="E35" s="441">
        <v>0</v>
      </c>
      <c r="F35" s="441">
        <v>0</v>
      </c>
      <c r="G35" s="470">
        <f t="shared" si="0"/>
        <v>0</v>
      </c>
    </row>
    <row r="36" spans="1:7" ht="18" customHeight="1">
      <c r="A36" s="420" t="s">
        <v>97</v>
      </c>
      <c r="B36" s="441">
        <v>0</v>
      </c>
      <c r="C36" s="441">
        <v>0</v>
      </c>
      <c r="D36" s="441">
        <v>0</v>
      </c>
      <c r="E36" s="441">
        <v>0</v>
      </c>
      <c r="F36" s="441">
        <v>0</v>
      </c>
      <c r="G36" s="470">
        <f t="shared" si="0"/>
        <v>0</v>
      </c>
    </row>
    <row r="37" spans="1:7" ht="18" customHeight="1">
      <c r="A37" s="420" t="s">
        <v>98</v>
      </c>
      <c r="B37" s="441">
        <v>17416</v>
      </c>
      <c r="C37" s="441">
        <v>17416</v>
      </c>
      <c r="D37" s="441">
        <v>0</v>
      </c>
      <c r="E37" s="441">
        <v>0</v>
      </c>
      <c r="F37" s="441">
        <v>0</v>
      </c>
      <c r="G37" s="470">
        <f t="shared" si="0"/>
        <v>0</v>
      </c>
    </row>
    <row r="38" spans="1:7" ht="18" customHeight="1">
      <c r="A38" s="420" t="s">
        <v>99</v>
      </c>
      <c r="B38" s="441">
        <v>2764833</v>
      </c>
      <c r="C38" s="441">
        <v>2764833</v>
      </c>
      <c r="D38" s="441">
        <v>0</v>
      </c>
      <c r="E38" s="441">
        <v>0</v>
      </c>
      <c r="F38" s="441">
        <v>0</v>
      </c>
      <c r="G38" s="470">
        <f t="shared" si="0"/>
        <v>0</v>
      </c>
    </row>
    <row r="39" spans="1:7" ht="18" customHeight="1">
      <c r="A39" s="420" t="s">
        <v>100</v>
      </c>
      <c r="B39" s="441">
        <v>417990</v>
      </c>
      <c r="C39" s="441">
        <v>417990</v>
      </c>
      <c r="D39" s="441">
        <v>0</v>
      </c>
      <c r="E39" s="441">
        <v>0</v>
      </c>
      <c r="F39" s="441">
        <v>0</v>
      </c>
      <c r="G39" s="470">
        <f t="shared" si="0"/>
        <v>0</v>
      </c>
    </row>
    <row r="40" spans="1:7" ht="18" customHeight="1">
      <c r="A40" s="420" t="s">
        <v>101</v>
      </c>
      <c r="B40" s="441">
        <v>975311</v>
      </c>
      <c r="C40" s="441">
        <v>975311</v>
      </c>
      <c r="D40" s="441">
        <v>0</v>
      </c>
      <c r="E40" s="441">
        <v>0</v>
      </c>
      <c r="F40" s="441">
        <v>0</v>
      </c>
      <c r="G40" s="470">
        <f t="shared" si="0"/>
        <v>0</v>
      </c>
    </row>
    <row r="41" spans="1:7" ht="18" customHeight="1">
      <c r="A41" s="420" t="s">
        <v>102</v>
      </c>
      <c r="B41" s="441">
        <v>0</v>
      </c>
      <c r="C41" s="441">
        <v>0</v>
      </c>
      <c r="D41" s="441">
        <v>0</v>
      </c>
      <c r="E41" s="441">
        <v>0</v>
      </c>
      <c r="F41" s="441">
        <v>0</v>
      </c>
      <c r="G41" s="470">
        <f t="shared" si="0"/>
        <v>0</v>
      </c>
    </row>
    <row r="42" spans="1:7" ht="18" customHeight="1">
      <c r="A42" s="420" t="s">
        <v>103</v>
      </c>
      <c r="B42" s="441">
        <v>1606</v>
      </c>
      <c r="C42" s="441">
        <v>1606</v>
      </c>
      <c r="D42" s="441">
        <v>0</v>
      </c>
      <c r="E42" s="441">
        <v>0</v>
      </c>
      <c r="F42" s="441">
        <v>0</v>
      </c>
      <c r="G42" s="470">
        <f t="shared" si="0"/>
        <v>0</v>
      </c>
    </row>
    <row r="43" spans="1:7" ht="18" customHeight="1">
      <c r="A43" s="420" t="s">
        <v>104</v>
      </c>
      <c r="B43" s="441">
        <v>478947</v>
      </c>
      <c r="C43" s="441">
        <v>478947</v>
      </c>
      <c r="D43" s="441">
        <v>0</v>
      </c>
      <c r="E43" s="441">
        <v>0</v>
      </c>
      <c r="F43" s="441">
        <v>0</v>
      </c>
      <c r="G43" s="470">
        <f t="shared" si="0"/>
        <v>0</v>
      </c>
    </row>
    <row r="44" spans="1:7" ht="18" customHeight="1">
      <c r="A44" s="420" t="s">
        <v>106</v>
      </c>
      <c r="B44" s="441">
        <v>7750239</v>
      </c>
      <c r="C44" s="441">
        <v>0</v>
      </c>
      <c r="D44" s="441">
        <v>0</v>
      </c>
      <c r="E44" s="441">
        <v>0</v>
      </c>
      <c r="F44" s="441">
        <v>0</v>
      </c>
      <c r="G44" s="470">
        <f t="shared" si="0"/>
        <v>7750239</v>
      </c>
    </row>
    <row r="45" spans="1:7" ht="18" customHeight="1">
      <c r="A45" s="420" t="s">
        <v>108</v>
      </c>
      <c r="B45" s="441">
        <v>0</v>
      </c>
      <c r="C45" s="441">
        <v>0</v>
      </c>
      <c r="D45" s="441">
        <v>0</v>
      </c>
      <c r="E45" s="441">
        <v>0</v>
      </c>
      <c r="F45" s="441">
        <v>0</v>
      </c>
      <c r="G45" s="470">
        <f t="shared" si="0"/>
        <v>0</v>
      </c>
    </row>
    <row r="46" spans="1:7" ht="18" customHeight="1">
      <c r="A46" s="438" t="s">
        <v>217</v>
      </c>
      <c r="B46" s="441">
        <v>143684</v>
      </c>
      <c r="C46" s="441">
        <v>143684</v>
      </c>
      <c r="D46" s="441">
        <v>0</v>
      </c>
      <c r="E46" s="441">
        <v>0</v>
      </c>
      <c r="F46" s="441">
        <v>0</v>
      </c>
      <c r="G46" s="470">
        <f t="shared" si="0"/>
        <v>0</v>
      </c>
    </row>
    <row r="47" spans="1:7" ht="18" customHeight="1">
      <c r="A47" s="420" t="s">
        <v>110</v>
      </c>
      <c r="B47" s="441">
        <v>61290</v>
      </c>
      <c r="C47" s="441">
        <v>61290</v>
      </c>
      <c r="D47" s="441">
        <v>0</v>
      </c>
      <c r="E47" s="441">
        <v>0</v>
      </c>
      <c r="F47" s="441">
        <v>0</v>
      </c>
      <c r="G47" s="470">
        <f t="shared" si="0"/>
        <v>0</v>
      </c>
    </row>
    <row r="48" spans="1:7" ht="18" customHeight="1">
      <c r="A48" s="420" t="s">
        <v>111</v>
      </c>
      <c r="B48" s="441">
        <v>561675</v>
      </c>
      <c r="C48" s="441">
        <v>561675</v>
      </c>
      <c r="D48" s="441">
        <v>0</v>
      </c>
      <c r="E48" s="441">
        <v>0</v>
      </c>
      <c r="F48" s="441">
        <v>0</v>
      </c>
      <c r="G48" s="470">
        <f t="shared" si="0"/>
        <v>0</v>
      </c>
    </row>
    <row r="49" spans="1:7" ht="18" customHeight="1">
      <c r="A49" s="420" t="s">
        <v>112</v>
      </c>
      <c r="B49" s="441">
        <v>4114593</v>
      </c>
      <c r="C49" s="441">
        <v>4114593</v>
      </c>
      <c r="D49" s="441">
        <v>0</v>
      </c>
      <c r="E49" s="441">
        <v>0</v>
      </c>
      <c r="F49" s="441">
        <v>0</v>
      </c>
      <c r="G49" s="470">
        <f t="shared" si="0"/>
        <v>0</v>
      </c>
    </row>
    <row r="50" spans="1:7" ht="18" customHeight="1">
      <c r="A50" s="420" t="s">
        <v>113</v>
      </c>
      <c r="B50" s="441">
        <v>2137847</v>
      </c>
      <c r="C50" s="441">
        <v>2137847</v>
      </c>
      <c r="D50" s="441">
        <v>0</v>
      </c>
      <c r="E50" s="441">
        <v>0</v>
      </c>
      <c r="F50" s="441">
        <v>0</v>
      </c>
      <c r="G50" s="470">
        <f t="shared" si="0"/>
        <v>0</v>
      </c>
    </row>
    <row r="51" spans="1:7" ht="18" customHeight="1">
      <c r="A51" s="420" t="s">
        <v>114</v>
      </c>
      <c r="B51" s="441">
        <v>2107368</v>
      </c>
      <c r="C51" s="441">
        <v>1864768</v>
      </c>
      <c r="D51" s="441">
        <v>242600</v>
      </c>
      <c r="E51" s="441">
        <v>0</v>
      </c>
      <c r="F51" s="441">
        <v>0</v>
      </c>
      <c r="G51" s="470">
        <f t="shared" si="0"/>
        <v>0</v>
      </c>
    </row>
    <row r="52" spans="1:7" ht="18" customHeight="1">
      <c r="A52" s="420" t="s">
        <v>115</v>
      </c>
      <c r="B52" s="441">
        <v>0</v>
      </c>
      <c r="C52" s="441">
        <v>0</v>
      </c>
      <c r="D52" s="441">
        <v>0</v>
      </c>
      <c r="E52" s="441">
        <v>0</v>
      </c>
      <c r="F52" s="441">
        <v>0</v>
      </c>
      <c r="G52" s="470">
        <f t="shared" si="0"/>
        <v>0</v>
      </c>
    </row>
    <row r="53" spans="1:7" ht="18" customHeight="1">
      <c r="A53" s="420" t="s">
        <v>187</v>
      </c>
      <c r="B53" s="441">
        <v>56603</v>
      </c>
      <c r="C53" s="441">
        <v>0</v>
      </c>
      <c r="D53" s="441">
        <v>0</v>
      </c>
      <c r="E53" s="441">
        <v>0</v>
      </c>
      <c r="F53" s="441">
        <v>0</v>
      </c>
      <c r="G53" s="470">
        <f t="shared" si="0"/>
        <v>56603</v>
      </c>
    </row>
    <row r="54" spans="1:7" ht="18" customHeight="1">
      <c r="A54" s="420" t="s">
        <v>117</v>
      </c>
      <c r="B54" s="441">
        <v>0</v>
      </c>
      <c r="C54" s="441">
        <v>0</v>
      </c>
      <c r="D54" s="441">
        <v>0</v>
      </c>
      <c r="E54" s="441">
        <v>0</v>
      </c>
      <c r="F54" s="441">
        <v>0</v>
      </c>
      <c r="G54" s="470">
        <f t="shared" si="0"/>
        <v>0</v>
      </c>
    </row>
    <row r="55" spans="1:7" ht="18" customHeight="1">
      <c r="A55" s="420" t="s">
        <v>118</v>
      </c>
      <c r="B55" s="441">
        <v>0</v>
      </c>
      <c r="C55" s="441">
        <v>0</v>
      </c>
      <c r="D55" s="441">
        <v>0</v>
      </c>
      <c r="E55" s="441">
        <v>0</v>
      </c>
      <c r="F55" s="441">
        <v>0</v>
      </c>
      <c r="G55" s="470">
        <f t="shared" si="0"/>
        <v>0</v>
      </c>
    </row>
    <row r="56" spans="1:7" ht="18" customHeight="1">
      <c r="A56" s="420" t="s">
        <v>119</v>
      </c>
      <c r="B56" s="441">
        <v>9256746</v>
      </c>
      <c r="C56" s="441">
        <v>8756709</v>
      </c>
      <c r="D56" s="441">
        <v>0</v>
      </c>
      <c r="E56" s="441">
        <v>0</v>
      </c>
      <c r="F56" s="441">
        <v>500037</v>
      </c>
      <c r="G56" s="470">
        <f t="shared" si="0"/>
        <v>0</v>
      </c>
    </row>
    <row r="57" spans="1:7" ht="18" customHeight="1">
      <c r="A57" s="420" t="s">
        <v>120</v>
      </c>
      <c r="B57" s="441">
        <v>37916667</v>
      </c>
      <c r="C57" s="441">
        <v>36791667</v>
      </c>
      <c r="D57" s="441">
        <v>1125000</v>
      </c>
      <c r="E57" s="441">
        <v>0</v>
      </c>
      <c r="F57" s="441">
        <v>0</v>
      </c>
      <c r="G57" s="470">
        <f t="shared" si="0"/>
        <v>0</v>
      </c>
    </row>
    <row r="58" spans="1:7" ht="18" customHeight="1" thickBot="1">
      <c r="A58" s="426" t="s">
        <v>121</v>
      </c>
      <c r="B58" s="441">
        <v>0</v>
      </c>
      <c r="C58" s="441">
        <v>0</v>
      </c>
      <c r="D58" s="441">
        <v>0</v>
      </c>
      <c r="E58" s="441">
        <v>0</v>
      </c>
      <c r="F58" s="441">
        <v>0</v>
      </c>
      <c r="G58" s="470">
        <f>B58-C58-D58-E58-F58</f>
        <v>0</v>
      </c>
    </row>
    <row r="59" spans="1:7" ht="20.25" customHeight="1" thickBot="1">
      <c r="A59" s="471" t="s">
        <v>124</v>
      </c>
      <c r="B59" s="472">
        <f t="shared" ref="B59:G59" si="1">SUM(B8:B58)</f>
        <v>147905193</v>
      </c>
      <c r="C59" s="472">
        <f t="shared" si="1"/>
        <v>127877405</v>
      </c>
      <c r="D59" s="472">
        <f t="shared" si="1"/>
        <v>3899431</v>
      </c>
      <c r="E59" s="472">
        <f t="shared" si="1"/>
        <v>0</v>
      </c>
      <c r="F59" s="472">
        <f t="shared" si="1"/>
        <v>8098267</v>
      </c>
      <c r="G59" s="473">
        <f t="shared" si="1"/>
        <v>8030090</v>
      </c>
    </row>
    <row r="60" spans="1:7" ht="15.75" customHeight="1">
      <c r="A60" s="474"/>
      <c r="B60" s="475"/>
      <c r="C60" s="475"/>
      <c r="D60" s="475"/>
      <c r="E60" s="475"/>
      <c r="F60" s="475"/>
      <c r="G60" s="475"/>
    </row>
    <row r="61" spans="1:7" ht="15.75" customHeight="1">
      <c r="A61" s="474"/>
      <c r="B61" s="475"/>
      <c r="C61" s="475"/>
      <c r="D61" s="475"/>
      <c r="E61" s="475"/>
      <c r="G61" s="475"/>
    </row>
  </sheetData>
  <mergeCells count="3">
    <mergeCell ref="A4:G4"/>
    <mergeCell ref="A5:G5"/>
    <mergeCell ref="A6:G6"/>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6EA63-3CC7-4CAE-831A-02EDEAA54FDE}">
  <dimension ref="A1:F61"/>
  <sheetViews>
    <sheetView topLeftCell="A40" workbookViewId="0">
      <selection activeCell="F3" sqref="F3"/>
    </sheetView>
  </sheetViews>
  <sheetFormatPr defaultColWidth="9.7265625" defaultRowHeight="15.5"/>
  <cols>
    <col min="1" max="1" width="27" style="1" customWidth="1"/>
    <col min="2" max="6" width="17.26953125" style="1" customWidth="1"/>
    <col min="7" max="16384" width="9.7265625" style="469"/>
  </cols>
  <sheetData>
    <row r="1" spans="1:6" s="1" customFormat="1" ht="16.5" customHeight="1">
      <c r="A1" s="389"/>
      <c r="B1" s="355"/>
      <c r="F1" s="380" t="str">
        <f>Status!C1</f>
        <v>UNEP/OzL.Pro/ExCom/94/3</v>
      </c>
    </row>
    <row r="2" spans="1:6" s="1" customFormat="1" ht="16.5" customHeight="1">
      <c r="A2" s="389"/>
      <c r="B2" s="22"/>
      <c r="F2" s="380" t="s">
        <v>233</v>
      </c>
    </row>
    <row r="3" spans="1:6" s="1" customFormat="1" ht="16.5" customHeight="1">
      <c r="B3" s="22"/>
      <c r="F3" s="380"/>
    </row>
    <row r="4" spans="1:6" s="1" customFormat="1" ht="20.25" customHeight="1">
      <c r="A4" s="381" t="s">
        <v>2</v>
      </c>
      <c r="B4" s="381"/>
      <c r="C4" s="381"/>
      <c r="D4" s="381"/>
      <c r="E4" s="381"/>
      <c r="F4" s="381"/>
    </row>
    <row r="5" spans="1:6" s="1" customFormat="1" ht="20.25" customHeight="1">
      <c r="A5" s="382" t="s">
        <v>231</v>
      </c>
      <c r="B5" s="381"/>
      <c r="C5" s="381"/>
      <c r="D5" s="381"/>
      <c r="E5" s="381"/>
      <c r="F5" s="381"/>
    </row>
    <row r="6" spans="1:6" s="1" customFormat="1" ht="30" customHeight="1" thickBot="1">
      <c r="A6" s="383" t="str">
        <f>Status!A6</f>
        <v>As at 24/05/2024</v>
      </c>
      <c r="B6" s="381"/>
      <c r="C6" s="381"/>
      <c r="D6" s="381"/>
      <c r="E6" s="381"/>
      <c r="F6" s="381"/>
    </row>
    <row r="7" spans="1:6" s="1" customFormat="1" ht="35.25" customHeight="1" thickBot="1">
      <c r="A7" s="358" t="s">
        <v>60</v>
      </c>
      <c r="B7" s="359" t="s">
        <v>61</v>
      </c>
      <c r="C7" s="359" t="s">
        <v>62</v>
      </c>
      <c r="D7" s="359" t="s">
        <v>63</v>
      </c>
      <c r="E7" s="359" t="s">
        <v>64</v>
      </c>
      <c r="F7" s="384" t="s">
        <v>65</v>
      </c>
    </row>
    <row r="8" spans="1:6" ht="18" customHeight="1">
      <c r="A8" s="438" t="s">
        <v>130</v>
      </c>
      <c r="B8" s="467">
        <v>2633990</v>
      </c>
      <c r="C8" s="467">
        <v>2513094</v>
      </c>
      <c r="D8" s="467">
        <v>120896</v>
      </c>
      <c r="E8" s="467">
        <v>0</v>
      </c>
      <c r="F8" s="468">
        <f t="shared" ref="F8:F58" si="0">B8-C8-D8-E8</f>
        <v>0</v>
      </c>
    </row>
    <row r="9" spans="1:6" ht="18" customHeight="1">
      <c r="A9" s="420" t="s">
        <v>223</v>
      </c>
      <c r="B9" s="441">
        <v>1308273</v>
      </c>
      <c r="C9" s="441">
        <v>1308273</v>
      </c>
      <c r="D9" s="441">
        <v>0</v>
      </c>
      <c r="E9" s="441">
        <v>0</v>
      </c>
      <c r="F9" s="470">
        <f t="shared" si="0"/>
        <v>0</v>
      </c>
    </row>
    <row r="10" spans="1:6" ht="18" customHeight="1">
      <c r="A10" s="423" t="s">
        <v>70</v>
      </c>
      <c r="B10" s="441">
        <v>0</v>
      </c>
      <c r="C10" s="441">
        <v>0</v>
      </c>
      <c r="D10" s="441">
        <v>0</v>
      </c>
      <c r="E10" s="441">
        <v>0</v>
      </c>
      <c r="F10" s="470">
        <f t="shared" si="0"/>
        <v>0</v>
      </c>
    </row>
    <row r="11" spans="1:6" ht="18" customHeight="1">
      <c r="A11" s="420" t="s">
        <v>71</v>
      </c>
      <c r="B11" s="441">
        <v>0</v>
      </c>
      <c r="C11" s="441">
        <v>0</v>
      </c>
      <c r="D11" s="441">
        <v>0</v>
      </c>
      <c r="E11" s="441">
        <v>0</v>
      </c>
      <c r="F11" s="470">
        <f t="shared" si="0"/>
        <v>0</v>
      </c>
    </row>
    <row r="12" spans="1:6" ht="18" customHeight="1">
      <c r="A12" s="420" t="s">
        <v>72</v>
      </c>
      <c r="B12" s="441">
        <v>1849026</v>
      </c>
      <c r="C12" s="441">
        <v>1849026</v>
      </c>
      <c r="D12" s="441">
        <v>0</v>
      </c>
      <c r="E12" s="441">
        <v>0</v>
      </c>
      <c r="F12" s="470">
        <f t="shared" si="0"/>
        <v>0</v>
      </c>
    </row>
    <row r="13" spans="1:6" ht="18" customHeight="1">
      <c r="A13" s="420" t="s">
        <v>215</v>
      </c>
      <c r="B13" s="441">
        <v>0</v>
      </c>
      <c r="C13" s="441">
        <v>0</v>
      </c>
      <c r="D13" s="441">
        <v>0</v>
      </c>
      <c r="E13" s="441">
        <v>0</v>
      </c>
      <c r="F13" s="470">
        <f t="shared" si="0"/>
        <v>0</v>
      </c>
    </row>
    <row r="14" spans="1:6" ht="18" customHeight="1">
      <c r="A14" s="420" t="s">
        <v>73</v>
      </c>
      <c r="B14" s="441">
        <v>226767</v>
      </c>
      <c r="C14" s="441">
        <v>226767</v>
      </c>
      <c r="D14" s="441">
        <v>0</v>
      </c>
      <c r="E14" s="441">
        <v>0</v>
      </c>
      <c r="F14" s="470">
        <f t="shared" si="0"/>
        <v>0</v>
      </c>
    </row>
    <row r="15" spans="1:6" ht="18" customHeight="1">
      <c r="A15" s="420" t="s">
        <v>131</v>
      </c>
      <c r="B15" s="441">
        <v>5424973</v>
      </c>
      <c r="C15" s="441">
        <v>5374973</v>
      </c>
      <c r="D15" s="441">
        <v>50000</v>
      </c>
      <c r="E15" s="441">
        <v>0</v>
      </c>
      <c r="F15" s="470">
        <f t="shared" si="0"/>
        <v>0</v>
      </c>
    </row>
    <row r="16" spans="1:6" ht="18" customHeight="1">
      <c r="A16" s="420" t="s">
        <v>76</v>
      </c>
      <c r="B16" s="441">
        <v>34887</v>
      </c>
      <c r="C16" s="441">
        <v>34887</v>
      </c>
      <c r="D16" s="441">
        <v>0</v>
      </c>
      <c r="E16" s="441">
        <v>0</v>
      </c>
      <c r="F16" s="470">
        <f t="shared" si="0"/>
        <v>0</v>
      </c>
    </row>
    <row r="17" spans="1:6" ht="18" customHeight="1">
      <c r="A17" s="420" t="s">
        <v>77</v>
      </c>
      <c r="B17" s="441">
        <v>732633</v>
      </c>
      <c r="C17" s="441">
        <v>732633</v>
      </c>
      <c r="D17" s="441">
        <v>0</v>
      </c>
      <c r="E17" s="441">
        <v>0</v>
      </c>
      <c r="F17" s="470">
        <f t="shared" si="0"/>
        <v>0</v>
      </c>
    </row>
    <row r="18" spans="1:6" ht="18" customHeight="1">
      <c r="A18" s="420" t="s">
        <v>78</v>
      </c>
      <c r="B18" s="441">
        <v>1133837</v>
      </c>
      <c r="C18" s="441">
        <v>928837</v>
      </c>
      <c r="D18" s="441">
        <v>205000</v>
      </c>
      <c r="E18" s="441">
        <v>0</v>
      </c>
      <c r="F18" s="470">
        <f t="shared" si="0"/>
        <v>0</v>
      </c>
    </row>
    <row r="19" spans="1:6" ht="18" customHeight="1">
      <c r="A19" s="420" t="s">
        <v>79</v>
      </c>
      <c r="B19" s="441">
        <v>0</v>
      </c>
      <c r="C19" s="441">
        <v>0</v>
      </c>
      <c r="D19" s="441">
        <v>0</v>
      </c>
      <c r="E19" s="441">
        <v>0</v>
      </c>
      <c r="F19" s="470">
        <f t="shared" si="0"/>
        <v>0</v>
      </c>
    </row>
    <row r="20" spans="1:6" ht="18" customHeight="1">
      <c r="A20" s="420" t="s">
        <v>80</v>
      </c>
      <c r="B20" s="441">
        <v>994288</v>
      </c>
      <c r="C20" s="441">
        <v>994288</v>
      </c>
      <c r="D20" s="441">
        <v>0</v>
      </c>
      <c r="E20" s="441">
        <v>0</v>
      </c>
      <c r="F20" s="470">
        <f t="shared" si="0"/>
        <v>0</v>
      </c>
    </row>
    <row r="21" spans="1:6" ht="18" customHeight="1">
      <c r="A21" s="420" t="s">
        <v>81</v>
      </c>
      <c r="B21" s="441">
        <v>10466186</v>
      </c>
      <c r="C21" s="441">
        <v>10346186</v>
      </c>
      <c r="D21" s="441">
        <v>120000</v>
      </c>
      <c r="E21" s="441">
        <v>0</v>
      </c>
      <c r="F21" s="470">
        <f t="shared" si="0"/>
        <v>0</v>
      </c>
    </row>
    <row r="22" spans="1:6" ht="18" customHeight="1">
      <c r="A22" s="420" t="s">
        <v>216</v>
      </c>
      <c r="B22" s="441">
        <v>0</v>
      </c>
      <c r="C22" s="441">
        <v>0</v>
      </c>
      <c r="D22" s="441">
        <v>0</v>
      </c>
      <c r="E22" s="441">
        <v>0</v>
      </c>
      <c r="F22" s="470">
        <f t="shared" si="0"/>
        <v>0</v>
      </c>
    </row>
    <row r="23" spans="1:6" ht="18" customHeight="1">
      <c r="A23" s="420" t="s">
        <v>82</v>
      </c>
      <c r="B23" s="441">
        <v>15577174</v>
      </c>
      <c r="C23" s="441">
        <v>15577174</v>
      </c>
      <c r="D23" s="441">
        <v>0</v>
      </c>
      <c r="E23" s="441">
        <v>0</v>
      </c>
      <c r="F23" s="470">
        <f t="shared" si="0"/>
        <v>0</v>
      </c>
    </row>
    <row r="24" spans="1:6" ht="18" customHeight="1">
      <c r="A24" s="420" t="s">
        <v>83</v>
      </c>
      <c r="B24" s="441">
        <v>610528</v>
      </c>
      <c r="C24" s="441">
        <v>610528</v>
      </c>
      <c r="D24" s="441">
        <v>0</v>
      </c>
      <c r="E24" s="441">
        <v>0</v>
      </c>
      <c r="F24" s="470">
        <f t="shared" si="0"/>
        <v>0</v>
      </c>
    </row>
    <row r="25" spans="1:6" ht="18" customHeight="1">
      <c r="A25" s="420" t="s">
        <v>85</v>
      </c>
      <c r="B25" s="441">
        <v>313986</v>
      </c>
      <c r="C25" s="441">
        <v>313986</v>
      </c>
      <c r="D25" s="441">
        <v>0</v>
      </c>
      <c r="E25" s="441">
        <v>0</v>
      </c>
      <c r="F25" s="470">
        <f t="shared" si="0"/>
        <v>0</v>
      </c>
    </row>
    <row r="26" spans="1:6" ht="18" customHeight="1">
      <c r="A26" s="420" t="s">
        <v>86</v>
      </c>
      <c r="B26" s="441">
        <v>52331</v>
      </c>
      <c r="C26" s="441">
        <v>52331</v>
      </c>
      <c r="D26" s="441">
        <v>0</v>
      </c>
      <c r="E26" s="441">
        <v>0</v>
      </c>
      <c r="F26" s="470">
        <f t="shared" si="0"/>
        <v>0</v>
      </c>
    </row>
    <row r="27" spans="1:6" ht="18" customHeight="1">
      <c r="A27" s="420" t="s">
        <v>87</v>
      </c>
      <c r="B27" s="441">
        <v>313986</v>
      </c>
      <c r="C27" s="441">
        <v>313986</v>
      </c>
      <c r="D27" s="441">
        <v>0</v>
      </c>
      <c r="E27" s="441">
        <v>0</v>
      </c>
      <c r="F27" s="470">
        <f t="shared" si="0"/>
        <v>0</v>
      </c>
    </row>
    <row r="28" spans="1:6" ht="18" customHeight="1">
      <c r="A28" s="420" t="s">
        <v>88</v>
      </c>
      <c r="B28" s="441">
        <v>401204</v>
      </c>
      <c r="C28" s="441">
        <v>401204</v>
      </c>
      <c r="D28" s="441">
        <v>0</v>
      </c>
      <c r="E28" s="441">
        <v>0</v>
      </c>
      <c r="F28" s="470">
        <f t="shared" si="0"/>
        <v>0</v>
      </c>
    </row>
    <row r="29" spans="1:6" ht="18" customHeight="1">
      <c r="A29" s="420" t="s">
        <v>89</v>
      </c>
      <c r="B29" s="441">
        <v>7483323</v>
      </c>
      <c r="C29" s="441">
        <v>7483323</v>
      </c>
      <c r="D29" s="441">
        <v>0</v>
      </c>
      <c r="E29" s="441">
        <v>0</v>
      </c>
      <c r="F29" s="470">
        <f t="shared" si="0"/>
        <v>0</v>
      </c>
    </row>
    <row r="30" spans="1:6" ht="18" customHeight="1">
      <c r="A30" s="420" t="s">
        <v>90</v>
      </c>
      <c r="B30" s="441">
        <v>21717336</v>
      </c>
      <c r="C30" s="441">
        <v>21717336</v>
      </c>
      <c r="D30" s="441">
        <v>0</v>
      </c>
      <c r="E30" s="441">
        <v>0</v>
      </c>
      <c r="F30" s="470">
        <f t="shared" si="0"/>
        <v>0</v>
      </c>
    </row>
    <row r="31" spans="1:6" ht="18" customHeight="1">
      <c r="A31" s="420" t="s">
        <v>92</v>
      </c>
      <c r="B31" s="441">
        <v>0</v>
      </c>
      <c r="C31" s="441">
        <v>0</v>
      </c>
      <c r="D31" s="441">
        <v>0</v>
      </c>
      <c r="E31" s="441">
        <v>0</v>
      </c>
      <c r="F31" s="470">
        <f t="shared" si="0"/>
        <v>0</v>
      </c>
    </row>
    <row r="32" spans="1:6" ht="18" customHeight="1">
      <c r="A32" s="420" t="s">
        <v>93</v>
      </c>
      <c r="B32" s="441">
        <v>0</v>
      </c>
      <c r="C32" s="441">
        <v>0</v>
      </c>
      <c r="D32" s="441">
        <v>0</v>
      </c>
      <c r="E32" s="441">
        <v>0</v>
      </c>
      <c r="F32" s="470">
        <f t="shared" si="0"/>
        <v>0</v>
      </c>
    </row>
    <row r="33" spans="1:6" ht="18" customHeight="1">
      <c r="A33" s="420" t="s">
        <v>94</v>
      </c>
      <c r="B33" s="441">
        <v>17444</v>
      </c>
      <c r="C33" s="441">
        <v>17444</v>
      </c>
      <c r="D33" s="441">
        <v>0</v>
      </c>
      <c r="E33" s="441">
        <v>0</v>
      </c>
      <c r="F33" s="470">
        <f t="shared" si="0"/>
        <v>0</v>
      </c>
    </row>
    <row r="34" spans="1:6" ht="18" customHeight="1">
      <c r="A34" s="420" t="s">
        <v>95</v>
      </c>
      <c r="B34" s="441">
        <v>0</v>
      </c>
      <c r="C34" s="441">
        <v>0</v>
      </c>
      <c r="D34" s="441">
        <v>0</v>
      </c>
      <c r="E34" s="441">
        <v>0</v>
      </c>
      <c r="F34" s="470">
        <f t="shared" si="0"/>
        <v>0</v>
      </c>
    </row>
    <row r="35" spans="1:6" ht="18" customHeight="1">
      <c r="A35" s="420" t="s">
        <v>96</v>
      </c>
      <c r="B35" s="441">
        <v>104662</v>
      </c>
      <c r="C35" s="441">
        <v>104662</v>
      </c>
      <c r="D35" s="441">
        <v>0</v>
      </c>
      <c r="E35" s="441">
        <v>0</v>
      </c>
      <c r="F35" s="470">
        <f t="shared" si="0"/>
        <v>0</v>
      </c>
    </row>
    <row r="36" spans="1:6" ht="18" customHeight="1">
      <c r="A36" s="420" t="s">
        <v>97</v>
      </c>
      <c r="B36" s="441">
        <v>0</v>
      </c>
      <c r="C36" s="441">
        <v>0</v>
      </c>
      <c r="D36" s="441">
        <v>0</v>
      </c>
      <c r="E36" s="441">
        <v>0</v>
      </c>
      <c r="F36" s="470">
        <f t="shared" si="0"/>
        <v>0</v>
      </c>
    </row>
    <row r="37" spans="1:6" ht="18" customHeight="1">
      <c r="A37" s="420" t="s">
        <v>98</v>
      </c>
      <c r="B37" s="441">
        <v>17444</v>
      </c>
      <c r="C37" s="441">
        <v>17444</v>
      </c>
      <c r="D37" s="441">
        <v>0</v>
      </c>
      <c r="E37" s="441">
        <v>0</v>
      </c>
      <c r="F37" s="470">
        <f t="shared" si="0"/>
        <v>0</v>
      </c>
    </row>
    <row r="38" spans="1:6" ht="18" customHeight="1">
      <c r="A38" s="420" t="s">
        <v>99</v>
      </c>
      <c r="B38" s="441">
        <v>2616547</v>
      </c>
      <c r="C38" s="441">
        <v>2616547</v>
      </c>
      <c r="D38" s="441">
        <v>0</v>
      </c>
      <c r="E38" s="441">
        <v>0</v>
      </c>
      <c r="F38" s="470">
        <f t="shared" si="0"/>
        <v>0</v>
      </c>
    </row>
    <row r="39" spans="1:6" ht="18" customHeight="1">
      <c r="A39" s="420" t="s">
        <v>100</v>
      </c>
      <c r="B39" s="441">
        <v>418647</v>
      </c>
      <c r="C39" s="441">
        <v>418647</v>
      </c>
      <c r="D39" s="441">
        <v>0</v>
      </c>
      <c r="E39" s="441">
        <v>0</v>
      </c>
      <c r="F39" s="470">
        <f t="shared" si="0"/>
        <v>0</v>
      </c>
    </row>
    <row r="40" spans="1:6" ht="18" customHeight="1">
      <c r="A40" s="420" t="s">
        <v>101</v>
      </c>
      <c r="B40" s="441">
        <v>959400</v>
      </c>
      <c r="C40" s="441">
        <v>959400</v>
      </c>
      <c r="D40" s="441">
        <v>0</v>
      </c>
      <c r="E40" s="441">
        <v>0</v>
      </c>
      <c r="F40" s="470">
        <f t="shared" si="0"/>
        <v>0</v>
      </c>
    </row>
    <row r="41" spans="1:6" ht="18" customHeight="1">
      <c r="A41" s="420" t="s">
        <v>102</v>
      </c>
      <c r="B41" s="441">
        <v>0</v>
      </c>
      <c r="C41" s="441">
        <v>0</v>
      </c>
      <c r="D41" s="441">
        <v>0</v>
      </c>
      <c r="E41" s="441">
        <v>0</v>
      </c>
      <c r="F41" s="470">
        <f t="shared" si="0"/>
        <v>0</v>
      </c>
    </row>
    <row r="42" spans="1:6" ht="18" customHeight="1">
      <c r="A42" s="420" t="s">
        <v>103</v>
      </c>
      <c r="B42" s="441">
        <v>0</v>
      </c>
      <c r="C42" s="441">
        <v>0</v>
      </c>
      <c r="D42" s="441">
        <v>0</v>
      </c>
      <c r="E42" s="441">
        <v>0</v>
      </c>
      <c r="F42" s="470">
        <f t="shared" si="0"/>
        <v>0</v>
      </c>
    </row>
    <row r="43" spans="1:6" ht="18" customHeight="1">
      <c r="A43" s="420" t="s">
        <v>104</v>
      </c>
      <c r="B43" s="441">
        <v>348873</v>
      </c>
      <c r="C43" s="441">
        <v>348873</v>
      </c>
      <c r="D43" s="441">
        <v>0</v>
      </c>
      <c r="E43" s="441">
        <v>0</v>
      </c>
      <c r="F43" s="470">
        <f t="shared" si="0"/>
        <v>0</v>
      </c>
    </row>
    <row r="44" spans="1:6" ht="18" customHeight="1">
      <c r="A44" s="420" t="s">
        <v>106</v>
      </c>
      <c r="B44" s="441">
        <v>11704685</v>
      </c>
      <c r="C44" s="441">
        <v>0</v>
      </c>
      <c r="D44" s="441">
        <v>0</v>
      </c>
      <c r="E44" s="441">
        <v>0</v>
      </c>
      <c r="F44" s="470">
        <f t="shared" si="0"/>
        <v>11704685</v>
      </c>
    </row>
    <row r="45" spans="1:6" ht="18" customHeight="1">
      <c r="A45" s="420" t="s">
        <v>108</v>
      </c>
      <c r="B45" s="441">
        <v>0</v>
      </c>
      <c r="C45" s="441">
        <v>0</v>
      </c>
      <c r="D45" s="441">
        <v>0</v>
      </c>
      <c r="E45" s="441">
        <v>0</v>
      </c>
      <c r="F45" s="470">
        <f t="shared" si="0"/>
        <v>0</v>
      </c>
    </row>
    <row r="46" spans="1:6" ht="18" customHeight="1">
      <c r="A46" s="438" t="s">
        <v>217</v>
      </c>
      <c r="B46" s="441">
        <v>226767</v>
      </c>
      <c r="C46" s="441">
        <v>226767</v>
      </c>
      <c r="D46" s="441">
        <v>0</v>
      </c>
      <c r="E46" s="441">
        <v>0</v>
      </c>
      <c r="F46" s="470">
        <f t="shared" si="0"/>
        <v>0</v>
      </c>
    </row>
    <row r="47" spans="1:6" ht="18" customHeight="1">
      <c r="A47" s="420" t="s">
        <v>110</v>
      </c>
      <c r="B47" s="441">
        <v>0</v>
      </c>
      <c r="C47" s="441">
        <v>0</v>
      </c>
      <c r="D47" s="441">
        <v>0</v>
      </c>
      <c r="E47" s="441">
        <v>0</v>
      </c>
      <c r="F47" s="470">
        <f t="shared" si="0"/>
        <v>0</v>
      </c>
    </row>
    <row r="48" spans="1:6" ht="18" customHeight="1">
      <c r="A48" s="420" t="s">
        <v>111</v>
      </c>
      <c r="B48" s="441">
        <v>715189</v>
      </c>
      <c r="C48" s="441">
        <v>715189</v>
      </c>
      <c r="D48" s="441">
        <v>0</v>
      </c>
      <c r="E48" s="441">
        <v>0</v>
      </c>
      <c r="F48" s="470">
        <f t="shared" si="0"/>
        <v>0</v>
      </c>
    </row>
    <row r="49" spans="1:6" ht="18" customHeight="1">
      <c r="A49" s="420" t="s">
        <v>112</v>
      </c>
      <c r="B49" s="441">
        <v>3453841</v>
      </c>
      <c r="C49" s="441">
        <v>3453841</v>
      </c>
      <c r="D49" s="441">
        <v>0</v>
      </c>
      <c r="E49" s="441">
        <v>0</v>
      </c>
      <c r="F49" s="470">
        <f t="shared" si="0"/>
        <v>0</v>
      </c>
    </row>
    <row r="50" spans="1:6" ht="18" customHeight="1">
      <c r="A50" s="420" t="s">
        <v>113</v>
      </c>
      <c r="B50" s="441">
        <v>1936244</v>
      </c>
      <c r="C50" s="441">
        <v>1936244</v>
      </c>
      <c r="D50" s="441">
        <v>0</v>
      </c>
      <c r="E50" s="441">
        <v>0</v>
      </c>
      <c r="F50" s="470">
        <f t="shared" si="0"/>
        <v>0</v>
      </c>
    </row>
    <row r="51" spans="1:6" ht="18" customHeight="1">
      <c r="A51" s="420" t="s">
        <v>114</v>
      </c>
      <c r="B51" s="441">
        <v>1936244</v>
      </c>
      <c r="C51" s="441">
        <v>1936244</v>
      </c>
      <c r="D51" s="441">
        <v>0</v>
      </c>
      <c r="E51" s="441">
        <v>0</v>
      </c>
      <c r="F51" s="470">
        <f t="shared" si="0"/>
        <v>0</v>
      </c>
    </row>
    <row r="52" spans="1:6" ht="18" customHeight="1">
      <c r="A52" s="420" t="s">
        <v>115</v>
      </c>
      <c r="B52" s="441">
        <v>0</v>
      </c>
      <c r="C52" s="441">
        <v>0</v>
      </c>
      <c r="D52" s="441">
        <v>0</v>
      </c>
      <c r="E52" s="441">
        <v>0</v>
      </c>
      <c r="F52" s="470">
        <f t="shared" si="0"/>
        <v>0</v>
      </c>
    </row>
    <row r="53" spans="1:6" ht="18" customHeight="1">
      <c r="A53" s="420" t="s">
        <v>187</v>
      </c>
      <c r="B53" s="441">
        <v>0</v>
      </c>
      <c r="C53" s="441">
        <v>0</v>
      </c>
      <c r="D53" s="441">
        <v>0</v>
      </c>
      <c r="E53" s="441">
        <v>0</v>
      </c>
      <c r="F53" s="470">
        <f t="shared" si="0"/>
        <v>0</v>
      </c>
    </row>
    <row r="54" spans="1:6" ht="18" customHeight="1">
      <c r="A54" s="420" t="s">
        <v>117</v>
      </c>
      <c r="B54" s="441">
        <v>0</v>
      </c>
      <c r="C54" s="441">
        <v>0</v>
      </c>
      <c r="D54" s="441">
        <v>0</v>
      </c>
      <c r="E54" s="441">
        <v>0</v>
      </c>
      <c r="F54" s="470">
        <f t="shared" si="0"/>
        <v>0</v>
      </c>
    </row>
    <row r="55" spans="1:6" ht="18" customHeight="1">
      <c r="A55" s="420" t="s">
        <v>118</v>
      </c>
      <c r="B55" s="441">
        <v>0</v>
      </c>
      <c r="C55" s="441">
        <v>0</v>
      </c>
      <c r="D55" s="441">
        <v>0</v>
      </c>
      <c r="E55" s="441">
        <v>0</v>
      </c>
      <c r="F55" s="470">
        <f t="shared" si="0"/>
        <v>0</v>
      </c>
    </row>
    <row r="56" spans="1:6" ht="18" customHeight="1">
      <c r="A56" s="420" t="s">
        <v>119</v>
      </c>
      <c r="B56" s="441">
        <v>8756709</v>
      </c>
      <c r="C56" s="441">
        <v>8756709</v>
      </c>
      <c r="D56" s="441">
        <v>0</v>
      </c>
      <c r="E56" s="441">
        <v>0</v>
      </c>
      <c r="F56" s="470">
        <f t="shared" si="0"/>
        <v>0</v>
      </c>
    </row>
    <row r="57" spans="1:6" ht="18" customHeight="1">
      <c r="A57" s="420" t="s">
        <v>120</v>
      </c>
      <c r="B57" s="441">
        <v>37916667</v>
      </c>
      <c r="C57" s="441">
        <v>35070365</v>
      </c>
      <c r="D57" s="441">
        <v>2846302</v>
      </c>
      <c r="E57" s="441">
        <v>0</v>
      </c>
      <c r="F57" s="470">
        <f t="shared" si="0"/>
        <v>0</v>
      </c>
    </row>
    <row r="58" spans="1:6" ht="18" customHeight="1" thickBot="1">
      <c r="A58" s="426" t="s">
        <v>121</v>
      </c>
      <c r="B58" s="441">
        <v>0</v>
      </c>
      <c r="C58" s="441">
        <v>0</v>
      </c>
      <c r="D58" s="441">
        <v>0</v>
      </c>
      <c r="E58" s="441">
        <v>0</v>
      </c>
      <c r="F58" s="470">
        <f t="shared" si="0"/>
        <v>0</v>
      </c>
    </row>
    <row r="59" spans="1:6" ht="20.25" customHeight="1" thickBot="1">
      <c r="A59" s="471" t="s">
        <v>124</v>
      </c>
      <c r="B59" s="472">
        <f>SUM(B8:B58)</f>
        <v>142404091</v>
      </c>
      <c r="C59" s="472">
        <f>SUM(C8:C58)</f>
        <v>127357208</v>
      </c>
      <c r="D59" s="472">
        <f>SUM(D8:D58)</f>
        <v>3342198</v>
      </c>
      <c r="E59" s="472">
        <f>SUM(E8:E58)</f>
        <v>0</v>
      </c>
      <c r="F59" s="473">
        <f>SUM(F8:F58)</f>
        <v>11704685</v>
      </c>
    </row>
    <row r="60" spans="1:6" ht="15.75" customHeight="1">
      <c r="A60" s="476"/>
      <c r="B60" s="475"/>
      <c r="C60" s="475"/>
      <c r="D60" s="475"/>
      <c r="E60" s="475"/>
      <c r="F60" s="475"/>
    </row>
    <row r="61" spans="1:6" ht="15.75" customHeight="1">
      <c r="A61" s="477"/>
      <c r="F61" s="7"/>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90B2-6A3B-4ECA-BB6A-6BB6D0A051D0}">
  <dimension ref="A1:F61"/>
  <sheetViews>
    <sheetView topLeftCell="A40" workbookViewId="0">
      <selection activeCell="A3" sqref="A3"/>
    </sheetView>
  </sheetViews>
  <sheetFormatPr defaultColWidth="9.7265625" defaultRowHeight="15.5"/>
  <cols>
    <col min="1" max="1" width="27" style="1" customWidth="1"/>
    <col min="2" max="6" width="17.26953125" style="1" customWidth="1"/>
    <col min="7" max="16384" width="9.7265625" style="469"/>
  </cols>
  <sheetData>
    <row r="1" spans="1:6" s="1" customFormat="1" ht="16.5" customHeight="1">
      <c r="A1" s="389" t="str">
        <f>Status!C1</f>
        <v>UNEP/OzL.Pro/ExCom/94/3</v>
      </c>
      <c r="B1" s="355"/>
      <c r="F1" s="380"/>
    </row>
    <row r="2" spans="1:6" s="1" customFormat="1" ht="16.5" customHeight="1">
      <c r="A2" s="389" t="s">
        <v>247</v>
      </c>
      <c r="B2" s="22"/>
      <c r="F2" s="380"/>
    </row>
    <row r="3" spans="1:6" s="1" customFormat="1" ht="16.5" customHeight="1">
      <c r="B3" s="22"/>
      <c r="F3" s="380"/>
    </row>
    <row r="4" spans="1:6" s="1" customFormat="1" ht="20.25" customHeight="1">
      <c r="A4" s="381" t="s">
        <v>2</v>
      </c>
      <c r="B4" s="381"/>
      <c r="C4" s="381"/>
      <c r="D4" s="381"/>
      <c r="E4" s="381"/>
      <c r="F4" s="381"/>
    </row>
    <row r="5" spans="1:6" s="1" customFormat="1" ht="20.25" customHeight="1">
      <c r="A5" s="382" t="s">
        <v>232</v>
      </c>
      <c r="B5" s="381"/>
      <c r="C5" s="381"/>
      <c r="D5" s="381"/>
      <c r="E5" s="381"/>
      <c r="F5" s="381"/>
    </row>
    <row r="6" spans="1:6" s="1" customFormat="1" ht="30" customHeight="1" thickBot="1">
      <c r="A6" s="383" t="str">
        <f>Status!A6</f>
        <v>As at 24/05/2024</v>
      </c>
      <c r="B6" s="381"/>
      <c r="C6" s="381"/>
      <c r="D6" s="381"/>
      <c r="E6" s="381"/>
      <c r="F6" s="381"/>
    </row>
    <row r="7" spans="1:6" s="1" customFormat="1" ht="35.25" customHeight="1" thickBot="1">
      <c r="A7" s="358" t="s">
        <v>60</v>
      </c>
      <c r="B7" s="359" t="s">
        <v>61</v>
      </c>
      <c r="C7" s="359" t="s">
        <v>62</v>
      </c>
      <c r="D7" s="359" t="s">
        <v>63</v>
      </c>
      <c r="E7" s="359" t="s">
        <v>64</v>
      </c>
      <c r="F7" s="384" t="s">
        <v>65</v>
      </c>
    </row>
    <row r="8" spans="1:6" ht="18" customHeight="1">
      <c r="A8" s="438" t="s">
        <v>130</v>
      </c>
      <c r="B8" s="467">
        <v>2633990</v>
      </c>
      <c r="C8" s="467">
        <v>2567190</v>
      </c>
      <c r="D8" s="467">
        <v>66800</v>
      </c>
      <c r="E8" s="467">
        <v>0</v>
      </c>
      <c r="F8" s="468">
        <f t="shared" ref="F8:F58" si="0">B8-C8-D8-E8</f>
        <v>0</v>
      </c>
    </row>
    <row r="9" spans="1:6" ht="18" customHeight="1">
      <c r="A9" s="420" t="s">
        <v>223</v>
      </c>
      <c r="B9" s="441">
        <v>1308273</v>
      </c>
      <c r="C9" s="441">
        <v>1308273</v>
      </c>
      <c r="D9" s="441">
        <v>0</v>
      </c>
      <c r="E9" s="441">
        <v>0</v>
      </c>
      <c r="F9" s="470">
        <f t="shared" si="0"/>
        <v>0</v>
      </c>
    </row>
    <row r="10" spans="1:6" ht="18" customHeight="1">
      <c r="A10" s="423" t="s">
        <v>70</v>
      </c>
      <c r="B10" s="441">
        <v>0</v>
      </c>
      <c r="C10" s="441">
        <v>0</v>
      </c>
      <c r="D10" s="441">
        <v>0</v>
      </c>
      <c r="E10" s="441">
        <v>0</v>
      </c>
      <c r="F10" s="470">
        <f t="shared" si="0"/>
        <v>0</v>
      </c>
    </row>
    <row r="11" spans="1:6" ht="18" customHeight="1">
      <c r="A11" s="420" t="s">
        <v>71</v>
      </c>
      <c r="B11" s="441">
        <v>0</v>
      </c>
      <c r="C11" s="441">
        <v>0</v>
      </c>
      <c r="D11" s="441">
        <v>0</v>
      </c>
      <c r="E11" s="441">
        <v>0</v>
      </c>
      <c r="F11" s="470">
        <f t="shared" si="0"/>
        <v>0</v>
      </c>
    </row>
    <row r="12" spans="1:6" ht="18" customHeight="1">
      <c r="A12" s="420" t="s">
        <v>72</v>
      </c>
      <c r="B12" s="441">
        <v>1849026</v>
      </c>
      <c r="C12" s="441">
        <v>1849026</v>
      </c>
      <c r="D12" s="441">
        <v>0</v>
      </c>
      <c r="E12" s="441">
        <v>0</v>
      </c>
      <c r="F12" s="470">
        <f t="shared" si="0"/>
        <v>0</v>
      </c>
    </row>
    <row r="13" spans="1:6" ht="18" customHeight="1">
      <c r="A13" s="420" t="s">
        <v>215</v>
      </c>
      <c r="B13" s="441">
        <v>0</v>
      </c>
      <c r="C13" s="441">
        <v>0</v>
      </c>
      <c r="D13" s="441">
        <v>0</v>
      </c>
      <c r="E13" s="441">
        <v>0</v>
      </c>
      <c r="F13" s="470">
        <f t="shared" si="0"/>
        <v>0</v>
      </c>
    </row>
    <row r="14" spans="1:6" ht="18" customHeight="1">
      <c r="A14" s="420" t="s">
        <v>73</v>
      </c>
      <c r="B14" s="441">
        <v>226767</v>
      </c>
      <c r="C14" s="441">
        <v>226767</v>
      </c>
      <c r="D14" s="441">
        <v>0</v>
      </c>
      <c r="E14" s="441">
        <v>0</v>
      </c>
      <c r="F14" s="470">
        <f t="shared" si="0"/>
        <v>0</v>
      </c>
    </row>
    <row r="15" spans="1:6" ht="18" customHeight="1">
      <c r="A15" s="420" t="s">
        <v>131</v>
      </c>
      <c r="B15" s="441">
        <v>5424973</v>
      </c>
      <c r="C15" s="441">
        <v>4888703</v>
      </c>
      <c r="D15" s="441">
        <v>536270</v>
      </c>
      <c r="E15" s="441">
        <v>0</v>
      </c>
      <c r="F15" s="470">
        <f t="shared" si="0"/>
        <v>0</v>
      </c>
    </row>
    <row r="16" spans="1:6" ht="18" customHeight="1">
      <c r="A16" s="420" t="s">
        <v>76</v>
      </c>
      <c r="B16" s="441">
        <v>34887</v>
      </c>
      <c r="C16" s="441">
        <v>34887</v>
      </c>
      <c r="D16" s="441">
        <v>0</v>
      </c>
      <c r="E16" s="441">
        <v>0</v>
      </c>
      <c r="F16" s="470">
        <f t="shared" si="0"/>
        <v>0</v>
      </c>
    </row>
    <row r="17" spans="1:6" ht="18" customHeight="1">
      <c r="A17" s="420" t="s">
        <v>77</v>
      </c>
      <c r="B17" s="441">
        <v>732633</v>
      </c>
      <c r="C17" s="441">
        <v>732633</v>
      </c>
      <c r="D17" s="441">
        <v>0</v>
      </c>
      <c r="E17" s="441">
        <v>0</v>
      </c>
      <c r="F17" s="470">
        <f t="shared" si="0"/>
        <v>0</v>
      </c>
    </row>
    <row r="18" spans="1:6" ht="18" customHeight="1">
      <c r="A18" s="420" t="s">
        <v>78</v>
      </c>
      <c r="B18" s="441">
        <v>1133837</v>
      </c>
      <c r="C18" s="441">
        <v>1133837</v>
      </c>
      <c r="D18" s="441">
        <v>0</v>
      </c>
      <c r="E18" s="441">
        <v>0</v>
      </c>
      <c r="F18" s="470">
        <f t="shared" si="0"/>
        <v>0</v>
      </c>
    </row>
    <row r="19" spans="1:6" ht="18" customHeight="1">
      <c r="A19" s="420" t="s">
        <v>79</v>
      </c>
      <c r="B19" s="441">
        <v>0</v>
      </c>
      <c r="C19" s="441">
        <v>0</v>
      </c>
      <c r="D19" s="441">
        <v>0</v>
      </c>
      <c r="E19" s="441">
        <v>0</v>
      </c>
      <c r="F19" s="470">
        <f t="shared" si="0"/>
        <v>0</v>
      </c>
    </row>
    <row r="20" spans="1:6" ht="18" customHeight="1">
      <c r="A20" s="420" t="s">
        <v>80</v>
      </c>
      <c r="B20" s="441">
        <v>994288</v>
      </c>
      <c r="C20" s="441">
        <v>994288</v>
      </c>
      <c r="D20" s="441">
        <v>0</v>
      </c>
      <c r="E20" s="441">
        <v>0</v>
      </c>
      <c r="F20" s="470">
        <f t="shared" si="0"/>
        <v>0</v>
      </c>
    </row>
    <row r="21" spans="1:6" ht="18" customHeight="1">
      <c r="A21" s="420" t="s">
        <v>81</v>
      </c>
      <c r="B21" s="441">
        <v>10466186</v>
      </c>
      <c r="C21" s="441">
        <f>10222755+22664</f>
        <v>10245419</v>
      </c>
      <c r="D21" s="441">
        <f>243431-22664</f>
        <v>220767</v>
      </c>
      <c r="E21" s="441">
        <v>0</v>
      </c>
      <c r="F21" s="470">
        <f t="shared" si="0"/>
        <v>0</v>
      </c>
    </row>
    <row r="22" spans="1:6" ht="18" customHeight="1">
      <c r="A22" s="420" t="s">
        <v>216</v>
      </c>
      <c r="B22" s="441">
        <v>0</v>
      </c>
      <c r="C22" s="441">
        <v>0</v>
      </c>
      <c r="D22" s="441">
        <v>0</v>
      </c>
      <c r="E22" s="441">
        <v>0</v>
      </c>
      <c r="F22" s="470">
        <f t="shared" si="0"/>
        <v>0</v>
      </c>
    </row>
    <row r="23" spans="1:6" ht="18" customHeight="1">
      <c r="A23" s="420" t="s">
        <v>82</v>
      </c>
      <c r="B23" s="441">
        <v>15577174</v>
      </c>
      <c r="C23" s="441">
        <v>14240256</v>
      </c>
      <c r="D23" s="441">
        <v>1336918</v>
      </c>
      <c r="E23" s="441">
        <v>0</v>
      </c>
      <c r="F23" s="470">
        <f t="shared" si="0"/>
        <v>0</v>
      </c>
    </row>
    <row r="24" spans="1:6" ht="18" customHeight="1">
      <c r="A24" s="420" t="s">
        <v>83</v>
      </c>
      <c r="B24" s="441">
        <v>610528</v>
      </c>
      <c r="C24" s="441">
        <v>610528</v>
      </c>
      <c r="D24" s="441">
        <v>0</v>
      </c>
      <c r="E24" s="441">
        <v>0</v>
      </c>
      <c r="F24" s="470">
        <f t="shared" si="0"/>
        <v>0</v>
      </c>
    </row>
    <row r="25" spans="1:6" ht="18" customHeight="1">
      <c r="A25" s="420" t="s">
        <v>85</v>
      </c>
      <c r="B25" s="441">
        <v>313986</v>
      </c>
      <c r="C25" s="441">
        <v>313986</v>
      </c>
      <c r="D25" s="441">
        <v>0</v>
      </c>
      <c r="E25" s="441">
        <v>0</v>
      </c>
      <c r="F25" s="470">
        <f t="shared" si="0"/>
        <v>0</v>
      </c>
    </row>
    <row r="26" spans="1:6" ht="18" customHeight="1">
      <c r="A26" s="420" t="s">
        <v>86</v>
      </c>
      <c r="B26" s="441">
        <v>52331</v>
      </c>
      <c r="C26" s="441">
        <v>52331</v>
      </c>
      <c r="D26" s="441">
        <v>0</v>
      </c>
      <c r="E26" s="441">
        <v>0</v>
      </c>
      <c r="F26" s="470">
        <f t="shared" si="0"/>
        <v>0</v>
      </c>
    </row>
    <row r="27" spans="1:6" ht="18" customHeight="1">
      <c r="A27" s="420" t="s">
        <v>87</v>
      </c>
      <c r="B27" s="441">
        <v>313986</v>
      </c>
      <c r="C27" s="441">
        <v>313986</v>
      </c>
      <c r="D27" s="441">
        <v>0</v>
      </c>
      <c r="E27" s="441">
        <v>0</v>
      </c>
      <c r="F27" s="470">
        <f t="shared" si="0"/>
        <v>0</v>
      </c>
    </row>
    <row r="28" spans="1:6" ht="18" customHeight="1">
      <c r="A28" s="420" t="s">
        <v>88</v>
      </c>
      <c r="B28" s="441">
        <v>401204</v>
      </c>
      <c r="C28" s="441">
        <v>401204</v>
      </c>
      <c r="D28" s="441">
        <v>0</v>
      </c>
      <c r="E28" s="441">
        <v>0</v>
      </c>
      <c r="F28" s="470">
        <f t="shared" si="0"/>
        <v>0</v>
      </c>
    </row>
    <row r="29" spans="1:6" ht="18" customHeight="1">
      <c r="A29" s="420" t="s">
        <v>89</v>
      </c>
      <c r="B29" s="441">
        <v>7483323</v>
      </c>
      <c r="C29" s="441">
        <v>7483323</v>
      </c>
      <c r="D29" s="441">
        <v>0</v>
      </c>
      <c r="E29" s="441">
        <v>0</v>
      </c>
      <c r="F29" s="470">
        <f t="shared" si="0"/>
        <v>0</v>
      </c>
    </row>
    <row r="30" spans="1:6" ht="18" customHeight="1">
      <c r="A30" s="420" t="s">
        <v>90</v>
      </c>
      <c r="B30" s="441">
        <v>21717336</v>
      </c>
      <c r="C30" s="441">
        <v>21717336</v>
      </c>
      <c r="D30" s="441">
        <v>0</v>
      </c>
      <c r="E30" s="441">
        <v>0</v>
      </c>
      <c r="F30" s="470">
        <f t="shared" si="0"/>
        <v>0</v>
      </c>
    </row>
    <row r="31" spans="1:6" ht="18" customHeight="1">
      <c r="A31" s="420" t="s">
        <v>92</v>
      </c>
      <c r="B31" s="441">
        <v>0</v>
      </c>
      <c r="C31" s="441">
        <v>0</v>
      </c>
      <c r="D31" s="441">
        <v>0</v>
      </c>
      <c r="E31" s="441">
        <v>0</v>
      </c>
      <c r="F31" s="470">
        <f t="shared" si="0"/>
        <v>0</v>
      </c>
    </row>
    <row r="32" spans="1:6" ht="18" customHeight="1">
      <c r="A32" s="420" t="s">
        <v>93</v>
      </c>
      <c r="B32" s="441">
        <v>0</v>
      </c>
      <c r="C32" s="441">
        <v>0</v>
      </c>
      <c r="D32" s="441">
        <v>0</v>
      </c>
      <c r="E32" s="441">
        <v>0</v>
      </c>
      <c r="F32" s="470">
        <f t="shared" si="0"/>
        <v>0</v>
      </c>
    </row>
    <row r="33" spans="1:6" ht="18" customHeight="1">
      <c r="A33" s="420" t="s">
        <v>94</v>
      </c>
      <c r="B33" s="441">
        <v>17444</v>
      </c>
      <c r="C33" s="441">
        <v>17444</v>
      </c>
      <c r="D33" s="441">
        <v>0</v>
      </c>
      <c r="E33" s="441">
        <v>0</v>
      </c>
      <c r="F33" s="470">
        <f t="shared" si="0"/>
        <v>0</v>
      </c>
    </row>
    <row r="34" spans="1:6" ht="18" customHeight="1">
      <c r="A34" s="420" t="s">
        <v>95</v>
      </c>
      <c r="B34" s="441">
        <v>0</v>
      </c>
      <c r="C34" s="441">
        <v>0</v>
      </c>
      <c r="D34" s="441">
        <v>0</v>
      </c>
      <c r="E34" s="441">
        <v>0</v>
      </c>
      <c r="F34" s="470">
        <f t="shared" si="0"/>
        <v>0</v>
      </c>
    </row>
    <row r="35" spans="1:6" ht="18" customHeight="1">
      <c r="A35" s="420" t="s">
        <v>96</v>
      </c>
      <c r="B35" s="441">
        <v>104662</v>
      </c>
      <c r="C35" s="441">
        <v>104662</v>
      </c>
      <c r="D35" s="441">
        <v>0</v>
      </c>
      <c r="E35" s="441">
        <v>0</v>
      </c>
      <c r="F35" s="470">
        <f t="shared" si="0"/>
        <v>0</v>
      </c>
    </row>
    <row r="36" spans="1:6" ht="18" customHeight="1">
      <c r="A36" s="420" t="s">
        <v>97</v>
      </c>
      <c r="B36" s="441">
        <v>0</v>
      </c>
      <c r="C36" s="441">
        <v>0</v>
      </c>
      <c r="D36" s="441">
        <v>0</v>
      </c>
      <c r="E36" s="441">
        <v>0</v>
      </c>
      <c r="F36" s="470">
        <f t="shared" si="0"/>
        <v>0</v>
      </c>
    </row>
    <row r="37" spans="1:6" ht="18" customHeight="1">
      <c r="A37" s="420" t="s">
        <v>98</v>
      </c>
      <c r="B37" s="441">
        <v>17444</v>
      </c>
      <c r="C37" s="441">
        <v>17444</v>
      </c>
      <c r="D37" s="441">
        <v>0</v>
      </c>
      <c r="E37" s="441">
        <v>0</v>
      </c>
      <c r="F37" s="470">
        <f t="shared" si="0"/>
        <v>0</v>
      </c>
    </row>
    <row r="38" spans="1:6" ht="18" customHeight="1">
      <c r="A38" s="420" t="s">
        <v>99</v>
      </c>
      <c r="B38" s="441">
        <v>2616547</v>
      </c>
      <c r="C38" s="441">
        <v>2616547</v>
      </c>
      <c r="D38" s="441">
        <v>0</v>
      </c>
      <c r="E38" s="441">
        <v>0</v>
      </c>
      <c r="F38" s="470">
        <f t="shared" si="0"/>
        <v>0</v>
      </c>
    </row>
    <row r="39" spans="1:6" ht="18" customHeight="1">
      <c r="A39" s="420" t="s">
        <v>100</v>
      </c>
      <c r="B39" s="441">
        <v>418647</v>
      </c>
      <c r="C39" s="441">
        <v>418647</v>
      </c>
      <c r="D39" s="441">
        <v>0</v>
      </c>
      <c r="E39" s="441">
        <v>0</v>
      </c>
      <c r="F39" s="470">
        <f t="shared" si="0"/>
        <v>0</v>
      </c>
    </row>
    <row r="40" spans="1:6" ht="18" customHeight="1">
      <c r="A40" s="420" t="s">
        <v>101</v>
      </c>
      <c r="B40" s="441">
        <v>959400</v>
      </c>
      <c r="C40" s="441">
        <v>959400</v>
      </c>
      <c r="D40" s="441">
        <v>0</v>
      </c>
      <c r="E40" s="441">
        <v>0</v>
      </c>
      <c r="F40" s="470">
        <f t="shared" si="0"/>
        <v>0</v>
      </c>
    </row>
    <row r="41" spans="1:6" ht="18" customHeight="1">
      <c r="A41" s="420" t="s">
        <v>102</v>
      </c>
      <c r="B41" s="441">
        <v>16915</v>
      </c>
      <c r="C41" s="441">
        <v>16915</v>
      </c>
      <c r="D41" s="441">
        <v>0</v>
      </c>
      <c r="E41" s="441">
        <v>0</v>
      </c>
      <c r="F41" s="470">
        <f t="shared" si="0"/>
        <v>0</v>
      </c>
    </row>
    <row r="42" spans="1:6" ht="18" customHeight="1">
      <c r="A42" s="420" t="s">
        <v>103</v>
      </c>
      <c r="B42" s="441">
        <v>0</v>
      </c>
      <c r="C42" s="441">
        <v>0</v>
      </c>
      <c r="D42" s="441">
        <v>0</v>
      </c>
      <c r="E42" s="441">
        <v>0</v>
      </c>
      <c r="F42" s="470">
        <f t="shared" si="0"/>
        <v>0</v>
      </c>
    </row>
    <row r="43" spans="1:6" ht="18" customHeight="1">
      <c r="A43" s="420" t="s">
        <v>104</v>
      </c>
      <c r="B43" s="441">
        <v>348873</v>
      </c>
      <c r="C43" s="441">
        <v>348873</v>
      </c>
      <c r="D43" s="441">
        <v>0</v>
      </c>
      <c r="E43" s="441">
        <v>0</v>
      </c>
      <c r="F43" s="470">
        <f t="shared" si="0"/>
        <v>0</v>
      </c>
    </row>
    <row r="44" spans="1:6" ht="18" customHeight="1">
      <c r="A44" s="420" t="s">
        <v>106</v>
      </c>
      <c r="B44" s="441">
        <v>11704685</v>
      </c>
      <c r="C44" s="441">
        <v>0</v>
      </c>
      <c r="D44" s="441">
        <v>0</v>
      </c>
      <c r="E44" s="441">
        <v>0</v>
      </c>
      <c r="F44" s="470">
        <f t="shared" si="0"/>
        <v>11704685</v>
      </c>
    </row>
    <row r="45" spans="1:6" ht="18" customHeight="1">
      <c r="A45" s="420" t="s">
        <v>108</v>
      </c>
      <c r="B45" s="441">
        <v>209324</v>
      </c>
      <c r="C45" s="441">
        <v>169324</v>
      </c>
      <c r="D45" s="441">
        <v>40000</v>
      </c>
      <c r="E45" s="441">
        <v>0</v>
      </c>
      <c r="F45" s="470">
        <f t="shared" si="0"/>
        <v>0</v>
      </c>
    </row>
    <row r="46" spans="1:6" ht="18" customHeight="1">
      <c r="A46" s="438" t="s">
        <v>217</v>
      </c>
      <c r="B46" s="441">
        <v>226767</v>
      </c>
      <c r="C46" s="441">
        <v>226767</v>
      </c>
      <c r="D46" s="441">
        <v>0</v>
      </c>
      <c r="E46" s="441">
        <v>0</v>
      </c>
      <c r="F46" s="470">
        <f t="shared" si="0"/>
        <v>0</v>
      </c>
    </row>
    <row r="47" spans="1:6" ht="18" customHeight="1">
      <c r="A47" s="420" t="s">
        <v>110</v>
      </c>
      <c r="B47" s="441">
        <v>0</v>
      </c>
      <c r="C47" s="441">
        <v>0</v>
      </c>
      <c r="D47" s="441">
        <v>0</v>
      </c>
      <c r="E47" s="441">
        <v>0</v>
      </c>
      <c r="F47" s="470">
        <f t="shared" si="0"/>
        <v>0</v>
      </c>
    </row>
    <row r="48" spans="1:6" ht="18" customHeight="1">
      <c r="A48" s="420" t="s">
        <v>111</v>
      </c>
      <c r="B48" s="441">
        <v>715189</v>
      </c>
      <c r="C48" s="441">
        <v>685189</v>
      </c>
      <c r="D48" s="441">
        <v>30000</v>
      </c>
      <c r="E48" s="441">
        <v>0</v>
      </c>
      <c r="F48" s="470">
        <f t="shared" si="0"/>
        <v>0</v>
      </c>
    </row>
    <row r="49" spans="1:6" ht="18" customHeight="1">
      <c r="A49" s="420" t="s">
        <v>112</v>
      </c>
      <c r="B49" s="441">
        <v>3453841</v>
      </c>
      <c r="C49" s="441">
        <v>3453841</v>
      </c>
      <c r="D49" s="441">
        <v>0</v>
      </c>
      <c r="E49" s="441">
        <v>0</v>
      </c>
      <c r="F49" s="470">
        <f t="shared" si="0"/>
        <v>0</v>
      </c>
    </row>
    <row r="50" spans="1:6" ht="18" customHeight="1">
      <c r="A50" s="420" t="s">
        <v>113</v>
      </c>
      <c r="B50" s="441">
        <v>1936244</v>
      </c>
      <c r="C50" s="441">
        <v>1936244</v>
      </c>
      <c r="D50" s="441">
        <v>0</v>
      </c>
      <c r="E50" s="441">
        <v>0</v>
      </c>
      <c r="F50" s="470">
        <f t="shared" si="0"/>
        <v>0</v>
      </c>
    </row>
    <row r="51" spans="1:6" ht="18" customHeight="1">
      <c r="A51" s="420" t="s">
        <v>114</v>
      </c>
      <c r="B51" s="441">
        <v>1936244</v>
      </c>
      <c r="C51" s="441">
        <v>1936244</v>
      </c>
      <c r="D51" s="441">
        <v>0</v>
      </c>
      <c r="E51" s="441">
        <v>0</v>
      </c>
      <c r="F51" s="470">
        <f t="shared" si="0"/>
        <v>0</v>
      </c>
    </row>
    <row r="52" spans="1:6" ht="18" customHeight="1">
      <c r="A52" s="420" t="s">
        <v>115</v>
      </c>
      <c r="B52" s="441">
        <v>0</v>
      </c>
      <c r="C52" s="441">
        <v>0</v>
      </c>
      <c r="D52" s="441">
        <v>0</v>
      </c>
      <c r="E52" s="441">
        <v>0</v>
      </c>
      <c r="F52" s="470">
        <f t="shared" si="0"/>
        <v>0</v>
      </c>
    </row>
    <row r="53" spans="1:6" ht="18" customHeight="1">
      <c r="A53" s="420" t="s">
        <v>187</v>
      </c>
      <c r="B53" s="441">
        <v>0</v>
      </c>
      <c r="C53" s="441">
        <v>0</v>
      </c>
      <c r="D53" s="441">
        <v>0</v>
      </c>
      <c r="E53" s="441">
        <v>0</v>
      </c>
      <c r="F53" s="470">
        <f t="shared" si="0"/>
        <v>0</v>
      </c>
    </row>
    <row r="54" spans="1:6" ht="18" customHeight="1">
      <c r="A54" s="420" t="s">
        <v>117</v>
      </c>
      <c r="B54" s="441">
        <v>0</v>
      </c>
      <c r="C54" s="441">
        <v>0</v>
      </c>
      <c r="D54" s="441">
        <v>0</v>
      </c>
      <c r="E54" s="441">
        <v>0</v>
      </c>
      <c r="F54" s="470">
        <f t="shared" si="0"/>
        <v>0</v>
      </c>
    </row>
    <row r="55" spans="1:6" ht="18" customHeight="1">
      <c r="A55" s="420" t="s">
        <v>118</v>
      </c>
      <c r="B55" s="441">
        <v>0</v>
      </c>
      <c r="C55" s="441">
        <v>0</v>
      </c>
      <c r="D55" s="441">
        <v>0</v>
      </c>
      <c r="E55" s="441">
        <v>0</v>
      </c>
      <c r="F55" s="470">
        <f t="shared" si="0"/>
        <v>0</v>
      </c>
    </row>
    <row r="56" spans="1:6" ht="18" customHeight="1">
      <c r="A56" s="420" t="s">
        <v>119</v>
      </c>
      <c r="B56" s="441">
        <v>8756709</v>
      </c>
      <c r="C56" s="441">
        <v>8756709</v>
      </c>
      <c r="D56" s="441">
        <v>0</v>
      </c>
      <c r="E56" s="441">
        <v>0</v>
      </c>
      <c r="F56" s="470">
        <f t="shared" si="0"/>
        <v>0</v>
      </c>
    </row>
    <row r="57" spans="1:6" ht="18" customHeight="1">
      <c r="A57" s="420" t="s">
        <v>120</v>
      </c>
      <c r="B57" s="441">
        <v>37916667</v>
      </c>
      <c r="C57" s="441">
        <v>35339184</v>
      </c>
      <c r="D57" s="441">
        <v>2577483</v>
      </c>
      <c r="E57" s="441">
        <v>0</v>
      </c>
      <c r="F57" s="470">
        <f t="shared" si="0"/>
        <v>0</v>
      </c>
    </row>
    <row r="58" spans="1:6" ht="18" customHeight="1" thickBot="1">
      <c r="A58" s="426" t="s">
        <v>121</v>
      </c>
      <c r="B58" s="441">
        <v>0</v>
      </c>
      <c r="C58" s="441">
        <v>0</v>
      </c>
      <c r="D58" s="441">
        <v>0</v>
      </c>
      <c r="E58" s="441">
        <v>0</v>
      </c>
      <c r="F58" s="470">
        <f t="shared" si="0"/>
        <v>0</v>
      </c>
    </row>
    <row r="59" spans="1:6" ht="21" customHeight="1" thickBot="1">
      <c r="A59" s="471" t="s">
        <v>124</v>
      </c>
      <c r="B59" s="472">
        <f>SUM(B8:B58)</f>
        <v>142630330</v>
      </c>
      <c r="C59" s="472">
        <f>SUM(C8:C58)</f>
        <v>126117407</v>
      </c>
      <c r="D59" s="472">
        <f>SUM(D8:D58)</f>
        <v>4808238</v>
      </c>
      <c r="E59" s="472">
        <f>SUM(E8:E58)</f>
        <v>0</v>
      </c>
      <c r="F59" s="473">
        <f>SUM(F8:F58)</f>
        <v>11704685</v>
      </c>
    </row>
    <row r="60" spans="1:6" ht="15.75" customHeight="1">
      <c r="A60" s="476"/>
      <c r="B60" s="476"/>
      <c r="C60" s="476"/>
      <c r="D60" s="476"/>
      <c r="E60" s="476"/>
      <c r="F60" s="476"/>
    </row>
    <row r="61" spans="1:6" ht="15.75" customHeight="1">
      <c r="A61" s="477"/>
      <c r="F61" s="7"/>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DA67F-1E1B-4E2C-A66E-89275E42CD54}">
  <dimension ref="A1:H66"/>
  <sheetViews>
    <sheetView topLeftCell="A14" workbookViewId="0">
      <selection activeCell="B65" sqref="B65"/>
    </sheetView>
  </sheetViews>
  <sheetFormatPr defaultColWidth="9.7265625" defaultRowHeight="15.5"/>
  <cols>
    <col min="1" max="1" width="27" style="1" customWidth="1"/>
    <col min="2" max="3" width="17.26953125" style="1" customWidth="1"/>
    <col min="4" max="4" width="13.7265625" style="1" customWidth="1"/>
    <col min="5" max="6" width="17.26953125" style="1" customWidth="1"/>
    <col min="7" max="7" width="3" style="1" customWidth="1"/>
    <col min="8" max="16384" width="9.7265625" style="1"/>
  </cols>
  <sheetData>
    <row r="1" spans="1:8" ht="16.5" customHeight="1">
      <c r="A1" s="1" t="str">
        <f>Status!C1</f>
        <v>UNEP/OzL.Pro/ExCom/94/3</v>
      </c>
      <c r="B1" s="355"/>
    </row>
    <row r="2" spans="1:8" ht="16.5" customHeight="1">
      <c r="A2" s="1" t="s">
        <v>248</v>
      </c>
      <c r="B2" s="22"/>
    </row>
    <row r="3" spans="1:8" ht="16.5" customHeight="1">
      <c r="B3" s="22"/>
      <c r="F3" s="380"/>
    </row>
    <row r="4" spans="1:8" ht="20.25" customHeight="1">
      <c r="A4" s="381" t="s">
        <v>2</v>
      </c>
      <c r="B4" s="381"/>
      <c r="C4" s="381"/>
      <c r="D4" s="381"/>
      <c r="E4" s="381"/>
      <c r="F4" s="381"/>
    </row>
    <row r="5" spans="1:8" ht="20.25" customHeight="1">
      <c r="A5" s="382" t="s">
        <v>234</v>
      </c>
      <c r="B5" s="381"/>
      <c r="C5" s="381"/>
      <c r="D5" s="381"/>
      <c r="E5" s="381"/>
      <c r="F5" s="381"/>
    </row>
    <row r="6" spans="1:8" ht="30" customHeight="1" thickBot="1">
      <c r="A6" s="383" t="str">
        <f>Status!A6</f>
        <v>As at 24/05/2024</v>
      </c>
      <c r="B6" s="381"/>
      <c r="C6" s="381"/>
      <c r="D6" s="381"/>
      <c r="E6" s="381"/>
      <c r="F6" s="381"/>
    </row>
    <row r="7" spans="1:8" ht="30.5" thickBot="1">
      <c r="A7" s="358" t="s">
        <v>60</v>
      </c>
      <c r="B7" s="359" t="s">
        <v>61</v>
      </c>
      <c r="C7" s="359" t="s">
        <v>62</v>
      </c>
      <c r="D7" s="359" t="s">
        <v>63</v>
      </c>
      <c r="E7" s="359" t="s">
        <v>64</v>
      </c>
      <c r="F7" s="384" t="s">
        <v>65</v>
      </c>
      <c r="G7" s="361"/>
    </row>
    <row r="8" spans="1:8" ht="18" customHeight="1">
      <c r="A8" s="237" t="s">
        <v>130</v>
      </c>
      <c r="B8" s="367">
        <f>'YR1991'!B8+'YR1992'!B8+'YR1993'!B8</f>
        <v>4324254</v>
      </c>
      <c r="C8" s="367">
        <f>'YR1991'!C8+'YR1992'!C8+'YR1993'!C8</f>
        <v>4284963</v>
      </c>
      <c r="D8" s="367">
        <f>'YR1991'!D8+'YR1992'!D8+'YR1993'!D8</f>
        <v>39291</v>
      </c>
      <c r="E8" s="367">
        <f>'YR1991'!E8+'YR1992'!E8+'YR1993'!E8</f>
        <v>0</v>
      </c>
      <c r="F8" s="385">
        <f t="shared" ref="F8:F58" si="0">B8-C8-D8-E8</f>
        <v>0</v>
      </c>
      <c r="G8" s="365"/>
    </row>
    <row r="9" spans="1:8" ht="18" customHeight="1">
      <c r="A9" s="40" t="s">
        <v>69</v>
      </c>
      <c r="B9" s="367">
        <f>'YR1991'!B9+'YR1992'!B9+'YR1993'!B9</f>
        <v>2089187</v>
      </c>
      <c r="C9" s="367">
        <f>'YR1991'!C9+'YR1992'!C9+'YR1993'!C9</f>
        <v>2089187</v>
      </c>
      <c r="D9" s="367">
        <f>'YR1991'!D9+'YR1992'!D9+'YR1993'!D9</f>
        <v>0</v>
      </c>
      <c r="E9" s="367">
        <f>'YR1991'!E9+'YR1992'!E9+'YR1993'!E9</f>
        <v>0</v>
      </c>
      <c r="F9" s="386">
        <f t="shared" si="0"/>
        <v>0</v>
      </c>
      <c r="G9" s="365"/>
    </row>
    <row r="10" spans="1:8" ht="18" customHeight="1">
      <c r="A10" s="245" t="s">
        <v>70</v>
      </c>
      <c r="B10" s="367">
        <f>'YR1991'!B10+'YR1992'!B10+'YR1993'!B10</f>
        <v>0</v>
      </c>
      <c r="C10" s="367">
        <f>'YR1991'!C10+'YR1992'!C10+'YR1993'!C10</f>
        <v>0</v>
      </c>
      <c r="D10" s="367">
        <f>'YR1991'!D10+'YR1992'!D10+'YR1993'!D10</f>
        <v>0</v>
      </c>
      <c r="E10" s="367">
        <f>'YR1991'!E10+'YR1992'!E10+'YR1993'!E10</f>
        <v>0</v>
      </c>
      <c r="F10" s="386">
        <f t="shared" si="0"/>
        <v>0</v>
      </c>
      <c r="G10" s="365"/>
    </row>
    <row r="11" spans="1:8" ht="18" customHeight="1">
      <c r="A11" s="40" t="s">
        <v>71</v>
      </c>
      <c r="B11" s="367">
        <f>'YR1991'!B11+'YR1992'!B11+'YR1993'!B11</f>
        <v>376304</v>
      </c>
      <c r="C11" s="367">
        <f>'YR1991'!C11+'YR1992'!C11+'YR1993'!C11</f>
        <v>100000</v>
      </c>
      <c r="D11" s="367">
        <f>'YR1991'!D11+'YR1992'!D11+'YR1993'!D11</f>
        <v>0</v>
      </c>
      <c r="E11" s="367">
        <f>'YR1991'!E11+'YR1992'!E11+'YR1993'!E11</f>
        <v>0</v>
      </c>
      <c r="F11" s="386">
        <f t="shared" si="0"/>
        <v>276304</v>
      </c>
      <c r="G11" s="365"/>
    </row>
    <row r="12" spans="1:8" ht="18" customHeight="1">
      <c r="A12" s="40" t="s">
        <v>72</v>
      </c>
      <c r="B12" s="367">
        <f>'YR1991'!B12+'YR1992'!B12+'YR1993'!B12</f>
        <v>3135548</v>
      </c>
      <c r="C12" s="367">
        <f>'YR1991'!C12+'YR1992'!C12+'YR1993'!C12</f>
        <v>3135548</v>
      </c>
      <c r="D12" s="367">
        <f>'YR1991'!D12+'YR1992'!D12+'YR1993'!D12</f>
        <v>0</v>
      </c>
      <c r="E12" s="367">
        <f>'YR1991'!E12+'YR1992'!E12+'YR1993'!E12</f>
        <v>0</v>
      </c>
      <c r="F12" s="386">
        <f t="shared" si="0"/>
        <v>0</v>
      </c>
      <c r="G12" s="365"/>
    </row>
    <row r="13" spans="1:8" ht="18" customHeight="1">
      <c r="A13" s="420" t="s">
        <v>215</v>
      </c>
      <c r="B13" s="367">
        <f>'YR1991'!B13+'YR1992'!B13+'YR1993'!B13</f>
        <v>0</v>
      </c>
      <c r="C13" s="367">
        <f>'YR1991'!C13+'YR1992'!C13+'YR1993'!C13</f>
        <v>0</v>
      </c>
      <c r="D13" s="367">
        <f>'YR1991'!D13+'YR1992'!D13+'YR1993'!D13</f>
        <v>0</v>
      </c>
      <c r="E13" s="367">
        <f>'YR1991'!E13+'YR1992'!E13+'YR1993'!E13</f>
        <v>0</v>
      </c>
      <c r="F13" s="386"/>
      <c r="G13" s="365"/>
    </row>
    <row r="14" spans="1:8" ht="18" customHeight="1">
      <c r="A14" s="40" t="s">
        <v>73</v>
      </c>
      <c r="B14" s="367">
        <f>'YR1991'!B14+'YR1992'!B14+'YR1993'!B14</f>
        <v>299989</v>
      </c>
      <c r="C14" s="367">
        <f>'YR1991'!C14+'YR1992'!C14+'YR1993'!C14</f>
        <v>299989</v>
      </c>
      <c r="D14" s="367">
        <f>'YR1991'!D14+'YR1992'!D14+'YR1993'!D14</f>
        <v>0</v>
      </c>
      <c r="E14" s="367">
        <f>'YR1991'!E14+'YR1992'!E14+'YR1993'!E14</f>
        <v>0</v>
      </c>
      <c r="F14" s="386">
        <f t="shared" si="0"/>
        <v>0</v>
      </c>
      <c r="G14" s="365"/>
    </row>
    <row r="15" spans="1:8" ht="18" customHeight="1">
      <c r="A15" s="40" t="s">
        <v>131</v>
      </c>
      <c r="B15" s="367">
        <f>'YR1991'!B15+'YR1992'!B15+'YR1993'!B15</f>
        <v>8694777</v>
      </c>
      <c r="C15" s="367">
        <f>'YR1991'!C15+'YR1992'!C15+'YR1993'!C15-33558</f>
        <v>8045277</v>
      </c>
      <c r="D15" s="367">
        <f>'YR1991'!D15+'YR1992'!D15+'YR1993'!D15</f>
        <v>649500</v>
      </c>
      <c r="E15" s="367">
        <f>'YR1991'!E15+'YR1992'!E15+'YR1993'!E15</f>
        <v>0</v>
      </c>
      <c r="F15" s="386">
        <f t="shared" si="0"/>
        <v>0</v>
      </c>
      <c r="G15" s="365"/>
      <c r="H15" s="478" t="s">
        <v>235</v>
      </c>
    </row>
    <row r="16" spans="1:8" ht="18" customHeight="1">
      <c r="A16" s="40" t="s">
        <v>76</v>
      </c>
      <c r="B16" s="367">
        <f>'YR1991'!B16+'YR1992'!B16+'YR1993'!B16</f>
        <v>26647</v>
      </c>
      <c r="C16" s="367">
        <f>'YR1991'!C16+'YR1992'!C16+'YR1993'!C16</f>
        <v>26647</v>
      </c>
      <c r="D16" s="367">
        <f>'YR1991'!D16+'YR1992'!D16+'YR1993'!D16</f>
        <v>0</v>
      </c>
      <c r="E16" s="367">
        <f>'YR1991'!E16+'YR1992'!E16+'YR1993'!E16</f>
        <v>0</v>
      </c>
      <c r="F16" s="386">
        <f t="shared" si="0"/>
        <v>0</v>
      </c>
      <c r="G16" s="365"/>
    </row>
    <row r="17" spans="1:7" ht="18" customHeight="1">
      <c r="A17" s="40" t="s">
        <v>77</v>
      </c>
      <c r="B17" s="367">
        <f>'YR1991'!B17+'YR1992'!B17+'YR1993'!B17</f>
        <v>931484</v>
      </c>
      <c r="C17" s="367">
        <f>'YR1991'!C17+'YR1992'!C17+'YR1993'!C17</f>
        <v>931484</v>
      </c>
      <c r="D17" s="367">
        <f>'YR1991'!D17+'YR1992'!D17+'YR1993'!D17</f>
        <v>0</v>
      </c>
      <c r="E17" s="367">
        <f>'YR1991'!E17+'YR1992'!E17+'YR1993'!E17</f>
        <v>0</v>
      </c>
      <c r="F17" s="386">
        <f t="shared" si="0"/>
        <v>0</v>
      </c>
      <c r="G17" s="365"/>
    </row>
    <row r="18" spans="1:7" ht="18" customHeight="1">
      <c r="A18" s="40" t="s">
        <v>78</v>
      </c>
      <c r="B18" s="367">
        <f>'YR1991'!B18+'YR1992'!B18+'YR1993'!B18</f>
        <v>1882307</v>
      </c>
      <c r="C18" s="367">
        <f>'YR1991'!C18+'YR1992'!C18+'YR1993'!C18</f>
        <v>1882307</v>
      </c>
      <c r="D18" s="367">
        <f>'YR1991'!D18+'YR1992'!D18+'YR1993'!D18</f>
        <v>0</v>
      </c>
      <c r="E18" s="367">
        <f>'YR1991'!E18+'YR1992'!E18+'YR1993'!E18</f>
        <v>0</v>
      </c>
      <c r="F18" s="386">
        <f t="shared" si="0"/>
        <v>0</v>
      </c>
      <c r="G18" s="365"/>
    </row>
    <row r="19" spans="1:7" ht="18" customHeight="1">
      <c r="A19" s="40" t="s">
        <v>79</v>
      </c>
      <c r="B19" s="367">
        <f>'YR1991'!B19+'YR1992'!B19+'YR1993'!B19</f>
        <v>0</v>
      </c>
      <c r="C19" s="367">
        <f>'YR1991'!C19+'YR1992'!C19+'YR1993'!C19</f>
        <v>0</v>
      </c>
      <c r="D19" s="367">
        <f>'YR1991'!D19+'YR1992'!D19+'YR1993'!D19</f>
        <v>0</v>
      </c>
      <c r="E19" s="367">
        <f>'YR1991'!E19+'YR1992'!E19+'YR1993'!E19</f>
        <v>0</v>
      </c>
      <c r="F19" s="386">
        <f t="shared" si="0"/>
        <v>0</v>
      </c>
      <c r="G19" s="365"/>
    </row>
    <row r="20" spans="1:7" ht="18" customHeight="1">
      <c r="A20" s="40" t="s">
        <v>80</v>
      </c>
      <c r="B20" s="367">
        <f>'YR1991'!B20+'YR1992'!B20+'YR1993'!B20</f>
        <v>1510603</v>
      </c>
      <c r="C20" s="367">
        <f>'YR1991'!C20+'YR1992'!C20+'YR1993'!C20</f>
        <v>1510603</v>
      </c>
      <c r="D20" s="367">
        <f>'YR1991'!D20+'YR1992'!D20+'YR1993'!D20</f>
        <v>0</v>
      </c>
      <c r="E20" s="367">
        <f>'YR1991'!E20+'YR1992'!E20+'YR1993'!E20</f>
        <v>0</v>
      </c>
      <c r="F20" s="386">
        <f t="shared" si="0"/>
        <v>0</v>
      </c>
      <c r="G20" s="365"/>
    </row>
    <row r="21" spans="1:7" ht="18" customHeight="1">
      <c r="A21" s="40" t="s">
        <v>81</v>
      </c>
      <c r="B21" s="367">
        <f>'YR1991'!B21+'YR1992'!B21+'YR1993'!B21</f>
        <v>17199536</v>
      </c>
      <c r="C21" s="367">
        <f>'YR1991'!C21+'YR1992'!C21+'YR1993'!C21</f>
        <v>17199536</v>
      </c>
      <c r="D21" s="367">
        <f>'YR1991'!D21+'YR1992'!D21+'YR1993'!D21</f>
        <v>0</v>
      </c>
      <c r="E21" s="367">
        <f>'YR1991'!E21+'YR1992'!E21+'YR1993'!E21</f>
        <v>0</v>
      </c>
      <c r="F21" s="386">
        <f t="shared" si="0"/>
        <v>0</v>
      </c>
      <c r="G21" s="365"/>
    </row>
    <row r="22" spans="1:7" ht="18" customHeight="1">
      <c r="A22" s="420" t="s">
        <v>216</v>
      </c>
      <c r="B22" s="367">
        <f>'YR1991'!B22+'YR1992'!B22+'YR1993'!B22</f>
        <v>0</v>
      </c>
      <c r="C22" s="367">
        <f>'YR1991'!C22+'YR1992'!C22+'YR1993'!C22</f>
        <v>0</v>
      </c>
      <c r="D22" s="367">
        <f>'YR1991'!D22+'YR1992'!D22+'YR1993'!D22</f>
        <v>0</v>
      </c>
      <c r="E22" s="367">
        <f>'YR1991'!E22+'YR1992'!E22+'YR1993'!E22</f>
        <v>0</v>
      </c>
      <c r="F22" s="386"/>
      <c r="G22" s="365"/>
    </row>
    <row r="23" spans="1:7" ht="18" customHeight="1">
      <c r="A23" s="40" t="s">
        <v>82</v>
      </c>
      <c r="B23" s="367">
        <f>'YR1991'!B23+'YR1992'!B23+'YR1993'!B23</f>
        <v>25683945</v>
      </c>
      <c r="C23" s="367">
        <f>'YR1991'!C23+'YR1992'!C23+'YR1993'!C23</f>
        <v>25665567</v>
      </c>
      <c r="D23" s="367">
        <f>'YR1991'!D23+'YR1992'!D23+'YR1993'!D23</f>
        <v>18378</v>
      </c>
      <c r="E23" s="367">
        <f>'YR1991'!E23+'YR1992'!E23+'YR1993'!E23</f>
        <v>0</v>
      </c>
      <c r="F23" s="386">
        <f t="shared" si="0"/>
        <v>0</v>
      </c>
      <c r="G23" s="365"/>
    </row>
    <row r="24" spans="1:7" ht="18" customHeight="1">
      <c r="A24" s="40" t="s">
        <v>83</v>
      </c>
      <c r="B24" s="367">
        <f>'YR1991'!B24+'YR1992'!B24+'YR1993'!B24</f>
        <v>1055470</v>
      </c>
      <c r="C24" s="367">
        <f>'YR1991'!C24+'YR1992'!C24+'YR1993'!C24</f>
        <v>1055470</v>
      </c>
      <c r="D24" s="367">
        <f>'YR1991'!D24+'YR1992'!D24+'YR1993'!D24</f>
        <v>0</v>
      </c>
      <c r="E24" s="367">
        <f>'YR1991'!E24+'YR1992'!E24+'YR1993'!E24</f>
        <v>0</v>
      </c>
      <c r="F24" s="386">
        <f t="shared" si="0"/>
        <v>0</v>
      </c>
      <c r="G24" s="365"/>
    </row>
    <row r="25" spans="1:7" ht="18" customHeight="1">
      <c r="A25" s="40" t="s">
        <v>85</v>
      </c>
      <c r="B25" s="367">
        <f>'YR1991'!B25+'YR1992'!B25+'YR1993'!B25</f>
        <v>549125</v>
      </c>
      <c r="C25" s="367">
        <f>'YR1991'!C25+'YR1992'!C25+'YR1993'!C25</f>
        <v>549125</v>
      </c>
      <c r="D25" s="367">
        <f>'YR1991'!D25+'YR1992'!D25+'YR1993'!D25</f>
        <v>0</v>
      </c>
      <c r="E25" s="367">
        <f>'YR1991'!E25+'YR1992'!E25+'YR1993'!E25</f>
        <v>0</v>
      </c>
      <c r="F25" s="386">
        <f t="shared" si="0"/>
        <v>0</v>
      </c>
      <c r="G25" s="365"/>
    </row>
    <row r="26" spans="1:7" ht="18" customHeight="1">
      <c r="A26" s="40" t="s">
        <v>86</v>
      </c>
      <c r="B26" s="367">
        <f>'YR1991'!B26+'YR1992'!B26+'YR1993'!B26</f>
        <v>84156</v>
      </c>
      <c r="C26" s="367">
        <f>'YR1991'!C26+'YR1992'!C26+'YR1993'!C26</f>
        <v>84156</v>
      </c>
      <c r="D26" s="367">
        <f>'YR1991'!D26+'YR1992'!D26+'YR1993'!D26</f>
        <v>0</v>
      </c>
      <c r="E26" s="367">
        <f>'YR1991'!E26+'YR1992'!E26+'YR1993'!E26</f>
        <v>0</v>
      </c>
      <c r="F26" s="386">
        <f t="shared" si="0"/>
        <v>0</v>
      </c>
      <c r="G26" s="365"/>
    </row>
    <row r="27" spans="1:7" ht="18" customHeight="1">
      <c r="A27" s="40" t="s">
        <v>87</v>
      </c>
      <c r="B27" s="367">
        <f>'YR1991'!B27+'YR1992'!B27+'YR1993'!B27</f>
        <v>504940</v>
      </c>
      <c r="C27" s="367">
        <f>'YR1991'!C27+'YR1992'!C27+'YR1993'!C27</f>
        <v>504940</v>
      </c>
      <c r="D27" s="367">
        <f>'YR1991'!D27+'YR1992'!D27+'YR1993'!D27</f>
        <v>0</v>
      </c>
      <c r="E27" s="367">
        <f>'YR1991'!E27+'YR1992'!E27+'YR1993'!E27</f>
        <v>0</v>
      </c>
      <c r="F27" s="386">
        <f t="shared" si="0"/>
        <v>0</v>
      </c>
      <c r="G27" s="365"/>
    </row>
    <row r="28" spans="1:7" ht="18" customHeight="1">
      <c r="A28" s="40" t="s">
        <v>88</v>
      </c>
      <c r="B28" s="367">
        <f>'YR1991'!B28+'YR1992'!B28+'YR1993'!B28</f>
        <v>306443</v>
      </c>
      <c r="C28" s="367">
        <f>'YR1991'!C28+'YR1992'!C28+'YR1993'!C28</f>
        <v>306443</v>
      </c>
      <c r="D28" s="367">
        <f>'YR1991'!D28+'YR1992'!D28+'YR1993'!D28</f>
        <v>0</v>
      </c>
      <c r="E28" s="367">
        <f>'YR1991'!E28+'YR1992'!E28+'YR1993'!E28</f>
        <v>0</v>
      </c>
      <c r="F28" s="386">
        <f t="shared" si="0"/>
        <v>0</v>
      </c>
      <c r="G28" s="365"/>
    </row>
    <row r="29" spans="1:7" ht="18" customHeight="1">
      <c r="A29" s="40" t="s">
        <v>89</v>
      </c>
      <c r="B29" s="367">
        <f>'YR1991'!B29+'YR1992'!B29+'YR1993'!B29</f>
        <v>11592538</v>
      </c>
      <c r="C29" s="367">
        <f>'YR1991'!C29+'YR1992'!C29+'YR1993'!C29</f>
        <v>11592538</v>
      </c>
      <c r="D29" s="367">
        <f>'YR1991'!D29+'YR1992'!D29+'YR1993'!D29</f>
        <v>0</v>
      </c>
      <c r="E29" s="367">
        <f>'YR1991'!E29+'YR1992'!E29+'YR1993'!E29</f>
        <v>0</v>
      </c>
      <c r="F29" s="386">
        <f t="shared" si="0"/>
        <v>0</v>
      </c>
      <c r="G29" s="365"/>
    </row>
    <row r="30" spans="1:7" ht="18" customHeight="1">
      <c r="A30" s="40" t="s">
        <v>90</v>
      </c>
      <c r="B30" s="367">
        <f>'YR1991'!B30+'YR1992'!B30+'YR1993'!B30</f>
        <v>33349034</v>
      </c>
      <c r="C30" s="367">
        <f>'YR1991'!C30+'YR1992'!C30+'YR1993'!C30</f>
        <v>33349034</v>
      </c>
      <c r="D30" s="367">
        <f>'YR1991'!D30+'YR1992'!D30+'YR1993'!D30</f>
        <v>0</v>
      </c>
      <c r="E30" s="367">
        <f>'YR1991'!E30+'YR1992'!E30+'YR1993'!E30</f>
        <v>0</v>
      </c>
      <c r="F30" s="386">
        <f t="shared" si="0"/>
        <v>0</v>
      </c>
      <c r="G30" s="365"/>
    </row>
    <row r="31" spans="1:7" ht="18" customHeight="1">
      <c r="A31" s="40" t="s">
        <v>92</v>
      </c>
      <c r="B31" s="367">
        <f>'YR1991'!B31+'YR1992'!B31+'YR1993'!B31</f>
        <v>286549</v>
      </c>
      <c r="C31" s="367">
        <f>'YR1991'!C31+'YR1992'!C31+'YR1993'!C31</f>
        <v>286549</v>
      </c>
      <c r="D31" s="367">
        <f>'YR1991'!D31+'YR1992'!D31+'YR1993'!D31</f>
        <v>0</v>
      </c>
      <c r="E31" s="367">
        <f>'YR1991'!E31+'YR1992'!E31+'YR1993'!E31</f>
        <v>0</v>
      </c>
      <c r="F31" s="386">
        <f t="shared" si="0"/>
        <v>0</v>
      </c>
      <c r="G31" s="365"/>
    </row>
    <row r="32" spans="1:7" ht="18" customHeight="1">
      <c r="A32" s="40" t="s">
        <v>93</v>
      </c>
      <c r="B32" s="367">
        <f>'YR1991'!B32+'YR1992'!B32+'YR1993'!B32</f>
        <v>0</v>
      </c>
      <c r="C32" s="367">
        <f>'YR1991'!C32+'YR1992'!C32+'YR1993'!C32</f>
        <v>0</v>
      </c>
      <c r="D32" s="367">
        <f>'YR1991'!D32+'YR1992'!D32+'YR1993'!D32</f>
        <v>0</v>
      </c>
      <c r="E32" s="367">
        <f>'YR1991'!E32+'YR1992'!E32+'YR1993'!E32</f>
        <v>0</v>
      </c>
      <c r="F32" s="386">
        <f t="shared" si="0"/>
        <v>0</v>
      </c>
      <c r="G32" s="365"/>
    </row>
    <row r="33" spans="1:7" ht="18" customHeight="1">
      <c r="A33" s="40" t="s">
        <v>94</v>
      </c>
      <c r="B33" s="367">
        <f>'YR1991'!B33+'YR1992'!B33+'YR1993'!B33</f>
        <v>28052</v>
      </c>
      <c r="C33" s="367">
        <f>'YR1991'!C33+'YR1992'!C33+'YR1993'!C33</f>
        <v>28052</v>
      </c>
      <c r="D33" s="367">
        <f>'YR1991'!D33+'YR1992'!D33+'YR1993'!D33</f>
        <v>0</v>
      </c>
      <c r="E33" s="367">
        <f>'YR1991'!E33+'YR1992'!E33+'YR1993'!E33</f>
        <v>0</v>
      </c>
      <c r="F33" s="386">
        <f t="shared" si="0"/>
        <v>0</v>
      </c>
      <c r="G33" s="365"/>
    </row>
    <row r="34" spans="1:7" ht="18" customHeight="1">
      <c r="A34" s="40" t="s">
        <v>95</v>
      </c>
      <c r="B34" s="367">
        <f>'YR1991'!B34+'YR1992'!B34+'YR1993'!B34</f>
        <v>0</v>
      </c>
      <c r="C34" s="367">
        <f>'YR1991'!C34+'YR1992'!C34+'YR1993'!C34</f>
        <v>0</v>
      </c>
      <c r="D34" s="367">
        <f>'YR1991'!D34+'YR1992'!D34+'YR1993'!D34</f>
        <v>0</v>
      </c>
      <c r="E34" s="367">
        <f>'YR1991'!E34+'YR1992'!E34+'YR1993'!E34</f>
        <v>0</v>
      </c>
      <c r="F34" s="386">
        <f t="shared" si="0"/>
        <v>0</v>
      </c>
      <c r="G34" s="365"/>
    </row>
    <row r="35" spans="1:7" ht="18" customHeight="1">
      <c r="A35" s="40" t="s">
        <v>96</v>
      </c>
      <c r="B35" s="367">
        <f>'YR1991'!B35+'YR1992'!B35+'YR1993'!B35</f>
        <v>168314</v>
      </c>
      <c r="C35" s="367">
        <f>'YR1991'!C35+'YR1992'!C35+'YR1993'!C35</f>
        <v>168314</v>
      </c>
      <c r="D35" s="367">
        <f>'YR1991'!D35+'YR1992'!D35+'YR1993'!D35</f>
        <v>0</v>
      </c>
      <c r="E35" s="367">
        <f>'YR1991'!E35+'YR1992'!E35+'YR1993'!E35</f>
        <v>0</v>
      </c>
      <c r="F35" s="386">
        <f t="shared" si="0"/>
        <v>0</v>
      </c>
      <c r="G35" s="365"/>
    </row>
    <row r="36" spans="1:7" ht="18" customHeight="1">
      <c r="A36" s="40" t="s">
        <v>97</v>
      </c>
      <c r="B36" s="367">
        <f>'YR1991'!B36+'YR1992'!B36+'YR1993'!B36</f>
        <v>28052</v>
      </c>
      <c r="C36" s="367">
        <f>'YR1991'!C36+'YR1992'!C36+'YR1993'!C36</f>
        <v>28052</v>
      </c>
      <c r="D36" s="367">
        <f>'YR1991'!D36+'YR1992'!D36+'YR1993'!D36</f>
        <v>0</v>
      </c>
      <c r="E36" s="367">
        <f>'YR1991'!E36+'YR1992'!E36+'YR1993'!E36</f>
        <v>0</v>
      </c>
      <c r="F36" s="386">
        <f t="shared" si="0"/>
        <v>0</v>
      </c>
      <c r="G36" s="365"/>
    </row>
    <row r="37" spans="1:7" ht="18" customHeight="1">
      <c r="A37" s="40" t="s">
        <v>98</v>
      </c>
      <c r="B37" s="367">
        <f>'YR1991'!B37+'YR1992'!B37+'YR1993'!B37</f>
        <v>7483</v>
      </c>
      <c r="C37" s="367">
        <f>'YR1991'!C37+'YR1992'!C37+'YR1993'!C37</f>
        <v>7483</v>
      </c>
      <c r="D37" s="367">
        <f>'YR1991'!D37+'YR1992'!D37+'YR1993'!D37</f>
        <v>0</v>
      </c>
      <c r="E37" s="367">
        <f>'YR1991'!E37+'YR1992'!E37+'YR1993'!E37</f>
        <v>0</v>
      </c>
      <c r="F37" s="386">
        <f t="shared" si="0"/>
        <v>0</v>
      </c>
      <c r="G37" s="365"/>
    </row>
    <row r="38" spans="1:7" ht="18" customHeight="1">
      <c r="A38" s="40" t="s">
        <v>99</v>
      </c>
      <c r="B38" s="367">
        <f>'YR1991'!B38+'YR1992'!B38+'YR1993'!B38</f>
        <v>4428759</v>
      </c>
      <c r="C38" s="367">
        <f>'YR1991'!C38+'YR1992'!C38+'YR1993'!C38</f>
        <v>4428759</v>
      </c>
      <c r="D38" s="367">
        <f>'YR1991'!D38+'YR1992'!D38+'YR1993'!D38</f>
        <v>0</v>
      </c>
      <c r="E38" s="367">
        <f>'YR1991'!E38+'YR1992'!E38+'YR1993'!E38</f>
        <v>0</v>
      </c>
      <c r="F38" s="386">
        <f t="shared" si="0"/>
        <v>0</v>
      </c>
      <c r="G38" s="365"/>
    </row>
    <row r="39" spans="1:7" ht="18" customHeight="1">
      <c r="A39" s="40" t="s">
        <v>100</v>
      </c>
      <c r="B39" s="367">
        <f>'YR1991'!B39+'YR1992'!B39+'YR1993'!B39</f>
        <v>673252</v>
      </c>
      <c r="C39" s="367">
        <f>'YR1991'!C39+'YR1992'!C39+'YR1993'!C39</f>
        <v>673252</v>
      </c>
      <c r="D39" s="367">
        <f>'YR1991'!D39+'YR1992'!D39+'YR1993'!D39</f>
        <v>0</v>
      </c>
      <c r="E39" s="367">
        <f>'YR1991'!E39+'YR1992'!E39+'YR1993'!E39</f>
        <v>0</v>
      </c>
      <c r="F39" s="386">
        <f t="shared" si="0"/>
        <v>0</v>
      </c>
      <c r="G39" s="365"/>
    </row>
    <row r="40" spans="1:7" ht="18" customHeight="1">
      <c r="A40" s="40" t="s">
        <v>101</v>
      </c>
      <c r="B40" s="367">
        <f>'YR1991'!B40+'YR1992'!B40+'YR1993'!B40</f>
        <v>1542871</v>
      </c>
      <c r="C40" s="367">
        <f>'YR1991'!C40+'YR1992'!C40+'YR1993'!C40</f>
        <v>1542871</v>
      </c>
      <c r="D40" s="367">
        <f>'YR1991'!D40+'YR1992'!D40+'YR1993'!D40</f>
        <v>0</v>
      </c>
      <c r="E40" s="367">
        <f>'YR1991'!E40+'YR1992'!E40+'YR1993'!E40</f>
        <v>0</v>
      </c>
      <c r="F40" s="386">
        <f t="shared" si="0"/>
        <v>0</v>
      </c>
      <c r="G40" s="365"/>
    </row>
    <row r="41" spans="1:7" ht="18" customHeight="1">
      <c r="A41" s="420" t="s">
        <v>102</v>
      </c>
      <c r="B41" s="367">
        <f>'YR1991'!B41+'YR1992'!B41+'YR1993'!B41</f>
        <v>0</v>
      </c>
      <c r="C41" s="367">
        <f>'YR1991'!C41+'YR1992'!C41+'YR1993'!C41</f>
        <v>0</v>
      </c>
      <c r="D41" s="367">
        <f>'YR1991'!D41+'YR1992'!D41+'YR1993'!D41</f>
        <v>0</v>
      </c>
      <c r="E41" s="367">
        <f>'YR1991'!E41+'YR1992'!E41+'YR1993'!E41</f>
        <v>0</v>
      </c>
      <c r="F41" s="386"/>
      <c r="G41" s="365"/>
    </row>
    <row r="42" spans="1:7" ht="18" customHeight="1">
      <c r="A42" s="40" t="s">
        <v>103</v>
      </c>
      <c r="B42" s="367">
        <f>'YR1991'!B42+'YR1992'!B42+'YR1993'!B42</f>
        <v>473318</v>
      </c>
      <c r="C42" s="367">
        <f>'YR1991'!C42+'YR1992'!C42+'YR1993'!C42</f>
        <v>473318</v>
      </c>
      <c r="D42" s="367">
        <f>'YR1991'!D42+'YR1992'!D42+'YR1993'!D42</f>
        <v>0</v>
      </c>
      <c r="E42" s="367">
        <f>'YR1991'!E42+'YR1992'!E42+'YR1993'!E42</f>
        <v>0</v>
      </c>
      <c r="F42" s="386">
        <f t="shared" si="0"/>
        <v>0</v>
      </c>
      <c r="G42" s="365"/>
    </row>
    <row r="43" spans="1:7" ht="18" customHeight="1">
      <c r="A43" s="40" t="s">
        <v>104</v>
      </c>
      <c r="B43" s="367">
        <f>'YR1991'!B43+'YR1992'!B43+'YR1993'!B43</f>
        <v>531587</v>
      </c>
      <c r="C43" s="367">
        <f>'YR1991'!C43+'YR1992'!C43+'YR1993'!C43</f>
        <v>531587</v>
      </c>
      <c r="D43" s="367">
        <f>'YR1991'!D43+'YR1992'!D43+'YR1993'!D43</f>
        <v>0</v>
      </c>
      <c r="E43" s="367">
        <f>'YR1991'!E43+'YR1992'!E43+'YR1993'!E43</f>
        <v>0</v>
      </c>
      <c r="F43" s="386">
        <f t="shared" si="0"/>
        <v>0</v>
      </c>
      <c r="G43" s="365"/>
    </row>
    <row r="44" spans="1:7" ht="18" customHeight="1">
      <c r="A44" s="40" t="s">
        <v>106</v>
      </c>
      <c r="B44" s="367">
        <f>'YR1991'!B44+'YR1992'!B44+'YR1993'!B44</f>
        <v>23654002</v>
      </c>
      <c r="C44" s="367">
        <f>'YR1991'!C44+'YR1992'!C44+'YR1993'!C44</f>
        <v>0</v>
      </c>
      <c r="D44" s="367">
        <f>'YR1991'!D44+'YR1992'!D44+'YR1993'!D44</f>
        <v>0</v>
      </c>
      <c r="E44" s="367">
        <f>'YR1991'!E44+'YR1992'!E44+'YR1993'!E44</f>
        <v>0</v>
      </c>
      <c r="F44" s="386">
        <f t="shared" si="0"/>
        <v>23654002</v>
      </c>
      <c r="G44" s="365"/>
    </row>
    <row r="45" spans="1:7" ht="18" customHeight="1">
      <c r="A45" s="40" t="s">
        <v>108</v>
      </c>
      <c r="B45" s="367">
        <f>'YR1991'!B45+'YR1992'!B45+'YR1993'!B45</f>
        <v>321897</v>
      </c>
      <c r="C45" s="367">
        <f>'YR1991'!C45+'YR1992'!C45+'YR1993'!C45</f>
        <v>289921</v>
      </c>
      <c r="D45" s="367">
        <f>'YR1991'!D45+'YR1992'!D45+'YR1993'!D45</f>
        <v>31976</v>
      </c>
      <c r="E45" s="367">
        <f>'YR1991'!E45+'YR1992'!E45+'YR1993'!E45</f>
        <v>0</v>
      </c>
      <c r="F45" s="386">
        <f t="shared" si="0"/>
        <v>0</v>
      </c>
      <c r="G45" s="365"/>
    </row>
    <row r="46" spans="1:7" ht="18" customHeight="1">
      <c r="A46" s="30" t="s">
        <v>109</v>
      </c>
      <c r="B46" s="367">
        <f>'YR1991'!B46+'YR1992'!B46+'YR1993'!B46</f>
        <v>359154</v>
      </c>
      <c r="C46" s="367">
        <f>'YR1991'!C46+'YR1992'!C46+'YR1993'!C46</f>
        <v>359154</v>
      </c>
      <c r="D46" s="367">
        <f>'YR1991'!D46+'YR1992'!D46+'YR1993'!D46</f>
        <v>0</v>
      </c>
      <c r="E46" s="367">
        <f>'YR1991'!E46+'YR1992'!E46+'YR1993'!E46</f>
        <v>0</v>
      </c>
      <c r="F46" s="386">
        <f t="shared" si="0"/>
        <v>0</v>
      </c>
      <c r="G46" s="365"/>
    </row>
    <row r="47" spans="1:7" ht="18" customHeight="1">
      <c r="A47" s="40" t="s">
        <v>110</v>
      </c>
      <c r="B47" s="367">
        <f>'YR1991'!B47+'YR1992'!B47+'YR1993'!B47</f>
        <v>0</v>
      </c>
      <c r="C47" s="367">
        <f>'YR1991'!C47+'YR1992'!C47+'YR1993'!C47</f>
        <v>0</v>
      </c>
      <c r="D47" s="367">
        <f>'YR1991'!D47+'YR1992'!D47+'YR1993'!D47</f>
        <v>0</v>
      </c>
      <c r="E47" s="367">
        <f>'YR1991'!E47+'YR1992'!E47+'YR1993'!E47</f>
        <v>0</v>
      </c>
      <c r="F47" s="386">
        <f t="shared" si="0"/>
        <v>0</v>
      </c>
      <c r="G47" s="365"/>
    </row>
    <row r="48" spans="1:7" ht="18" customHeight="1">
      <c r="A48" s="40" t="s">
        <v>111</v>
      </c>
      <c r="B48" s="367">
        <f>'YR1991'!B48+'YR1992'!B48+'YR1993'!B48</f>
        <v>1209055</v>
      </c>
      <c r="C48" s="367">
        <f>'YR1991'!C48+'YR1992'!C48+'YR1993'!C48</f>
        <v>1209055</v>
      </c>
      <c r="D48" s="367">
        <f>'YR1991'!D48+'YR1992'!D48+'YR1993'!D48</f>
        <v>0</v>
      </c>
      <c r="E48" s="367">
        <f>'YR1991'!E48+'YR1992'!E48+'YR1993'!E48</f>
        <v>0</v>
      </c>
      <c r="F48" s="386">
        <f t="shared" si="0"/>
        <v>0</v>
      </c>
      <c r="G48" s="365"/>
    </row>
    <row r="49" spans="1:8" ht="18" customHeight="1">
      <c r="A49" s="40" t="s">
        <v>112</v>
      </c>
      <c r="B49" s="367">
        <f>'YR1991'!B49+'YR1992'!B49+'YR1993'!B49</f>
        <v>5510150</v>
      </c>
      <c r="C49" s="367">
        <f>'YR1991'!C49+'YR1992'!C49+'YR1993'!C49</f>
        <v>5510150</v>
      </c>
      <c r="D49" s="367">
        <f>'YR1991'!D49+'YR1992'!D49+'YR1993'!D49</f>
        <v>0</v>
      </c>
      <c r="E49" s="367">
        <f>'YR1991'!E49+'YR1992'!E49+'YR1993'!E49</f>
        <v>0</v>
      </c>
      <c r="F49" s="386">
        <f t="shared" si="0"/>
        <v>0</v>
      </c>
      <c r="G49" s="365"/>
    </row>
    <row r="50" spans="1:8" ht="18" customHeight="1">
      <c r="A50" s="40" t="s">
        <v>113</v>
      </c>
      <c r="B50" s="367">
        <f>'YR1991'!B50+'YR1992'!B50+'YR1993'!B50</f>
        <v>3261080</v>
      </c>
      <c r="C50" s="367">
        <f>'YR1991'!C50+'YR1992'!C50+'YR1993'!C50</f>
        <v>3261080</v>
      </c>
      <c r="D50" s="367">
        <f>'YR1991'!D50+'YR1992'!D50+'YR1993'!D50</f>
        <v>0</v>
      </c>
      <c r="E50" s="367">
        <f>'YR1991'!E50+'YR1992'!E50+'YR1993'!E50</f>
        <v>0</v>
      </c>
      <c r="F50" s="386">
        <f t="shared" si="0"/>
        <v>0</v>
      </c>
      <c r="G50" s="365"/>
    </row>
    <row r="51" spans="1:8" ht="18" customHeight="1">
      <c r="A51" s="40" t="s">
        <v>114</v>
      </c>
      <c r="B51" s="367">
        <f>'YR1991'!B51+'YR1992'!B51+'YR1993'!B51</f>
        <v>3136227</v>
      </c>
      <c r="C51" s="367">
        <f>'YR1991'!C51+'YR1992'!C51+'YR1993'!C51</f>
        <v>3136227</v>
      </c>
      <c r="D51" s="367">
        <f>'YR1991'!D51+'YR1992'!D51+'YR1993'!D51</f>
        <v>0</v>
      </c>
      <c r="E51" s="367">
        <f>'YR1991'!E51+'YR1992'!E51+'YR1993'!E51</f>
        <v>0</v>
      </c>
      <c r="F51" s="386">
        <f t="shared" si="0"/>
        <v>0</v>
      </c>
      <c r="G51" s="365"/>
    </row>
    <row r="52" spans="1:8" ht="18" customHeight="1">
      <c r="A52" s="40" t="s">
        <v>115</v>
      </c>
      <c r="B52" s="367">
        <f>'YR1991'!B52+'YR1992'!B52+'YR1993'!B52</f>
        <v>0</v>
      </c>
      <c r="C52" s="367">
        <f>'YR1991'!C52+'YR1992'!C52+'YR1993'!C52</f>
        <v>0</v>
      </c>
      <c r="D52" s="367">
        <f>'YR1991'!D52+'YR1992'!D52+'YR1993'!D52</f>
        <v>0</v>
      </c>
      <c r="E52" s="367">
        <f>'YR1991'!E52+'YR1992'!E52+'YR1993'!E52</f>
        <v>0</v>
      </c>
      <c r="F52" s="386">
        <f t="shared" si="0"/>
        <v>0</v>
      </c>
      <c r="G52" s="365"/>
    </row>
    <row r="53" spans="1:8" ht="18" customHeight="1">
      <c r="A53" s="40" t="s">
        <v>187</v>
      </c>
      <c r="B53" s="367">
        <f>'YR1991'!B53+'YR1992'!B53+'YR1993'!B53</f>
        <v>0</v>
      </c>
      <c r="C53" s="367">
        <f>'YR1991'!C53+'YR1992'!C53+'YR1993'!C53</f>
        <v>0</v>
      </c>
      <c r="D53" s="367">
        <f>'YR1991'!D53+'YR1992'!D53+'YR1993'!D53</f>
        <v>0</v>
      </c>
      <c r="E53" s="367">
        <f>'YR1991'!E53+'YR1992'!E53+'YR1993'!E53</f>
        <v>0</v>
      </c>
      <c r="F53" s="386">
        <f t="shared" si="0"/>
        <v>0</v>
      </c>
      <c r="G53" s="365"/>
    </row>
    <row r="54" spans="1:8" ht="18" customHeight="1">
      <c r="A54" s="40" t="s">
        <v>117</v>
      </c>
      <c r="B54" s="367">
        <f>'YR1991'!B54+'YR1992'!B54+'YR1993'!B54</f>
        <v>1425396</v>
      </c>
      <c r="C54" s="367">
        <f>'YR1991'!C54+'YR1992'!C54+'YR1993'!C54+130333.64+166991.63+72843.87+147980.96</f>
        <v>1303750.1000000001</v>
      </c>
      <c r="D54" s="367">
        <f>'YR1991'!D54+'YR1992'!D54+'YR1993'!D54</f>
        <v>0</v>
      </c>
      <c r="E54" s="367">
        <f>'YR1991'!E54+'YR1992'!E54+'YR1993'!E54</f>
        <v>0</v>
      </c>
      <c r="F54" s="386">
        <f t="shared" si="0"/>
        <v>121645.89999999991</v>
      </c>
      <c r="G54" s="365"/>
      <c r="H54" s="478" t="s">
        <v>236</v>
      </c>
    </row>
    <row r="55" spans="1:8" ht="18" customHeight="1">
      <c r="A55" s="40" t="s">
        <v>118</v>
      </c>
      <c r="B55" s="367">
        <f>'YR1991'!B55+'YR1992'!B55+'YR1993'!B55</f>
        <v>559639</v>
      </c>
      <c r="C55" s="367">
        <f>'YR1991'!C55+'YR1992'!C55+'YR1993'!C55</f>
        <v>559639</v>
      </c>
      <c r="D55" s="367">
        <f>'YR1991'!D55+'YR1992'!D55+'YR1993'!D55</f>
        <v>0</v>
      </c>
      <c r="E55" s="367">
        <f>'YR1991'!E55+'YR1992'!E55+'YR1993'!E55</f>
        <v>0</v>
      </c>
      <c r="F55" s="386">
        <f t="shared" si="0"/>
        <v>0</v>
      </c>
      <c r="G55" s="365"/>
    </row>
    <row r="56" spans="1:8" ht="18" customHeight="1">
      <c r="A56" s="40" t="s">
        <v>119</v>
      </c>
      <c r="B56" s="367">
        <f>'YR1991'!B56+'YR1992'!B56+'YR1993'!B56</f>
        <v>13826548</v>
      </c>
      <c r="C56" s="367">
        <f>'YR1991'!C56+'YR1992'!C56+'YR1993'!C56</f>
        <v>13826548</v>
      </c>
      <c r="D56" s="367">
        <f>'YR1991'!D56+'YR1992'!D56+'YR1993'!D56</f>
        <v>0</v>
      </c>
      <c r="E56" s="367">
        <f>'YR1991'!E56+'YR1992'!E56+'YR1993'!E56</f>
        <v>0</v>
      </c>
      <c r="F56" s="386">
        <f t="shared" si="0"/>
        <v>0</v>
      </c>
      <c r="G56" s="365"/>
    </row>
    <row r="57" spans="1:8" ht="18" customHeight="1">
      <c r="A57" s="40" t="s">
        <v>120</v>
      </c>
      <c r="B57" s="367">
        <f>'YR1991'!B57+'YR1992'!B57+'YR1993'!B57</f>
        <v>60001569</v>
      </c>
      <c r="C57" s="367">
        <f>'YR1991'!C57+'YR1992'!C57+'YR1993'!C57</f>
        <v>56374459</v>
      </c>
      <c r="D57" s="367">
        <f>'YR1991'!D57+'YR1992'!D57+'YR1993'!D57</f>
        <v>3627110</v>
      </c>
      <c r="E57" s="367">
        <f>'YR1991'!E57+'YR1992'!E57+'YR1993'!E57</f>
        <v>0</v>
      </c>
      <c r="F57" s="386">
        <f t="shared" si="0"/>
        <v>0</v>
      </c>
      <c r="G57" s="365"/>
    </row>
    <row r="58" spans="1:8" ht="18" customHeight="1" thickBot="1">
      <c r="A58" s="251" t="s">
        <v>121</v>
      </c>
      <c r="B58" s="367">
        <f>'YR1991'!B58+'YR1992'!B58+'YR1993'!B58</f>
        <v>0</v>
      </c>
      <c r="C58" s="367">
        <f>'YR1991'!C58+'YR1992'!C58+'YR1993'!C58</f>
        <v>0</v>
      </c>
      <c r="D58" s="367">
        <f>'YR1991'!D58+'YR1992'!D58+'YR1993'!D58</f>
        <v>0</v>
      </c>
      <c r="E58" s="367">
        <f>'YR1991'!E58+'YR1992'!E58+'YR1993'!E58</f>
        <v>0</v>
      </c>
      <c r="F58" s="479">
        <f t="shared" si="0"/>
        <v>0</v>
      </c>
      <c r="G58" s="365"/>
    </row>
    <row r="59" spans="1:8" ht="20.25" customHeight="1" thickBot="1">
      <c r="A59" s="278" t="s">
        <v>124</v>
      </c>
      <c r="B59" s="50">
        <f>SUM(B8:B58)</f>
        <v>235029241</v>
      </c>
      <c r="C59" s="50">
        <f>SUM(C8:C58)</f>
        <v>206611034.09999999</v>
      </c>
      <c r="D59" s="50">
        <f>SUM(D8:D58)</f>
        <v>4366255</v>
      </c>
      <c r="E59" s="50">
        <f>SUM(E8:E58)</f>
        <v>0</v>
      </c>
      <c r="F59" s="50">
        <f>SUM(F8:F58)</f>
        <v>24051951.899999999</v>
      </c>
      <c r="G59" s="365"/>
    </row>
    <row r="60" spans="1:8">
      <c r="A60" s="289"/>
      <c r="B60" s="289"/>
      <c r="C60" s="289"/>
      <c r="D60" s="289"/>
      <c r="E60" s="480"/>
      <c r="F60" s="480"/>
      <c r="G60" s="365"/>
    </row>
    <row r="61" spans="1:8">
      <c r="A61" s="375"/>
      <c r="B61" s="289"/>
      <c r="C61" s="289"/>
      <c r="D61" s="289"/>
      <c r="E61" s="289"/>
      <c r="F61" s="289"/>
      <c r="G61" s="365"/>
    </row>
    <row r="62" spans="1:8">
      <c r="A62" s="375"/>
      <c r="B62" s="289"/>
      <c r="C62" s="289"/>
      <c r="D62" s="289"/>
      <c r="E62" s="289"/>
      <c r="F62" s="289"/>
      <c r="G62" s="365"/>
    </row>
    <row r="63" spans="1:8">
      <c r="A63" s="289"/>
      <c r="B63" s="289"/>
      <c r="C63" s="289"/>
      <c r="D63" s="289"/>
      <c r="E63" s="289"/>
      <c r="F63" s="289"/>
      <c r="G63" s="365"/>
    </row>
    <row r="64" spans="1:8" ht="16" thickBot="1">
      <c r="A64" s="289"/>
      <c r="B64" s="289"/>
      <c r="C64" s="289"/>
      <c r="D64" s="289"/>
      <c r="E64" s="289"/>
      <c r="F64" s="289"/>
      <c r="G64" s="365"/>
    </row>
    <row r="65" spans="1:7" ht="16.5" customHeight="1" thickBot="1">
      <c r="A65" s="376" t="s">
        <v>139</v>
      </c>
      <c r="B65" s="377">
        <f>B10+B11+B14+B17+B19+B25+B32+B34+B42+B44+B46+B47+B52+B53+B54+B58</f>
        <v>28068772</v>
      </c>
      <c r="C65" s="377">
        <f>C10+C11+C14+C17+C19+C25+C32+C34+C42+C44+C46+C47+C52+C53+C54+C58</f>
        <v>4016820.1</v>
      </c>
      <c r="D65" s="377">
        <f>D10+D11+D14+D17+D19+D25+D32+D34+D42+D44+D46+D47+D52+D53+D54+D58</f>
        <v>0</v>
      </c>
      <c r="E65" s="377">
        <f>E10+E11+E14+E17+E19+E25+E32+E34+E42+E44+E46+E47+E52+E53+E54+E58</f>
        <v>0</v>
      </c>
      <c r="F65" s="392">
        <f>B65-C65-D65-E65</f>
        <v>24051951.899999999</v>
      </c>
      <c r="G65" s="365"/>
    </row>
    <row r="66" spans="1:7">
      <c r="G66" s="365"/>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1BE98-CFE3-45BA-9D52-972E7855059B}">
  <dimension ref="A1:F61"/>
  <sheetViews>
    <sheetView topLeftCell="A46" workbookViewId="0">
      <selection activeCell="F3" sqref="F3"/>
    </sheetView>
  </sheetViews>
  <sheetFormatPr defaultColWidth="9.7265625" defaultRowHeight="15.5"/>
  <cols>
    <col min="1" max="1" width="27" style="1" customWidth="1"/>
    <col min="2" max="6" width="17.26953125" style="1" customWidth="1"/>
    <col min="7" max="16384" width="9.7265625" style="469"/>
  </cols>
  <sheetData>
    <row r="1" spans="1:6" s="1" customFormat="1" ht="16.5" customHeight="1">
      <c r="A1" s="389"/>
      <c r="B1" s="355"/>
      <c r="F1" s="380" t="str">
        <f>Status!C1</f>
        <v>UNEP/OzL.Pro/ExCom/94/3</v>
      </c>
    </row>
    <row r="2" spans="1:6" s="1" customFormat="1" ht="16.5" customHeight="1">
      <c r="A2" s="389"/>
      <c r="B2" s="22"/>
      <c r="F2" s="380" t="s">
        <v>249</v>
      </c>
    </row>
    <row r="3" spans="1:6" s="1" customFormat="1" ht="16.5" customHeight="1">
      <c r="B3" s="22"/>
      <c r="F3" s="380"/>
    </row>
    <row r="4" spans="1:6" s="1" customFormat="1" ht="20.25" customHeight="1">
      <c r="A4" s="381" t="s">
        <v>2</v>
      </c>
      <c r="B4" s="381"/>
      <c r="C4" s="381"/>
      <c r="D4" s="381"/>
      <c r="E4" s="381"/>
      <c r="F4" s="381"/>
    </row>
    <row r="5" spans="1:6" s="1" customFormat="1" ht="20.25" customHeight="1">
      <c r="A5" s="382" t="s">
        <v>237</v>
      </c>
      <c r="B5" s="381"/>
      <c r="C5" s="381"/>
      <c r="D5" s="381"/>
      <c r="E5" s="381"/>
      <c r="F5" s="381"/>
    </row>
    <row r="6" spans="1:6" s="1" customFormat="1" ht="30" customHeight="1" thickBot="1">
      <c r="A6" s="383" t="s">
        <v>265</v>
      </c>
      <c r="B6" s="381"/>
      <c r="C6" s="381"/>
      <c r="D6" s="381"/>
      <c r="E6" s="381"/>
      <c r="F6" s="381"/>
    </row>
    <row r="7" spans="1:6" s="1" customFormat="1" ht="35.25" customHeight="1" thickBot="1">
      <c r="A7" s="358" t="s">
        <v>60</v>
      </c>
      <c r="B7" s="359" t="s">
        <v>61</v>
      </c>
      <c r="C7" s="359" t="s">
        <v>62</v>
      </c>
      <c r="D7" s="359" t="s">
        <v>63</v>
      </c>
      <c r="E7" s="359" t="s">
        <v>64</v>
      </c>
      <c r="F7" s="384" t="s">
        <v>65</v>
      </c>
    </row>
    <row r="8" spans="1:6" ht="18" customHeight="1">
      <c r="A8" s="438" t="s">
        <v>130</v>
      </c>
      <c r="B8" s="467">
        <v>2011867</v>
      </c>
      <c r="C8" s="467">
        <v>2011867</v>
      </c>
      <c r="D8" s="467">
        <v>0</v>
      </c>
      <c r="E8" s="467">
        <v>0</v>
      </c>
      <c r="F8" s="468">
        <f t="shared" ref="F8:F58" si="0">B8-C8-D8-E8</f>
        <v>0</v>
      </c>
    </row>
    <row r="9" spans="1:6" ht="18" customHeight="1">
      <c r="A9" s="420" t="s">
        <v>223</v>
      </c>
      <c r="B9" s="441">
        <v>999272</v>
      </c>
      <c r="C9" s="441">
        <v>999272</v>
      </c>
      <c r="D9" s="441">
        <v>0</v>
      </c>
      <c r="E9" s="441">
        <v>0</v>
      </c>
      <c r="F9" s="470">
        <f t="shared" si="0"/>
        <v>0</v>
      </c>
    </row>
    <row r="10" spans="1:6" ht="18" customHeight="1">
      <c r="A10" s="423" t="s">
        <v>70</v>
      </c>
      <c r="B10" s="441">
        <v>0</v>
      </c>
      <c r="C10" s="441">
        <v>0</v>
      </c>
      <c r="D10" s="441">
        <v>0</v>
      </c>
      <c r="E10" s="441">
        <v>0</v>
      </c>
      <c r="F10" s="470">
        <f t="shared" si="0"/>
        <v>0</v>
      </c>
    </row>
    <row r="11" spans="1:6" ht="18" customHeight="1">
      <c r="A11" s="420" t="s">
        <v>71</v>
      </c>
      <c r="B11" s="441">
        <v>0</v>
      </c>
      <c r="C11" s="441">
        <v>0</v>
      </c>
      <c r="D11" s="441">
        <v>0</v>
      </c>
      <c r="E11" s="441">
        <v>0</v>
      </c>
      <c r="F11" s="470">
        <f t="shared" si="0"/>
        <v>0</v>
      </c>
    </row>
    <row r="12" spans="1:6" ht="18" customHeight="1">
      <c r="A12" s="420" t="s">
        <v>72</v>
      </c>
      <c r="B12" s="441">
        <v>1412304</v>
      </c>
      <c r="C12" s="441">
        <v>1412304</v>
      </c>
      <c r="D12" s="441">
        <v>0</v>
      </c>
      <c r="E12" s="441">
        <v>0</v>
      </c>
      <c r="F12" s="470">
        <f t="shared" si="0"/>
        <v>0</v>
      </c>
    </row>
    <row r="13" spans="1:6" ht="18" customHeight="1">
      <c r="A13" s="420" t="s">
        <v>215</v>
      </c>
      <c r="B13" s="441">
        <v>0</v>
      </c>
      <c r="C13" s="441">
        <v>0</v>
      </c>
      <c r="D13" s="441">
        <v>0</v>
      </c>
      <c r="E13" s="441">
        <v>0</v>
      </c>
      <c r="F13" s="470">
        <f t="shared" si="0"/>
        <v>0</v>
      </c>
    </row>
    <row r="14" spans="1:6" ht="18" customHeight="1">
      <c r="A14" s="420" t="s">
        <v>73</v>
      </c>
      <c r="B14" s="441">
        <v>173207</v>
      </c>
      <c r="C14" s="441">
        <v>173207</v>
      </c>
      <c r="D14" s="441">
        <v>0</v>
      </c>
      <c r="E14" s="441">
        <v>0</v>
      </c>
      <c r="F14" s="470">
        <f t="shared" si="0"/>
        <v>0</v>
      </c>
    </row>
    <row r="15" spans="1:6" ht="18" customHeight="1">
      <c r="A15" s="420" t="s">
        <v>131</v>
      </c>
      <c r="B15" s="441">
        <v>4143646</v>
      </c>
      <c r="C15" s="441">
        <v>3527704</v>
      </c>
      <c r="D15" s="441">
        <f>615942+33558</f>
        <v>649500</v>
      </c>
      <c r="E15" s="441">
        <v>0</v>
      </c>
      <c r="F15" s="470">
        <f t="shared" si="0"/>
        <v>-33558</v>
      </c>
    </row>
    <row r="16" spans="1:6" ht="18" customHeight="1">
      <c r="A16" s="420" t="s">
        <v>76</v>
      </c>
      <c r="B16" s="441">
        <v>26647</v>
      </c>
      <c r="C16" s="441">
        <v>26647</v>
      </c>
      <c r="D16" s="441">
        <v>0</v>
      </c>
      <c r="E16" s="441">
        <v>0</v>
      </c>
      <c r="F16" s="470">
        <f t="shared" si="0"/>
        <v>0</v>
      </c>
    </row>
    <row r="17" spans="1:6" ht="18" customHeight="1">
      <c r="A17" s="420" t="s">
        <v>77</v>
      </c>
      <c r="B17" s="441">
        <v>559592</v>
      </c>
      <c r="C17" s="441">
        <v>559592</v>
      </c>
      <c r="D17" s="441">
        <v>0</v>
      </c>
      <c r="E17" s="441">
        <v>0</v>
      </c>
      <c r="F17" s="470">
        <f t="shared" si="0"/>
        <v>0</v>
      </c>
    </row>
    <row r="18" spans="1:6" ht="18" customHeight="1">
      <c r="A18" s="420" t="s">
        <v>78</v>
      </c>
      <c r="B18" s="441">
        <v>866035</v>
      </c>
      <c r="C18" s="441">
        <v>866035</v>
      </c>
      <c r="D18" s="441">
        <v>0</v>
      </c>
      <c r="E18" s="441">
        <v>0</v>
      </c>
      <c r="F18" s="470">
        <f t="shared" si="0"/>
        <v>0</v>
      </c>
    </row>
    <row r="19" spans="1:6" ht="18" customHeight="1">
      <c r="A19" s="420" t="s">
        <v>79</v>
      </c>
      <c r="B19" s="441">
        <v>0</v>
      </c>
      <c r="C19" s="441">
        <v>0</v>
      </c>
      <c r="D19" s="441">
        <v>0</v>
      </c>
      <c r="E19" s="441">
        <v>0</v>
      </c>
      <c r="F19" s="470">
        <f t="shared" si="0"/>
        <v>0</v>
      </c>
    </row>
    <row r="20" spans="1:6" ht="18" customHeight="1">
      <c r="A20" s="420" t="s">
        <v>80</v>
      </c>
      <c r="B20" s="441">
        <v>759446</v>
      </c>
      <c r="C20" s="441">
        <v>759446</v>
      </c>
      <c r="D20" s="441">
        <v>0</v>
      </c>
      <c r="E20" s="441">
        <v>0</v>
      </c>
      <c r="F20" s="470">
        <f t="shared" si="0"/>
        <v>0</v>
      </c>
    </row>
    <row r="21" spans="1:6" ht="18" customHeight="1">
      <c r="A21" s="420" t="s">
        <v>81</v>
      </c>
      <c r="B21" s="441">
        <v>7994173</v>
      </c>
      <c r="C21" s="441">
        <v>7994173</v>
      </c>
      <c r="D21" s="441">
        <v>0</v>
      </c>
      <c r="E21" s="441">
        <v>0</v>
      </c>
      <c r="F21" s="470">
        <f t="shared" si="0"/>
        <v>0</v>
      </c>
    </row>
    <row r="22" spans="1:6" ht="18" customHeight="1">
      <c r="A22" s="420" t="s">
        <v>216</v>
      </c>
      <c r="B22" s="441">
        <v>0</v>
      </c>
      <c r="C22" s="441">
        <v>0</v>
      </c>
      <c r="D22" s="441">
        <v>0</v>
      </c>
      <c r="E22" s="441">
        <v>0</v>
      </c>
      <c r="F22" s="470">
        <f t="shared" si="0"/>
        <v>0</v>
      </c>
    </row>
    <row r="23" spans="1:6" ht="18" customHeight="1">
      <c r="A23" s="420" t="s">
        <v>82</v>
      </c>
      <c r="B23" s="441">
        <v>11897994</v>
      </c>
      <c r="C23" s="441">
        <v>11897994</v>
      </c>
      <c r="D23" s="441">
        <v>0</v>
      </c>
      <c r="E23" s="441">
        <v>0</v>
      </c>
      <c r="F23" s="470">
        <f t="shared" si="0"/>
        <v>0</v>
      </c>
    </row>
    <row r="24" spans="1:6" ht="18" customHeight="1">
      <c r="A24" s="420" t="s">
        <v>83</v>
      </c>
      <c r="B24" s="441">
        <v>466327</v>
      </c>
      <c r="C24" s="441">
        <v>466327</v>
      </c>
      <c r="D24" s="441">
        <v>0</v>
      </c>
      <c r="E24" s="441">
        <v>0</v>
      </c>
      <c r="F24" s="470">
        <f t="shared" si="0"/>
        <v>0</v>
      </c>
    </row>
    <row r="25" spans="1:6" ht="18" customHeight="1">
      <c r="A25" s="420" t="s">
        <v>85</v>
      </c>
      <c r="B25" s="441">
        <v>239825</v>
      </c>
      <c r="C25" s="441">
        <v>239825</v>
      </c>
      <c r="D25" s="441">
        <v>0</v>
      </c>
      <c r="E25" s="441">
        <v>0</v>
      </c>
      <c r="F25" s="470">
        <f t="shared" si="0"/>
        <v>0</v>
      </c>
    </row>
    <row r="26" spans="1:6" ht="18" customHeight="1">
      <c r="A26" s="420" t="s">
        <v>86</v>
      </c>
      <c r="B26" s="441">
        <v>39971</v>
      </c>
      <c r="C26" s="441">
        <v>39971</v>
      </c>
      <c r="D26" s="441">
        <v>0</v>
      </c>
      <c r="E26" s="441">
        <v>0</v>
      </c>
      <c r="F26" s="470">
        <f t="shared" si="0"/>
        <v>0</v>
      </c>
    </row>
    <row r="27" spans="1:6" ht="18" customHeight="1">
      <c r="A27" s="420" t="s">
        <v>87</v>
      </c>
      <c r="B27" s="441">
        <v>239825</v>
      </c>
      <c r="C27" s="441">
        <v>239825</v>
      </c>
      <c r="D27" s="441">
        <v>0</v>
      </c>
      <c r="E27" s="441">
        <v>0</v>
      </c>
      <c r="F27" s="470">
        <f t="shared" si="0"/>
        <v>0</v>
      </c>
    </row>
    <row r="28" spans="1:6" ht="18" customHeight="1">
      <c r="A28" s="420" t="s">
        <v>88</v>
      </c>
      <c r="B28" s="441">
        <v>306443</v>
      </c>
      <c r="C28" s="441">
        <v>306443</v>
      </c>
      <c r="D28" s="441">
        <v>0</v>
      </c>
      <c r="E28" s="441">
        <v>0</v>
      </c>
      <c r="F28" s="470">
        <f t="shared" si="0"/>
        <v>0</v>
      </c>
    </row>
    <row r="29" spans="1:6" ht="18" customHeight="1">
      <c r="A29" s="420" t="s">
        <v>89</v>
      </c>
      <c r="B29" s="441">
        <v>5715834</v>
      </c>
      <c r="C29" s="441">
        <v>5715834</v>
      </c>
      <c r="D29" s="441">
        <v>0</v>
      </c>
      <c r="E29" s="441">
        <v>0</v>
      </c>
      <c r="F29" s="470">
        <f t="shared" si="0"/>
        <v>0</v>
      </c>
    </row>
    <row r="30" spans="1:6" ht="18" customHeight="1">
      <c r="A30" s="420" t="s">
        <v>90</v>
      </c>
      <c r="B30" s="441">
        <v>16587909</v>
      </c>
      <c r="C30" s="441">
        <v>16587909</v>
      </c>
      <c r="D30" s="441">
        <v>0</v>
      </c>
      <c r="E30" s="441">
        <v>0</v>
      </c>
      <c r="F30" s="470">
        <f t="shared" si="0"/>
        <v>0</v>
      </c>
    </row>
    <row r="31" spans="1:6" ht="18" customHeight="1">
      <c r="A31" s="420" t="s">
        <v>92</v>
      </c>
      <c r="B31" s="441">
        <v>286549</v>
      </c>
      <c r="C31" s="441">
        <v>286549</v>
      </c>
      <c r="D31" s="441">
        <v>0</v>
      </c>
      <c r="E31" s="441">
        <v>0</v>
      </c>
      <c r="F31" s="470">
        <f t="shared" si="0"/>
        <v>0</v>
      </c>
    </row>
    <row r="32" spans="1:6" ht="18" customHeight="1">
      <c r="A32" s="420" t="s">
        <v>93</v>
      </c>
      <c r="B32" s="441">
        <v>0</v>
      </c>
      <c r="C32" s="441">
        <v>0</v>
      </c>
      <c r="D32" s="441">
        <v>0</v>
      </c>
      <c r="E32" s="441">
        <v>0</v>
      </c>
      <c r="F32" s="470">
        <f t="shared" si="0"/>
        <v>0</v>
      </c>
    </row>
    <row r="33" spans="1:6" ht="18" customHeight="1">
      <c r="A33" s="420" t="s">
        <v>94</v>
      </c>
      <c r="B33" s="441">
        <v>13324</v>
      </c>
      <c r="C33" s="441">
        <v>13324</v>
      </c>
      <c r="D33" s="441">
        <v>0</v>
      </c>
      <c r="E33" s="441">
        <v>0</v>
      </c>
      <c r="F33" s="470">
        <f t="shared" si="0"/>
        <v>0</v>
      </c>
    </row>
    <row r="34" spans="1:6" ht="18" customHeight="1">
      <c r="A34" s="420" t="s">
        <v>95</v>
      </c>
      <c r="B34" s="441">
        <v>0</v>
      </c>
      <c r="C34" s="441">
        <v>0</v>
      </c>
      <c r="D34" s="441">
        <v>0</v>
      </c>
      <c r="E34" s="441">
        <v>0</v>
      </c>
      <c r="F34" s="470">
        <f t="shared" si="0"/>
        <v>0</v>
      </c>
    </row>
    <row r="35" spans="1:6" ht="18" customHeight="1">
      <c r="A35" s="420" t="s">
        <v>96</v>
      </c>
      <c r="B35" s="441">
        <v>79942</v>
      </c>
      <c r="C35" s="441">
        <v>79942</v>
      </c>
      <c r="D35" s="441">
        <v>0</v>
      </c>
      <c r="E35" s="441">
        <v>0</v>
      </c>
      <c r="F35" s="470">
        <f t="shared" si="0"/>
        <v>0</v>
      </c>
    </row>
    <row r="36" spans="1:6" ht="18" customHeight="1">
      <c r="A36" s="420" t="s">
        <v>97</v>
      </c>
      <c r="B36" s="441">
        <v>13324</v>
      </c>
      <c r="C36" s="441">
        <v>13324</v>
      </c>
      <c r="D36" s="441">
        <v>0</v>
      </c>
      <c r="E36" s="441">
        <v>0</v>
      </c>
      <c r="F36" s="470">
        <f t="shared" si="0"/>
        <v>0</v>
      </c>
    </row>
    <row r="37" spans="1:6" ht="18" customHeight="1">
      <c r="A37" s="420" t="s">
        <v>98</v>
      </c>
      <c r="B37" s="441">
        <v>7483</v>
      </c>
      <c r="C37" s="441">
        <v>7483</v>
      </c>
      <c r="D37" s="441">
        <v>0</v>
      </c>
      <c r="E37" s="441">
        <v>0</v>
      </c>
      <c r="F37" s="470">
        <f t="shared" si="0"/>
        <v>0</v>
      </c>
    </row>
    <row r="38" spans="1:6" ht="18" customHeight="1">
      <c r="A38" s="420" t="s">
        <v>99</v>
      </c>
      <c r="B38" s="441">
        <v>1998543</v>
      </c>
      <c r="C38" s="441">
        <v>1998543</v>
      </c>
      <c r="D38" s="441">
        <v>0</v>
      </c>
      <c r="E38" s="441">
        <v>0</v>
      </c>
      <c r="F38" s="470">
        <f t="shared" si="0"/>
        <v>0</v>
      </c>
    </row>
    <row r="39" spans="1:6" ht="18" customHeight="1">
      <c r="A39" s="420" t="s">
        <v>100</v>
      </c>
      <c r="B39" s="441">
        <v>319767</v>
      </c>
      <c r="C39" s="441">
        <v>319767</v>
      </c>
      <c r="D39" s="441">
        <v>0</v>
      </c>
      <c r="E39" s="441">
        <v>0</v>
      </c>
      <c r="F39" s="470">
        <f t="shared" si="0"/>
        <v>0</v>
      </c>
    </row>
    <row r="40" spans="1:6" ht="18" customHeight="1">
      <c r="A40" s="420" t="s">
        <v>101</v>
      </c>
      <c r="B40" s="441">
        <v>732799</v>
      </c>
      <c r="C40" s="441">
        <v>732799</v>
      </c>
      <c r="D40" s="441">
        <v>0</v>
      </c>
      <c r="E40" s="441">
        <v>0</v>
      </c>
      <c r="F40" s="470">
        <f t="shared" si="0"/>
        <v>0</v>
      </c>
    </row>
    <row r="41" spans="1:6" ht="18" customHeight="1">
      <c r="A41" s="420" t="s">
        <v>102</v>
      </c>
      <c r="B41" s="441">
        <v>0</v>
      </c>
      <c r="C41" s="441">
        <v>0</v>
      </c>
      <c r="D41" s="441">
        <v>0</v>
      </c>
      <c r="E41" s="441">
        <v>0</v>
      </c>
      <c r="F41" s="470">
        <f t="shared" si="0"/>
        <v>0</v>
      </c>
    </row>
    <row r="42" spans="1:6" ht="18" customHeight="1">
      <c r="A42" s="420" t="s">
        <v>103</v>
      </c>
      <c r="B42" s="441">
        <v>0</v>
      </c>
      <c r="C42" s="441">
        <v>0</v>
      </c>
      <c r="D42" s="441">
        <v>0</v>
      </c>
      <c r="E42" s="441">
        <v>0</v>
      </c>
      <c r="F42" s="470">
        <f t="shared" si="0"/>
        <v>0</v>
      </c>
    </row>
    <row r="43" spans="1:6" ht="18" customHeight="1">
      <c r="A43" s="420" t="s">
        <v>104</v>
      </c>
      <c r="B43" s="441">
        <v>266472</v>
      </c>
      <c r="C43" s="441">
        <v>266472</v>
      </c>
      <c r="D43" s="441">
        <v>0</v>
      </c>
      <c r="E43" s="441">
        <v>0</v>
      </c>
      <c r="F43" s="470">
        <f t="shared" si="0"/>
        <v>0</v>
      </c>
    </row>
    <row r="44" spans="1:6" ht="18" customHeight="1">
      <c r="A44" s="420" t="s">
        <v>106</v>
      </c>
      <c r="B44" s="441">
        <v>8940150</v>
      </c>
      <c r="C44" s="441">
        <v>0</v>
      </c>
      <c r="D44" s="441">
        <v>0</v>
      </c>
      <c r="E44" s="441">
        <v>0</v>
      </c>
      <c r="F44" s="470">
        <f t="shared" si="0"/>
        <v>8940150</v>
      </c>
    </row>
    <row r="45" spans="1:6" ht="18" customHeight="1">
      <c r="A45" s="420" t="s">
        <v>108</v>
      </c>
      <c r="B45" s="441">
        <v>159883</v>
      </c>
      <c r="C45" s="441">
        <v>127907</v>
      </c>
      <c r="D45" s="441">
        <v>31976</v>
      </c>
      <c r="E45" s="441">
        <v>0</v>
      </c>
      <c r="F45" s="470">
        <f t="shared" si="0"/>
        <v>0</v>
      </c>
    </row>
    <row r="46" spans="1:6" ht="18" customHeight="1">
      <c r="A46" s="438" t="s">
        <v>217</v>
      </c>
      <c r="B46" s="441">
        <v>173207</v>
      </c>
      <c r="C46" s="441">
        <v>173207</v>
      </c>
      <c r="D46" s="441">
        <v>0</v>
      </c>
      <c r="E46" s="441">
        <v>0</v>
      </c>
      <c r="F46" s="470">
        <f t="shared" si="0"/>
        <v>0</v>
      </c>
    </row>
    <row r="47" spans="1:6" ht="18" customHeight="1">
      <c r="A47" s="420" t="s">
        <v>110</v>
      </c>
      <c r="B47" s="441">
        <v>0</v>
      </c>
      <c r="C47" s="441">
        <v>0</v>
      </c>
      <c r="D47" s="441">
        <v>0</v>
      </c>
      <c r="E47" s="441">
        <v>0</v>
      </c>
      <c r="F47" s="470">
        <f t="shared" si="0"/>
        <v>0</v>
      </c>
    </row>
    <row r="48" spans="1:6" ht="18" customHeight="1">
      <c r="A48" s="420" t="s">
        <v>111</v>
      </c>
      <c r="B48" s="441">
        <v>546268</v>
      </c>
      <c r="C48" s="441">
        <v>546268</v>
      </c>
      <c r="D48" s="441">
        <v>0</v>
      </c>
      <c r="E48" s="441">
        <v>0</v>
      </c>
      <c r="F48" s="470">
        <f t="shared" si="0"/>
        <v>0</v>
      </c>
    </row>
    <row r="49" spans="1:6" ht="18" customHeight="1">
      <c r="A49" s="420" t="s">
        <v>112</v>
      </c>
      <c r="B49" s="441">
        <v>2638077</v>
      </c>
      <c r="C49" s="441">
        <v>2638077</v>
      </c>
      <c r="D49" s="441">
        <v>0</v>
      </c>
      <c r="E49" s="441">
        <v>0</v>
      </c>
      <c r="F49" s="470">
        <f t="shared" si="0"/>
        <v>0</v>
      </c>
    </row>
    <row r="50" spans="1:6" ht="18" customHeight="1">
      <c r="A50" s="420" t="s">
        <v>113</v>
      </c>
      <c r="B50" s="441">
        <v>1478922</v>
      </c>
      <c r="C50" s="441">
        <v>1478922</v>
      </c>
      <c r="D50" s="441">
        <v>0</v>
      </c>
      <c r="E50" s="441">
        <v>0</v>
      </c>
      <c r="F50" s="470">
        <f t="shared" si="0"/>
        <v>0</v>
      </c>
    </row>
    <row r="51" spans="1:6" ht="18" customHeight="1">
      <c r="A51" s="420" t="s">
        <v>114</v>
      </c>
      <c r="B51" s="441">
        <v>1545540</v>
      </c>
      <c r="C51" s="441">
        <v>1545540</v>
      </c>
      <c r="D51" s="441">
        <v>0</v>
      </c>
      <c r="E51" s="441">
        <v>0</v>
      </c>
      <c r="F51" s="470">
        <f t="shared" si="0"/>
        <v>0</v>
      </c>
    </row>
    <row r="52" spans="1:6" ht="18" customHeight="1">
      <c r="A52" s="420" t="s">
        <v>115</v>
      </c>
      <c r="B52" s="441">
        <v>0</v>
      </c>
      <c r="C52" s="441">
        <v>0</v>
      </c>
      <c r="D52" s="441">
        <v>0</v>
      </c>
      <c r="E52" s="441">
        <v>0</v>
      </c>
      <c r="F52" s="470">
        <f t="shared" si="0"/>
        <v>0</v>
      </c>
    </row>
    <row r="53" spans="1:6" ht="18" customHeight="1">
      <c r="A53" s="420" t="s">
        <v>187</v>
      </c>
      <c r="B53" s="441">
        <v>0</v>
      </c>
      <c r="C53" s="441">
        <v>0</v>
      </c>
      <c r="D53" s="441">
        <v>0</v>
      </c>
      <c r="E53" s="441">
        <v>0</v>
      </c>
      <c r="F53" s="470">
        <f t="shared" si="0"/>
        <v>0</v>
      </c>
    </row>
    <row r="54" spans="1:6" ht="18" customHeight="1">
      <c r="A54" s="420" t="s">
        <v>117</v>
      </c>
      <c r="B54" s="441">
        <v>0</v>
      </c>
      <c r="C54" s="441">
        <v>0</v>
      </c>
      <c r="D54" s="441">
        <v>0</v>
      </c>
      <c r="E54" s="441">
        <v>0</v>
      </c>
      <c r="F54" s="470">
        <f t="shared" si="0"/>
        <v>0</v>
      </c>
    </row>
    <row r="55" spans="1:6" ht="18" customHeight="1">
      <c r="A55" s="420" t="s">
        <v>118</v>
      </c>
      <c r="B55" s="441">
        <v>279796</v>
      </c>
      <c r="C55" s="441">
        <v>279796</v>
      </c>
      <c r="D55" s="441">
        <v>0</v>
      </c>
      <c r="E55" s="441">
        <v>0</v>
      </c>
      <c r="F55" s="470">
        <f t="shared" si="0"/>
        <v>0</v>
      </c>
    </row>
    <row r="56" spans="1:6" ht="18" customHeight="1">
      <c r="A56" s="420" t="s">
        <v>119</v>
      </c>
      <c r="B56" s="441">
        <v>6668458</v>
      </c>
      <c r="C56" s="441">
        <v>6668458</v>
      </c>
      <c r="D56" s="441">
        <v>0</v>
      </c>
      <c r="E56" s="441">
        <v>0</v>
      </c>
      <c r="F56" s="470">
        <f t="shared" si="0"/>
        <v>0</v>
      </c>
    </row>
    <row r="57" spans="1:6" ht="18" customHeight="1">
      <c r="A57" s="420" t="s">
        <v>120</v>
      </c>
      <c r="B57" s="441">
        <v>28334903</v>
      </c>
      <c r="C57" s="441">
        <v>27600793</v>
      </c>
      <c r="D57" s="441">
        <v>734110</v>
      </c>
      <c r="E57" s="441">
        <v>0</v>
      </c>
      <c r="F57" s="470">
        <f t="shared" si="0"/>
        <v>0</v>
      </c>
    </row>
    <row r="58" spans="1:6" ht="18" customHeight="1" thickBot="1">
      <c r="A58" s="426" t="s">
        <v>121</v>
      </c>
      <c r="B58" s="441">
        <v>0</v>
      </c>
      <c r="C58" s="441">
        <v>0</v>
      </c>
      <c r="D58" s="441">
        <v>0</v>
      </c>
      <c r="E58" s="441">
        <v>0</v>
      </c>
      <c r="F58" s="470">
        <f t="shared" si="0"/>
        <v>0</v>
      </c>
    </row>
    <row r="59" spans="1:6" ht="20.25" customHeight="1" thickBot="1">
      <c r="A59" s="471" t="s">
        <v>124</v>
      </c>
      <c r="B59" s="472">
        <f>SUM(B8:B58)</f>
        <v>108923724</v>
      </c>
      <c r="C59" s="472">
        <f>SUM(C8:C58)</f>
        <v>98601546</v>
      </c>
      <c r="D59" s="472">
        <f>SUM(D8:D58)</f>
        <v>1415586</v>
      </c>
      <c r="E59" s="472">
        <f>SUM(E8:E58)</f>
        <v>0</v>
      </c>
      <c r="F59" s="473">
        <f>SUM(F8:F58)</f>
        <v>8906592</v>
      </c>
    </row>
    <row r="60" spans="1:6" ht="15.75" customHeight="1">
      <c r="A60" s="476"/>
      <c r="B60" s="476"/>
      <c r="C60" s="476"/>
      <c r="D60" s="476"/>
      <c r="E60" s="476"/>
      <c r="F60" s="476"/>
    </row>
    <row r="61" spans="1:6" ht="15.75" customHeight="1">
      <c r="A61" s="477"/>
      <c r="F61" s="7"/>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96889-D2F9-416A-9C54-2F89CFF7A6DC}">
  <dimension ref="A1:F61"/>
  <sheetViews>
    <sheetView topLeftCell="A48" workbookViewId="0">
      <selection activeCell="A3" sqref="A3"/>
    </sheetView>
  </sheetViews>
  <sheetFormatPr defaultColWidth="9.7265625" defaultRowHeight="15.5"/>
  <cols>
    <col min="1" max="1" width="27" style="1" customWidth="1"/>
    <col min="2" max="6" width="17.26953125" style="1" customWidth="1"/>
    <col min="7" max="16384" width="9.7265625" style="469"/>
  </cols>
  <sheetData>
    <row r="1" spans="1:6" s="1" customFormat="1" ht="16.5" customHeight="1">
      <c r="A1" s="389" t="str">
        <f>Status!C1</f>
        <v>UNEP/OzL.Pro/ExCom/94/3</v>
      </c>
      <c r="B1" s="355"/>
      <c r="F1" s="380"/>
    </row>
    <row r="2" spans="1:6" s="1" customFormat="1" ht="16.5" customHeight="1">
      <c r="A2" s="389" t="s">
        <v>250</v>
      </c>
      <c r="B2" s="22"/>
      <c r="F2" s="380"/>
    </row>
    <row r="3" spans="1:6" s="1" customFormat="1" ht="16.5" customHeight="1">
      <c r="B3" s="22"/>
      <c r="F3" s="380"/>
    </row>
    <row r="4" spans="1:6" s="1" customFormat="1" ht="20.25" customHeight="1">
      <c r="A4" s="381" t="s">
        <v>2</v>
      </c>
      <c r="B4" s="381"/>
      <c r="C4" s="381"/>
      <c r="D4" s="381"/>
      <c r="E4" s="381"/>
      <c r="F4" s="381"/>
    </row>
    <row r="5" spans="1:6" s="1" customFormat="1" ht="20.25" customHeight="1">
      <c r="A5" s="382" t="s">
        <v>238</v>
      </c>
      <c r="B5" s="381"/>
      <c r="C5" s="381"/>
      <c r="D5" s="381"/>
      <c r="E5" s="381"/>
      <c r="F5" s="381"/>
    </row>
    <row r="6" spans="1:6" s="1" customFormat="1" ht="30" customHeight="1" thickBot="1">
      <c r="A6" s="383" t="str">
        <f>Status!A6</f>
        <v>As at 24/05/2024</v>
      </c>
      <c r="B6" s="381"/>
      <c r="C6" s="381"/>
      <c r="D6" s="381"/>
      <c r="E6" s="381"/>
      <c r="F6" s="381"/>
    </row>
    <row r="7" spans="1:6" s="1" customFormat="1" ht="35.25" customHeight="1" thickBot="1">
      <c r="A7" s="358" t="s">
        <v>60</v>
      </c>
      <c r="B7" s="359" t="s">
        <v>61</v>
      </c>
      <c r="C7" s="359" t="s">
        <v>62</v>
      </c>
      <c r="D7" s="359" t="s">
        <v>63</v>
      </c>
      <c r="E7" s="359" t="s">
        <v>64</v>
      </c>
      <c r="F7" s="384" t="s">
        <v>65</v>
      </c>
    </row>
    <row r="8" spans="1:6" ht="18" customHeight="1">
      <c r="A8" s="438" t="s">
        <v>130</v>
      </c>
      <c r="B8" s="467">
        <v>1326980</v>
      </c>
      <c r="C8" s="467">
        <v>1287689</v>
      </c>
      <c r="D8" s="467">
        <v>39291</v>
      </c>
      <c r="E8" s="467">
        <v>0</v>
      </c>
      <c r="F8" s="468">
        <f t="shared" ref="F8:F58" si="0">B8-C8-D8-E8</f>
        <v>0</v>
      </c>
    </row>
    <row r="9" spans="1:6" ht="18" customHeight="1">
      <c r="A9" s="420" t="s">
        <v>223</v>
      </c>
      <c r="B9" s="441">
        <v>625456</v>
      </c>
      <c r="C9" s="441">
        <v>625456</v>
      </c>
      <c r="D9" s="441">
        <v>0</v>
      </c>
      <c r="E9" s="441">
        <v>0</v>
      </c>
      <c r="F9" s="470">
        <f t="shared" si="0"/>
        <v>0</v>
      </c>
    </row>
    <row r="10" spans="1:6" ht="18" customHeight="1">
      <c r="A10" s="423" t="s">
        <v>70</v>
      </c>
      <c r="B10" s="441">
        <v>0</v>
      </c>
      <c r="C10" s="441">
        <v>0</v>
      </c>
      <c r="D10" s="441">
        <v>0</v>
      </c>
      <c r="E10" s="441">
        <v>0</v>
      </c>
      <c r="F10" s="470">
        <f t="shared" si="0"/>
        <v>0</v>
      </c>
    </row>
    <row r="11" spans="1:6" ht="18" customHeight="1">
      <c r="A11" s="420" t="s">
        <v>71</v>
      </c>
      <c r="B11" s="441">
        <v>169180</v>
      </c>
      <c r="C11" s="441">
        <v>0</v>
      </c>
      <c r="D11" s="441">
        <v>0</v>
      </c>
      <c r="E11" s="441">
        <v>0</v>
      </c>
      <c r="F11" s="470">
        <f t="shared" si="0"/>
        <v>169180</v>
      </c>
    </row>
    <row r="12" spans="1:6" ht="18" customHeight="1">
      <c r="A12" s="420" t="s">
        <v>72</v>
      </c>
      <c r="B12" s="441">
        <v>988896</v>
      </c>
      <c r="C12" s="441">
        <v>988896</v>
      </c>
      <c r="D12" s="441">
        <v>0</v>
      </c>
      <c r="E12" s="441">
        <v>0</v>
      </c>
      <c r="F12" s="470">
        <f t="shared" si="0"/>
        <v>0</v>
      </c>
    </row>
    <row r="13" spans="1:6" ht="18" customHeight="1">
      <c r="A13" s="420" t="s">
        <v>215</v>
      </c>
      <c r="B13" s="441">
        <v>0</v>
      </c>
      <c r="C13" s="441">
        <v>0</v>
      </c>
      <c r="D13" s="441">
        <v>0</v>
      </c>
      <c r="E13" s="441">
        <v>0</v>
      </c>
      <c r="F13" s="470">
        <f t="shared" si="0"/>
        <v>0</v>
      </c>
    </row>
    <row r="14" spans="1:6" ht="18" customHeight="1">
      <c r="A14" s="420" t="s">
        <v>73</v>
      </c>
      <c r="B14" s="441">
        <v>126782</v>
      </c>
      <c r="C14" s="441">
        <v>126782</v>
      </c>
      <c r="D14" s="441">
        <v>0</v>
      </c>
      <c r="E14" s="441">
        <v>0</v>
      </c>
      <c r="F14" s="470">
        <f t="shared" si="0"/>
        <v>0</v>
      </c>
    </row>
    <row r="15" spans="1:6" ht="18" customHeight="1">
      <c r="A15" s="420" t="s">
        <v>131</v>
      </c>
      <c r="B15" s="441">
        <v>2611699</v>
      </c>
      <c r="C15" s="441">
        <v>2611699</v>
      </c>
      <c r="D15" s="441">
        <v>0</v>
      </c>
      <c r="E15" s="441">
        <v>0</v>
      </c>
      <c r="F15" s="470">
        <f t="shared" si="0"/>
        <v>0</v>
      </c>
    </row>
    <row r="16" spans="1:6" ht="18" customHeight="1">
      <c r="A16" s="420" t="s">
        <v>76</v>
      </c>
      <c r="B16" s="441">
        <v>0</v>
      </c>
      <c r="C16" s="441">
        <v>0</v>
      </c>
      <c r="D16" s="441">
        <v>0</v>
      </c>
      <c r="E16" s="441">
        <v>0</v>
      </c>
      <c r="F16" s="470">
        <f t="shared" si="0"/>
        <v>0</v>
      </c>
    </row>
    <row r="17" spans="1:6" ht="18" customHeight="1">
      <c r="A17" s="420" t="s">
        <v>77</v>
      </c>
      <c r="B17" s="441">
        <v>371892</v>
      </c>
      <c r="C17" s="441">
        <v>371892</v>
      </c>
      <c r="D17" s="441">
        <v>0</v>
      </c>
      <c r="E17" s="441">
        <v>0</v>
      </c>
      <c r="F17" s="470">
        <f t="shared" si="0"/>
        <v>0</v>
      </c>
    </row>
    <row r="18" spans="1:6" ht="18" customHeight="1">
      <c r="A18" s="420" t="s">
        <v>78</v>
      </c>
      <c r="B18" s="441">
        <v>583195</v>
      </c>
      <c r="C18" s="441">
        <v>583195</v>
      </c>
      <c r="D18" s="441">
        <v>0</v>
      </c>
      <c r="E18" s="441">
        <v>0</v>
      </c>
      <c r="F18" s="470">
        <f t="shared" si="0"/>
        <v>0</v>
      </c>
    </row>
    <row r="19" spans="1:6" ht="18" customHeight="1">
      <c r="A19" s="420" t="s">
        <v>79</v>
      </c>
      <c r="B19" s="441">
        <v>0</v>
      </c>
      <c r="C19" s="441">
        <v>0</v>
      </c>
      <c r="D19" s="441">
        <v>0</v>
      </c>
      <c r="E19" s="441">
        <v>0</v>
      </c>
      <c r="F19" s="470">
        <f t="shared" si="0"/>
        <v>0</v>
      </c>
    </row>
    <row r="20" spans="1:6" ht="18" customHeight="1">
      <c r="A20" s="420" t="s">
        <v>80</v>
      </c>
      <c r="B20" s="441">
        <v>431057</v>
      </c>
      <c r="C20" s="441">
        <v>431057</v>
      </c>
      <c r="D20" s="441">
        <v>0</v>
      </c>
      <c r="E20" s="441">
        <v>0</v>
      </c>
      <c r="F20" s="470">
        <f t="shared" si="0"/>
        <v>0</v>
      </c>
    </row>
    <row r="21" spans="1:6" ht="18" customHeight="1">
      <c r="A21" s="420" t="s">
        <v>81</v>
      </c>
      <c r="B21" s="441">
        <v>5282564</v>
      </c>
      <c r="C21" s="441">
        <v>5282564</v>
      </c>
      <c r="D21" s="441">
        <v>0</v>
      </c>
      <c r="E21" s="441">
        <v>0</v>
      </c>
      <c r="F21" s="470">
        <f t="shared" si="0"/>
        <v>0</v>
      </c>
    </row>
    <row r="22" spans="1:6" ht="18" customHeight="1">
      <c r="A22" s="420" t="s">
        <v>216</v>
      </c>
      <c r="B22" s="441">
        <v>0</v>
      </c>
      <c r="C22" s="441">
        <v>0</v>
      </c>
      <c r="D22" s="441">
        <v>0</v>
      </c>
      <c r="E22" s="441">
        <v>0</v>
      </c>
      <c r="F22" s="470">
        <f t="shared" si="0"/>
        <v>0</v>
      </c>
    </row>
    <row r="23" spans="1:6" ht="18" customHeight="1">
      <c r="A23" s="420" t="s">
        <v>82</v>
      </c>
      <c r="B23" s="441">
        <v>7911167</v>
      </c>
      <c r="C23" s="441">
        <v>7892789</v>
      </c>
      <c r="D23" s="441">
        <v>18378</v>
      </c>
      <c r="E23" s="441">
        <v>0</v>
      </c>
      <c r="F23" s="470">
        <f t="shared" si="0"/>
        <v>0</v>
      </c>
    </row>
    <row r="24" spans="1:6" ht="18" customHeight="1">
      <c r="A24" s="420" t="s">
        <v>83</v>
      </c>
      <c r="B24" s="441">
        <v>338084</v>
      </c>
      <c r="C24" s="441">
        <v>338084</v>
      </c>
      <c r="D24" s="441">
        <v>0</v>
      </c>
      <c r="E24" s="441">
        <v>0</v>
      </c>
      <c r="F24" s="470">
        <f t="shared" si="0"/>
        <v>0</v>
      </c>
    </row>
    <row r="25" spans="1:6" ht="18" customHeight="1">
      <c r="A25" s="420" t="s">
        <v>85</v>
      </c>
      <c r="B25" s="441">
        <v>177494</v>
      </c>
      <c r="C25" s="441">
        <v>177494</v>
      </c>
      <c r="D25" s="441">
        <v>0</v>
      </c>
      <c r="E25" s="441">
        <v>0</v>
      </c>
      <c r="F25" s="470">
        <f t="shared" si="0"/>
        <v>0</v>
      </c>
    </row>
    <row r="26" spans="1:6" ht="18" customHeight="1">
      <c r="A26" s="420" t="s">
        <v>86</v>
      </c>
      <c r="B26" s="441">
        <v>25356</v>
      </c>
      <c r="C26" s="441">
        <v>25356</v>
      </c>
      <c r="D26" s="441">
        <v>0</v>
      </c>
      <c r="E26" s="441">
        <v>0</v>
      </c>
      <c r="F26" s="470">
        <f t="shared" si="0"/>
        <v>0</v>
      </c>
    </row>
    <row r="27" spans="1:6" ht="18" customHeight="1">
      <c r="A27" s="420" t="s">
        <v>87</v>
      </c>
      <c r="B27" s="441">
        <v>152138</v>
      </c>
      <c r="C27" s="441">
        <v>152138</v>
      </c>
      <c r="D27" s="441">
        <v>0</v>
      </c>
      <c r="E27" s="441">
        <v>0</v>
      </c>
      <c r="F27" s="470">
        <f t="shared" si="0"/>
        <v>0</v>
      </c>
    </row>
    <row r="28" spans="1:6" ht="18" customHeight="1">
      <c r="A28" s="420" t="s">
        <v>88</v>
      </c>
      <c r="B28" s="441">
        <v>0</v>
      </c>
      <c r="C28" s="441">
        <v>0</v>
      </c>
      <c r="D28" s="441">
        <v>0</v>
      </c>
      <c r="E28" s="441">
        <v>0</v>
      </c>
      <c r="F28" s="470">
        <f t="shared" si="0"/>
        <v>0</v>
      </c>
    </row>
    <row r="29" spans="1:6" ht="18" customHeight="1">
      <c r="A29" s="420" t="s">
        <v>89</v>
      </c>
      <c r="B29" s="441">
        <v>3372389</v>
      </c>
      <c r="C29" s="441">
        <v>3372389</v>
      </c>
      <c r="D29" s="441">
        <v>0</v>
      </c>
      <c r="E29" s="441">
        <v>0</v>
      </c>
      <c r="F29" s="470">
        <f t="shared" si="0"/>
        <v>0</v>
      </c>
    </row>
    <row r="30" spans="1:6" ht="18" customHeight="1">
      <c r="A30" s="420" t="s">
        <v>90</v>
      </c>
      <c r="B30" s="441">
        <v>9618492</v>
      </c>
      <c r="C30" s="441">
        <v>9618492</v>
      </c>
      <c r="D30" s="441">
        <v>0</v>
      </c>
      <c r="E30" s="441">
        <v>0</v>
      </c>
      <c r="F30" s="470">
        <f t="shared" si="0"/>
        <v>0</v>
      </c>
    </row>
    <row r="31" spans="1:6" ht="18" customHeight="1">
      <c r="A31" s="420" t="s">
        <v>92</v>
      </c>
      <c r="B31" s="441">
        <v>0</v>
      </c>
      <c r="C31" s="441">
        <v>0</v>
      </c>
      <c r="D31" s="441">
        <v>0</v>
      </c>
      <c r="E31" s="441">
        <v>0</v>
      </c>
      <c r="F31" s="470">
        <f t="shared" si="0"/>
        <v>0</v>
      </c>
    </row>
    <row r="32" spans="1:6" ht="18" customHeight="1">
      <c r="A32" s="420" t="s">
        <v>93</v>
      </c>
      <c r="B32" s="441">
        <v>0</v>
      </c>
      <c r="C32" s="441">
        <v>0</v>
      </c>
      <c r="D32" s="441">
        <v>0</v>
      </c>
      <c r="E32" s="441">
        <v>0</v>
      </c>
      <c r="F32" s="470">
        <f t="shared" si="0"/>
        <v>0</v>
      </c>
    </row>
    <row r="33" spans="1:6" ht="18" customHeight="1">
      <c r="A33" s="420" t="s">
        <v>94</v>
      </c>
      <c r="B33" s="441">
        <v>8452</v>
      </c>
      <c r="C33" s="441">
        <v>8452</v>
      </c>
      <c r="D33" s="441">
        <v>0</v>
      </c>
      <c r="E33" s="441">
        <v>0</v>
      </c>
      <c r="F33" s="470">
        <f t="shared" si="0"/>
        <v>0</v>
      </c>
    </row>
    <row r="34" spans="1:6" ht="18" customHeight="1">
      <c r="A34" s="420" t="s">
        <v>95</v>
      </c>
      <c r="B34" s="441">
        <v>0</v>
      </c>
      <c r="C34" s="441">
        <v>0</v>
      </c>
      <c r="D34" s="441">
        <v>0</v>
      </c>
      <c r="E34" s="441">
        <v>0</v>
      </c>
      <c r="F34" s="470">
        <f t="shared" si="0"/>
        <v>0</v>
      </c>
    </row>
    <row r="35" spans="1:6" ht="18" customHeight="1">
      <c r="A35" s="420" t="s">
        <v>96</v>
      </c>
      <c r="B35" s="441">
        <v>50713</v>
      </c>
      <c r="C35" s="441">
        <v>50713</v>
      </c>
      <c r="D35" s="441">
        <v>0</v>
      </c>
      <c r="E35" s="441">
        <v>0</v>
      </c>
      <c r="F35" s="470">
        <f t="shared" si="0"/>
        <v>0</v>
      </c>
    </row>
    <row r="36" spans="1:6" ht="18" customHeight="1">
      <c r="A36" s="420" t="s">
        <v>97</v>
      </c>
      <c r="B36" s="441">
        <v>8452</v>
      </c>
      <c r="C36" s="441">
        <v>8452</v>
      </c>
      <c r="D36" s="441">
        <v>0</v>
      </c>
      <c r="E36" s="441">
        <v>0</v>
      </c>
      <c r="F36" s="470">
        <f t="shared" si="0"/>
        <v>0</v>
      </c>
    </row>
    <row r="37" spans="1:6" ht="18" customHeight="1">
      <c r="A37" s="420" t="s">
        <v>98</v>
      </c>
      <c r="B37" s="441">
        <v>0</v>
      </c>
      <c r="C37" s="441">
        <v>0</v>
      </c>
      <c r="D37" s="441">
        <v>0</v>
      </c>
      <c r="E37" s="441">
        <v>0</v>
      </c>
      <c r="F37" s="470">
        <f t="shared" si="0"/>
        <v>0</v>
      </c>
    </row>
    <row r="38" spans="1:6" ht="18" customHeight="1">
      <c r="A38" s="420" t="s">
        <v>99</v>
      </c>
      <c r="B38" s="441">
        <v>1394597</v>
      </c>
      <c r="C38" s="441">
        <v>1394597</v>
      </c>
      <c r="D38" s="441">
        <v>0</v>
      </c>
      <c r="E38" s="441">
        <v>0</v>
      </c>
      <c r="F38" s="470">
        <f t="shared" si="0"/>
        <v>0</v>
      </c>
    </row>
    <row r="39" spans="1:6" ht="18" customHeight="1">
      <c r="A39" s="420" t="s">
        <v>100</v>
      </c>
      <c r="B39" s="441">
        <v>202850</v>
      </c>
      <c r="C39" s="441">
        <v>202850</v>
      </c>
      <c r="D39" s="441">
        <v>0</v>
      </c>
      <c r="E39" s="441">
        <v>0</v>
      </c>
      <c r="F39" s="470">
        <f t="shared" si="0"/>
        <v>0</v>
      </c>
    </row>
    <row r="40" spans="1:6" ht="18" customHeight="1">
      <c r="A40" s="420" t="s">
        <v>101</v>
      </c>
      <c r="B40" s="441">
        <v>464866</v>
      </c>
      <c r="C40" s="441">
        <v>464866</v>
      </c>
      <c r="D40" s="441">
        <v>0</v>
      </c>
      <c r="E40" s="441">
        <v>0</v>
      </c>
      <c r="F40" s="470">
        <f t="shared" si="0"/>
        <v>0</v>
      </c>
    </row>
    <row r="41" spans="1:6" ht="18" customHeight="1">
      <c r="A41" s="420" t="s">
        <v>102</v>
      </c>
      <c r="B41" s="441">
        <v>0</v>
      </c>
      <c r="C41" s="441">
        <v>0</v>
      </c>
      <c r="D41" s="441">
        <v>0</v>
      </c>
      <c r="E41" s="441">
        <v>0</v>
      </c>
      <c r="F41" s="470">
        <f t="shared" si="0"/>
        <v>0</v>
      </c>
    </row>
    <row r="42" spans="1:6" ht="18" customHeight="1">
      <c r="A42" s="420" t="s">
        <v>103</v>
      </c>
      <c r="B42" s="441">
        <v>473318</v>
      </c>
      <c r="C42" s="441">
        <v>473318</v>
      </c>
      <c r="D42" s="441">
        <v>0</v>
      </c>
      <c r="E42" s="441">
        <v>0</v>
      </c>
      <c r="F42" s="470">
        <f t="shared" si="0"/>
        <v>0</v>
      </c>
    </row>
    <row r="43" spans="1:6" ht="18" customHeight="1">
      <c r="A43" s="420" t="s">
        <v>104</v>
      </c>
      <c r="B43" s="441">
        <v>152138</v>
      </c>
      <c r="C43" s="441">
        <v>152138</v>
      </c>
      <c r="D43" s="441">
        <v>0</v>
      </c>
      <c r="E43" s="441">
        <v>0</v>
      </c>
      <c r="F43" s="470">
        <f t="shared" si="0"/>
        <v>0</v>
      </c>
    </row>
    <row r="44" spans="1:6" ht="18" customHeight="1">
      <c r="A44" s="420" t="s">
        <v>106</v>
      </c>
      <c r="B44" s="441">
        <v>8443650</v>
      </c>
      <c r="C44" s="441">
        <v>0</v>
      </c>
      <c r="D44" s="441">
        <v>0</v>
      </c>
      <c r="E44" s="441">
        <v>0</v>
      </c>
      <c r="F44" s="470">
        <f t="shared" si="0"/>
        <v>8443650</v>
      </c>
    </row>
    <row r="45" spans="1:6" ht="18" customHeight="1">
      <c r="A45" s="420" t="s">
        <v>108</v>
      </c>
      <c r="B45" s="441">
        <v>92973</v>
      </c>
      <c r="C45" s="441">
        <v>92973</v>
      </c>
      <c r="D45" s="441">
        <v>0</v>
      </c>
      <c r="E45" s="441">
        <v>0</v>
      </c>
      <c r="F45" s="470">
        <f t="shared" si="0"/>
        <v>0</v>
      </c>
    </row>
    <row r="46" spans="1:6" ht="18" customHeight="1">
      <c r="A46" s="438" t="s">
        <v>217</v>
      </c>
      <c r="B46" s="441">
        <v>185947</v>
      </c>
      <c r="C46" s="441">
        <v>185947</v>
      </c>
      <c r="D46" s="441">
        <v>0</v>
      </c>
      <c r="E46" s="441">
        <v>0</v>
      </c>
      <c r="F46" s="470">
        <f t="shared" si="0"/>
        <v>0</v>
      </c>
    </row>
    <row r="47" spans="1:6" ht="18" customHeight="1">
      <c r="A47" s="420" t="s">
        <v>110</v>
      </c>
      <c r="B47" s="441">
        <v>0</v>
      </c>
      <c r="C47" s="441">
        <v>0</v>
      </c>
      <c r="D47" s="441">
        <v>0</v>
      </c>
      <c r="E47" s="441">
        <v>0</v>
      </c>
      <c r="F47" s="470">
        <f t="shared" si="0"/>
        <v>0</v>
      </c>
    </row>
    <row r="48" spans="1:6" ht="18" customHeight="1">
      <c r="A48" s="420" t="s">
        <v>111</v>
      </c>
      <c r="B48" s="441">
        <v>380345</v>
      </c>
      <c r="C48" s="441">
        <v>380345</v>
      </c>
      <c r="D48" s="441">
        <v>0</v>
      </c>
      <c r="E48" s="441">
        <v>0</v>
      </c>
      <c r="F48" s="470">
        <f t="shared" si="0"/>
        <v>0</v>
      </c>
    </row>
    <row r="49" spans="1:6" ht="18" customHeight="1">
      <c r="A49" s="420" t="s">
        <v>112</v>
      </c>
      <c r="B49" s="441">
        <v>1648160</v>
      </c>
      <c r="C49" s="441">
        <v>1648160</v>
      </c>
      <c r="D49" s="441">
        <v>0</v>
      </c>
      <c r="E49" s="441">
        <v>0</v>
      </c>
      <c r="F49" s="470">
        <f t="shared" si="0"/>
        <v>0</v>
      </c>
    </row>
    <row r="50" spans="1:6" ht="18" customHeight="1">
      <c r="A50" s="420" t="s">
        <v>113</v>
      </c>
      <c r="B50" s="441">
        <v>1022704</v>
      </c>
      <c r="C50" s="441">
        <v>1022704</v>
      </c>
      <c r="D50" s="441">
        <v>0</v>
      </c>
      <c r="E50" s="441">
        <v>0</v>
      </c>
      <c r="F50" s="470">
        <f t="shared" si="0"/>
        <v>0</v>
      </c>
    </row>
    <row r="51" spans="1:6" ht="18" customHeight="1">
      <c r="A51" s="420" t="s">
        <v>114</v>
      </c>
      <c r="B51" s="441">
        <v>912827</v>
      </c>
      <c r="C51" s="441">
        <v>912827</v>
      </c>
      <c r="D51" s="441">
        <v>0</v>
      </c>
      <c r="E51" s="441">
        <v>0</v>
      </c>
      <c r="F51" s="470">
        <f t="shared" si="0"/>
        <v>0</v>
      </c>
    </row>
    <row r="52" spans="1:6" ht="18" customHeight="1">
      <c r="A52" s="420" t="s">
        <v>115</v>
      </c>
      <c r="B52" s="441">
        <v>0</v>
      </c>
      <c r="C52" s="441">
        <v>0</v>
      </c>
      <c r="D52" s="441">
        <v>0</v>
      </c>
      <c r="E52" s="441">
        <v>0</v>
      </c>
      <c r="F52" s="470">
        <f t="shared" si="0"/>
        <v>0</v>
      </c>
    </row>
    <row r="53" spans="1:6" ht="18" customHeight="1">
      <c r="A53" s="420" t="s">
        <v>187</v>
      </c>
      <c r="B53" s="441">
        <v>0</v>
      </c>
      <c r="C53" s="441">
        <v>0</v>
      </c>
      <c r="D53" s="441">
        <v>0</v>
      </c>
      <c r="E53" s="441">
        <v>0</v>
      </c>
      <c r="F53" s="470">
        <f t="shared" si="0"/>
        <v>0</v>
      </c>
    </row>
    <row r="54" spans="1:6" ht="18" customHeight="1">
      <c r="A54" s="420" t="s">
        <v>117</v>
      </c>
      <c r="B54" s="441">
        <v>640836</v>
      </c>
      <c r="C54" s="441">
        <v>1040</v>
      </c>
      <c r="D54" s="441">
        <v>0</v>
      </c>
      <c r="E54" s="441">
        <v>0</v>
      </c>
      <c r="F54" s="470">
        <f t="shared" si="0"/>
        <v>639796</v>
      </c>
    </row>
    <row r="55" spans="1:6" ht="18" customHeight="1">
      <c r="A55" s="420" t="s">
        <v>118</v>
      </c>
      <c r="B55" s="441">
        <v>160590</v>
      </c>
      <c r="C55" s="441">
        <v>160590</v>
      </c>
      <c r="D55" s="441">
        <v>0</v>
      </c>
      <c r="E55" s="441">
        <v>0</v>
      </c>
      <c r="F55" s="470">
        <f t="shared" si="0"/>
        <v>0</v>
      </c>
    </row>
    <row r="56" spans="1:6" ht="18" customHeight="1">
      <c r="A56" s="420" t="s">
        <v>119</v>
      </c>
      <c r="B56" s="441">
        <v>4107721</v>
      </c>
      <c r="C56" s="441">
        <v>4107721</v>
      </c>
      <c r="D56" s="441">
        <v>0</v>
      </c>
      <c r="E56" s="441">
        <v>0</v>
      </c>
      <c r="F56" s="470">
        <f t="shared" si="0"/>
        <v>0</v>
      </c>
    </row>
    <row r="57" spans="1:6" ht="18" customHeight="1">
      <c r="A57" s="420" t="s">
        <v>120</v>
      </c>
      <c r="B57" s="441">
        <v>18333333</v>
      </c>
      <c r="C57" s="441">
        <v>15440333</v>
      </c>
      <c r="D57" s="441">
        <v>2893000</v>
      </c>
      <c r="E57" s="441">
        <v>0</v>
      </c>
      <c r="F57" s="470">
        <f t="shared" si="0"/>
        <v>0</v>
      </c>
    </row>
    <row r="58" spans="1:6" ht="18" customHeight="1" thickBot="1">
      <c r="A58" s="426" t="s">
        <v>121</v>
      </c>
      <c r="B58" s="441">
        <v>0</v>
      </c>
      <c r="C58" s="441">
        <v>0</v>
      </c>
      <c r="D58" s="441">
        <v>0</v>
      </c>
      <c r="E58" s="441">
        <v>0</v>
      </c>
      <c r="F58" s="470">
        <f t="shared" si="0"/>
        <v>0</v>
      </c>
    </row>
    <row r="59" spans="1:6" ht="20.25" customHeight="1" thickBot="1">
      <c r="A59" s="471" t="s">
        <v>124</v>
      </c>
      <c r="B59" s="472">
        <f>SUM(B8:B58)</f>
        <v>72797293</v>
      </c>
      <c r="C59" s="472">
        <f>SUM(C8:C58)</f>
        <v>60593998</v>
      </c>
      <c r="D59" s="472">
        <f>SUM(D8:D58)</f>
        <v>2950669</v>
      </c>
      <c r="E59" s="472">
        <f>SUM(E8:E58)</f>
        <v>0</v>
      </c>
      <c r="F59" s="473">
        <f>SUM(F8:F58)</f>
        <v>9252626</v>
      </c>
    </row>
    <row r="60" spans="1:6" ht="15.75" customHeight="1">
      <c r="A60" s="476"/>
      <c r="B60" s="476" t="s">
        <v>126</v>
      </c>
      <c r="C60" s="476" t="s">
        <v>126</v>
      </c>
      <c r="D60" s="476" t="s">
        <v>126</v>
      </c>
      <c r="E60" s="476" t="s">
        <v>126</v>
      </c>
      <c r="F60" s="476" t="s">
        <v>126</v>
      </c>
    </row>
    <row r="61" spans="1:6" ht="15.75" customHeight="1">
      <c r="F61" s="7"/>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44702-5E4B-46AE-9AD2-6A3C4D6CB63E}">
  <dimension ref="A1:H63"/>
  <sheetViews>
    <sheetView topLeftCell="A40" workbookViewId="0">
      <selection activeCell="F3" sqref="F3"/>
    </sheetView>
  </sheetViews>
  <sheetFormatPr defaultColWidth="9.7265625" defaultRowHeight="15.5"/>
  <cols>
    <col min="1" max="1" width="27" style="1" customWidth="1"/>
    <col min="2" max="6" width="17.26953125" style="1" customWidth="1"/>
    <col min="7" max="16384" width="9.7265625" style="469"/>
  </cols>
  <sheetData>
    <row r="1" spans="1:8" s="1" customFormat="1" ht="16.5" customHeight="1">
      <c r="A1" s="389"/>
      <c r="B1" s="355"/>
      <c r="F1" s="380" t="str">
        <f>Status!C1</f>
        <v>UNEP/OzL.Pro/ExCom/94/3</v>
      </c>
    </row>
    <row r="2" spans="1:8" s="1" customFormat="1" ht="16.5" customHeight="1">
      <c r="A2" s="389"/>
      <c r="B2" s="22"/>
      <c r="F2" s="380" t="s">
        <v>251</v>
      </c>
    </row>
    <row r="3" spans="1:8" s="1" customFormat="1" ht="16.5" customHeight="1">
      <c r="B3" s="22"/>
      <c r="F3" s="380"/>
    </row>
    <row r="4" spans="1:8" s="1" customFormat="1" ht="20.25" customHeight="1">
      <c r="A4" s="381" t="s">
        <v>2</v>
      </c>
      <c r="B4" s="381"/>
      <c r="C4" s="381"/>
      <c r="D4" s="381"/>
      <c r="E4" s="381"/>
      <c r="F4" s="381"/>
    </row>
    <row r="5" spans="1:8" s="1" customFormat="1" ht="20.25" customHeight="1">
      <c r="A5" s="382" t="s">
        <v>239</v>
      </c>
      <c r="B5" s="381"/>
      <c r="C5" s="381"/>
      <c r="D5" s="381"/>
      <c r="E5" s="381"/>
      <c r="F5" s="381"/>
    </row>
    <row r="6" spans="1:8" s="1" customFormat="1" ht="30" customHeight="1" thickBot="1">
      <c r="A6" s="383" t="str">
        <f>Status!A6</f>
        <v>As at 24/05/2024</v>
      </c>
      <c r="B6" s="381"/>
      <c r="C6" s="381"/>
      <c r="D6" s="381"/>
      <c r="E6" s="381"/>
      <c r="F6" s="381"/>
    </row>
    <row r="7" spans="1:8" s="1" customFormat="1" ht="35.25" customHeight="1" thickBot="1">
      <c r="A7" s="358" t="s">
        <v>60</v>
      </c>
      <c r="B7" s="359" t="s">
        <v>61</v>
      </c>
      <c r="C7" s="359" t="s">
        <v>62</v>
      </c>
      <c r="D7" s="359" t="s">
        <v>63</v>
      </c>
      <c r="E7" s="359" t="s">
        <v>64</v>
      </c>
      <c r="F7" s="384" t="s">
        <v>65</v>
      </c>
    </row>
    <row r="8" spans="1:8" ht="18" customHeight="1">
      <c r="A8" s="438" t="s">
        <v>130</v>
      </c>
      <c r="B8" s="467">
        <v>985407</v>
      </c>
      <c r="C8" s="467">
        <v>985407</v>
      </c>
      <c r="D8" s="467">
        <v>0</v>
      </c>
      <c r="E8" s="467">
        <v>0</v>
      </c>
      <c r="F8" s="468">
        <f t="shared" ref="F8:F58" si="0">B8-C8-D8-E8</f>
        <v>0</v>
      </c>
    </row>
    <row r="9" spans="1:8" ht="18" customHeight="1">
      <c r="A9" s="420" t="s">
        <v>223</v>
      </c>
      <c r="B9" s="441">
        <v>464459</v>
      </c>
      <c r="C9" s="441">
        <v>464459</v>
      </c>
      <c r="D9" s="441">
        <v>0</v>
      </c>
      <c r="E9" s="441">
        <v>0</v>
      </c>
      <c r="F9" s="470">
        <f t="shared" si="0"/>
        <v>0</v>
      </c>
    </row>
    <row r="10" spans="1:8" ht="18" customHeight="1">
      <c r="A10" s="423" t="s">
        <v>70</v>
      </c>
      <c r="B10" s="441">
        <v>0</v>
      </c>
      <c r="C10" s="441">
        <v>0</v>
      </c>
      <c r="D10" s="441">
        <v>0</v>
      </c>
      <c r="E10" s="441">
        <v>0</v>
      </c>
      <c r="F10" s="470">
        <f t="shared" si="0"/>
        <v>0</v>
      </c>
    </row>
    <row r="11" spans="1:8" ht="18" customHeight="1">
      <c r="A11" s="420" t="s">
        <v>71</v>
      </c>
      <c r="B11" s="441">
        <v>207124</v>
      </c>
      <c r="C11" s="441">
        <v>100000</v>
      </c>
      <c r="D11" s="441">
        <v>0</v>
      </c>
      <c r="E11" s="441">
        <v>0</v>
      </c>
      <c r="F11" s="470">
        <f t="shared" si="0"/>
        <v>107124</v>
      </c>
    </row>
    <row r="12" spans="1:8" ht="18" customHeight="1">
      <c r="A12" s="420" t="s">
        <v>72</v>
      </c>
      <c r="B12" s="441">
        <v>734348</v>
      </c>
      <c r="C12" s="441">
        <v>734348</v>
      </c>
      <c r="D12" s="441">
        <v>0</v>
      </c>
      <c r="E12" s="441">
        <v>0</v>
      </c>
      <c r="F12" s="470">
        <f t="shared" si="0"/>
        <v>0</v>
      </c>
    </row>
    <row r="13" spans="1:8" ht="18" customHeight="1">
      <c r="A13" s="420" t="s">
        <v>215</v>
      </c>
      <c r="B13" s="441">
        <v>0</v>
      </c>
      <c r="C13" s="441">
        <v>0</v>
      </c>
      <c r="D13" s="441">
        <v>0</v>
      </c>
      <c r="E13" s="441">
        <v>0</v>
      </c>
      <c r="F13" s="470">
        <f t="shared" si="0"/>
        <v>0</v>
      </c>
    </row>
    <row r="14" spans="1:8" ht="18" customHeight="1">
      <c r="A14" s="420" t="s">
        <v>73</v>
      </c>
      <c r="B14" s="441">
        <v>0</v>
      </c>
      <c r="C14" s="441">
        <v>0</v>
      </c>
      <c r="D14" s="441">
        <v>0</v>
      </c>
      <c r="E14" s="441">
        <v>0</v>
      </c>
      <c r="F14" s="470">
        <f t="shared" si="0"/>
        <v>0</v>
      </c>
    </row>
    <row r="15" spans="1:8" ht="18" customHeight="1">
      <c r="A15" s="420" t="s">
        <v>131</v>
      </c>
      <c r="B15" s="441">
        <v>1939432</v>
      </c>
      <c r="C15" s="441">
        <v>1939432</v>
      </c>
      <c r="D15" s="441">
        <v>0</v>
      </c>
      <c r="E15" s="441">
        <v>0</v>
      </c>
      <c r="F15" s="470">
        <f t="shared" si="0"/>
        <v>0</v>
      </c>
      <c r="H15" s="441">
        <f>1939432+'YR1992'!C15+'YR1993'!C15</f>
        <v>8078835</v>
      </c>
    </row>
    <row r="16" spans="1:8" ht="18" customHeight="1">
      <c r="A16" s="420" t="s">
        <v>76</v>
      </c>
      <c r="B16" s="441">
        <v>0</v>
      </c>
      <c r="C16" s="441">
        <v>0</v>
      </c>
      <c r="D16" s="441">
        <v>0</v>
      </c>
      <c r="E16" s="441">
        <v>0</v>
      </c>
      <c r="F16" s="470">
        <f t="shared" si="0"/>
        <v>0</v>
      </c>
    </row>
    <row r="17" spans="1:6" ht="18" customHeight="1">
      <c r="A17" s="420" t="s">
        <v>77</v>
      </c>
      <c r="B17" s="441">
        <v>0</v>
      </c>
      <c r="C17" s="441">
        <v>0</v>
      </c>
      <c r="D17" s="441">
        <v>0</v>
      </c>
      <c r="E17" s="441">
        <v>0</v>
      </c>
      <c r="F17" s="470">
        <f t="shared" si="0"/>
        <v>0</v>
      </c>
    </row>
    <row r="18" spans="1:6" ht="18" customHeight="1">
      <c r="A18" s="420" t="s">
        <v>78</v>
      </c>
      <c r="B18" s="441">
        <v>433077</v>
      </c>
      <c r="C18" s="441">
        <v>433077</v>
      </c>
      <c r="D18" s="441">
        <v>0</v>
      </c>
      <c r="E18" s="441">
        <v>0</v>
      </c>
      <c r="F18" s="470">
        <f t="shared" si="0"/>
        <v>0</v>
      </c>
    </row>
    <row r="19" spans="1:6" ht="18" customHeight="1">
      <c r="A19" s="420" t="s">
        <v>79</v>
      </c>
      <c r="B19" s="441">
        <v>0</v>
      </c>
      <c r="C19" s="441">
        <v>0</v>
      </c>
      <c r="D19" s="441">
        <v>0</v>
      </c>
      <c r="E19" s="441">
        <v>0</v>
      </c>
      <c r="F19" s="470">
        <f t="shared" si="0"/>
        <v>0</v>
      </c>
    </row>
    <row r="20" spans="1:6" ht="18" customHeight="1">
      <c r="A20" s="420" t="s">
        <v>80</v>
      </c>
      <c r="B20" s="441">
        <v>320100</v>
      </c>
      <c r="C20" s="441">
        <v>320100</v>
      </c>
      <c r="D20" s="441">
        <v>0</v>
      </c>
      <c r="E20" s="441">
        <v>0</v>
      </c>
      <c r="F20" s="470">
        <f t="shared" si="0"/>
        <v>0</v>
      </c>
    </row>
    <row r="21" spans="1:6" ht="18" customHeight="1">
      <c r="A21" s="420" t="s">
        <v>81</v>
      </c>
      <c r="B21" s="441">
        <v>3922799</v>
      </c>
      <c r="C21" s="441">
        <v>3922799</v>
      </c>
      <c r="D21" s="441">
        <v>0</v>
      </c>
      <c r="E21" s="441">
        <v>0</v>
      </c>
      <c r="F21" s="470">
        <f t="shared" si="0"/>
        <v>0</v>
      </c>
    </row>
    <row r="22" spans="1:6" ht="18" customHeight="1">
      <c r="A22" s="420" t="s">
        <v>216</v>
      </c>
      <c r="B22" s="441">
        <v>0</v>
      </c>
      <c r="C22" s="441">
        <v>0</v>
      </c>
      <c r="D22" s="441">
        <v>0</v>
      </c>
      <c r="E22" s="441">
        <v>0</v>
      </c>
      <c r="F22" s="470">
        <f t="shared" si="0"/>
        <v>0</v>
      </c>
    </row>
    <row r="23" spans="1:6" ht="18" customHeight="1">
      <c r="A23" s="420" t="s">
        <v>82</v>
      </c>
      <c r="B23" s="441">
        <v>5874784</v>
      </c>
      <c r="C23" s="441">
        <v>5874784</v>
      </c>
      <c r="D23" s="441">
        <v>0</v>
      </c>
      <c r="E23" s="441">
        <v>0</v>
      </c>
      <c r="F23" s="470">
        <f t="shared" si="0"/>
        <v>0</v>
      </c>
    </row>
    <row r="24" spans="1:6" ht="18" customHeight="1">
      <c r="A24" s="420" t="s">
        <v>83</v>
      </c>
      <c r="B24" s="441">
        <v>251059</v>
      </c>
      <c r="C24" s="441">
        <v>251059</v>
      </c>
      <c r="D24" s="441">
        <v>0</v>
      </c>
      <c r="E24" s="441">
        <v>0</v>
      </c>
      <c r="F24" s="470">
        <f t="shared" si="0"/>
        <v>0</v>
      </c>
    </row>
    <row r="25" spans="1:6" ht="18" customHeight="1">
      <c r="A25" s="420" t="s">
        <v>85</v>
      </c>
      <c r="B25" s="441">
        <v>131806</v>
      </c>
      <c r="C25" s="441">
        <v>131806</v>
      </c>
      <c r="D25" s="441">
        <v>0</v>
      </c>
      <c r="E25" s="441">
        <v>0</v>
      </c>
      <c r="F25" s="470">
        <f t="shared" si="0"/>
        <v>0</v>
      </c>
    </row>
    <row r="26" spans="1:6" ht="18" customHeight="1">
      <c r="A26" s="420" t="s">
        <v>86</v>
      </c>
      <c r="B26" s="441">
        <v>18829</v>
      </c>
      <c r="C26" s="441">
        <v>18829</v>
      </c>
      <c r="D26" s="441">
        <v>0</v>
      </c>
      <c r="E26" s="441">
        <v>0</v>
      </c>
      <c r="F26" s="470">
        <f t="shared" si="0"/>
        <v>0</v>
      </c>
    </row>
    <row r="27" spans="1:6" ht="18" customHeight="1">
      <c r="A27" s="420" t="s">
        <v>87</v>
      </c>
      <c r="B27" s="441">
        <v>112977</v>
      </c>
      <c r="C27" s="441">
        <v>112977</v>
      </c>
      <c r="D27" s="441">
        <v>0</v>
      </c>
      <c r="E27" s="441">
        <v>0</v>
      </c>
      <c r="F27" s="470">
        <f t="shared" si="0"/>
        <v>0</v>
      </c>
    </row>
    <row r="28" spans="1:6" ht="18" customHeight="1">
      <c r="A28" s="420" t="s">
        <v>88</v>
      </c>
      <c r="B28" s="441">
        <v>0</v>
      </c>
      <c r="C28" s="441">
        <v>0</v>
      </c>
      <c r="D28" s="441">
        <v>0</v>
      </c>
      <c r="E28" s="441">
        <v>0</v>
      </c>
      <c r="F28" s="470">
        <f t="shared" si="0"/>
        <v>0</v>
      </c>
    </row>
    <row r="29" spans="1:6" ht="18" customHeight="1">
      <c r="A29" s="420" t="s">
        <v>89</v>
      </c>
      <c r="B29" s="441">
        <v>2504315</v>
      </c>
      <c r="C29" s="441">
        <v>2504315</v>
      </c>
      <c r="D29" s="441">
        <v>0</v>
      </c>
      <c r="E29" s="441">
        <v>0</v>
      </c>
      <c r="F29" s="470">
        <f t="shared" si="0"/>
        <v>0</v>
      </c>
    </row>
    <row r="30" spans="1:6" ht="18" customHeight="1">
      <c r="A30" s="420" t="s">
        <v>90</v>
      </c>
      <c r="B30" s="441">
        <v>7142633</v>
      </c>
      <c r="C30" s="441">
        <v>7142633</v>
      </c>
      <c r="D30" s="441">
        <v>0</v>
      </c>
      <c r="E30" s="441">
        <v>0</v>
      </c>
      <c r="F30" s="470">
        <f t="shared" si="0"/>
        <v>0</v>
      </c>
    </row>
    <row r="31" spans="1:6" ht="18" customHeight="1">
      <c r="A31" s="420" t="s">
        <v>92</v>
      </c>
      <c r="B31" s="441">
        <v>0</v>
      </c>
      <c r="C31" s="441">
        <v>0</v>
      </c>
      <c r="D31" s="441">
        <v>0</v>
      </c>
      <c r="E31" s="441">
        <v>0</v>
      </c>
      <c r="F31" s="470">
        <f t="shared" si="0"/>
        <v>0</v>
      </c>
    </row>
    <row r="32" spans="1:6" ht="18" customHeight="1">
      <c r="A32" s="420" t="s">
        <v>93</v>
      </c>
      <c r="B32" s="441">
        <v>0</v>
      </c>
      <c r="C32" s="441">
        <v>0</v>
      </c>
      <c r="D32" s="441">
        <v>0</v>
      </c>
      <c r="E32" s="441">
        <v>0</v>
      </c>
      <c r="F32" s="470">
        <f t="shared" si="0"/>
        <v>0</v>
      </c>
    </row>
    <row r="33" spans="1:6" ht="18" customHeight="1">
      <c r="A33" s="420" t="s">
        <v>94</v>
      </c>
      <c r="B33" s="441">
        <v>6276</v>
      </c>
      <c r="C33" s="441">
        <v>6276</v>
      </c>
      <c r="D33" s="441">
        <v>0</v>
      </c>
      <c r="E33" s="441">
        <v>0</v>
      </c>
      <c r="F33" s="470">
        <f t="shared" si="0"/>
        <v>0</v>
      </c>
    </row>
    <row r="34" spans="1:6" ht="18" customHeight="1">
      <c r="A34" s="420" t="s">
        <v>95</v>
      </c>
      <c r="B34" s="441">
        <v>0</v>
      </c>
      <c r="C34" s="441">
        <v>0</v>
      </c>
      <c r="D34" s="441">
        <v>0</v>
      </c>
      <c r="E34" s="441">
        <v>0</v>
      </c>
      <c r="F34" s="470">
        <f t="shared" si="0"/>
        <v>0</v>
      </c>
    </row>
    <row r="35" spans="1:6" ht="18" customHeight="1">
      <c r="A35" s="420" t="s">
        <v>96</v>
      </c>
      <c r="B35" s="441">
        <v>37659</v>
      </c>
      <c r="C35" s="441">
        <v>37659</v>
      </c>
      <c r="D35" s="441">
        <v>0</v>
      </c>
      <c r="E35" s="441">
        <v>0</v>
      </c>
      <c r="F35" s="470">
        <f t="shared" si="0"/>
        <v>0</v>
      </c>
    </row>
    <row r="36" spans="1:6" ht="18" customHeight="1">
      <c r="A36" s="420" t="s">
        <v>97</v>
      </c>
      <c r="B36" s="441">
        <v>6276</v>
      </c>
      <c r="C36" s="441">
        <v>6276</v>
      </c>
      <c r="D36" s="441">
        <v>0</v>
      </c>
      <c r="E36" s="441">
        <v>0</v>
      </c>
      <c r="F36" s="470">
        <f t="shared" si="0"/>
        <v>0</v>
      </c>
    </row>
    <row r="37" spans="1:6" ht="18" customHeight="1">
      <c r="A37" s="420" t="s">
        <v>98</v>
      </c>
      <c r="B37" s="441">
        <v>0</v>
      </c>
      <c r="C37" s="441">
        <v>0</v>
      </c>
      <c r="D37" s="441">
        <v>0</v>
      </c>
      <c r="E37" s="441">
        <v>0</v>
      </c>
      <c r="F37" s="470">
        <f t="shared" si="0"/>
        <v>0</v>
      </c>
    </row>
    <row r="38" spans="1:6" ht="18" customHeight="1">
      <c r="A38" s="420" t="s">
        <v>99</v>
      </c>
      <c r="B38" s="441">
        <v>1035619</v>
      </c>
      <c r="C38" s="441">
        <v>1035619</v>
      </c>
      <c r="D38" s="441">
        <v>0</v>
      </c>
      <c r="E38" s="441">
        <v>0</v>
      </c>
      <c r="F38" s="470">
        <f t="shared" si="0"/>
        <v>0</v>
      </c>
    </row>
    <row r="39" spans="1:6" ht="18" customHeight="1">
      <c r="A39" s="420" t="s">
        <v>100</v>
      </c>
      <c r="B39" s="441">
        <v>150635</v>
      </c>
      <c r="C39" s="441">
        <v>150635</v>
      </c>
      <c r="D39" s="441">
        <v>0</v>
      </c>
      <c r="E39" s="441">
        <v>0</v>
      </c>
      <c r="F39" s="470">
        <f t="shared" si="0"/>
        <v>0</v>
      </c>
    </row>
    <row r="40" spans="1:6" ht="18" customHeight="1">
      <c r="A40" s="420" t="s">
        <v>101</v>
      </c>
      <c r="B40" s="441">
        <v>345206</v>
      </c>
      <c r="C40" s="441">
        <v>345206</v>
      </c>
      <c r="D40" s="441">
        <v>0</v>
      </c>
      <c r="E40" s="441">
        <v>0</v>
      </c>
      <c r="F40" s="470">
        <f t="shared" si="0"/>
        <v>0</v>
      </c>
    </row>
    <row r="41" spans="1:6" ht="18" customHeight="1">
      <c r="A41" s="420" t="s">
        <v>102</v>
      </c>
      <c r="B41" s="441">
        <v>0</v>
      </c>
      <c r="C41" s="441">
        <v>0</v>
      </c>
      <c r="D41" s="441">
        <v>0</v>
      </c>
      <c r="E41" s="441">
        <v>0</v>
      </c>
      <c r="F41" s="470">
        <f t="shared" si="0"/>
        <v>0</v>
      </c>
    </row>
    <row r="42" spans="1:6" ht="18" customHeight="1">
      <c r="A42" s="420" t="s">
        <v>103</v>
      </c>
      <c r="B42" s="441">
        <v>0</v>
      </c>
      <c r="C42" s="441">
        <v>0</v>
      </c>
      <c r="D42" s="441">
        <v>0</v>
      </c>
      <c r="E42" s="441">
        <v>0</v>
      </c>
      <c r="F42" s="470">
        <f t="shared" si="0"/>
        <v>0</v>
      </c>
    </row>
    <row r="43" spans="1:6" ht="18" customHeight="1">
      <c r="A43" s="420" t="s">
        <v>104</v>
      </c>
      <c r="B43" s="441">
        <v>112977</v>
      </c>
      <c r="C43" s="441">
        <v>112977</v>
      </c>
      <c r="D43" s="441">
        <v>0</v>
      </c>
      <c r="E43" s="441">
        <v>0</v>
      </c>
      <c r="F43" s="470">
        <f t="shared" si="0"/>
        <v>0</v>
      </c>
    </row>
    <row r="44" spans="1:6" ht="18" customHeight="1">
      <c r="A44" s="420" t="s">
        <v>106</v>
      </c>
      <c r="B44" s="441">
        <v>6270202</v>
      </c>
      <c r="C44" s="441">
        <v>0</v>
      </c>
      <c r="D44" s="441">
        <v>0</v>
      </c>
      <c r="E44" s="441">
        <v>0</v>
      </c>
      <c r="F44" s="470">
        <f t="shared" si="0"/>
        <v>6270202</v>
      </c>
    </row>
    <row r="45" spans="1:6" ht="18" customHeight="1">
      <c r="A45" s="420" t="s">
        <v>108</v>
      </c>
      <c r="B45" s="441">
        <v>69041</v>
      </c>
      <c r="C45" s="441">
        <v>69041</v>
      </c>
      <c r="D45" s="441">
        <v>0</v>
      </c>
      <c r="E45" s="441">
        <v>0</v>
      </c>
      <c r="F45" s="470">
        <f t="shared" si="0"/>
        <v>0</v>
      </c>
    </row>
    <row r="46" spans="1:6" ht="18" customHeight="1">
      <c r="A46" s="438" t="s">
        <v>217</v>
      </c>
      <c r="B46" s="441">
        <v>0</v>
      </c>
      <c r="C46" s="441">
        <v>0</v>
      </c>
      <c r="D46" s="441">
        <v>0</v>
      </c>
      <c r="E46" s="441">
        <v>0</v>
      </c>
      <c r="F46" s="470">
        <f t="shared" si="0"/>
        <v>0</v>
      </c>
    </row>
    <row r="47" spans="1:6" ht="18" customHeight="1">
      <c r="A47" s="420" t="s">
        <v>110</v>
      </c>
      <c r="B47" s="441">
        <v>0</v>
      </c>
      <c r="C47" s="441">
        <v>0</v>
      </c>
      <c r="D47" s="441">
        <v>0</v>
      </c>
      <c r="E47" s="441">
        <v>0</v>
      </c>
      <c r="F47" s="470">
        <f t="shared" si="0"/>
        <v>0</v>
      </c>
    </row>
    <row r="48" spans="1:6" ht="18" customHeight="1">
      <c r="A48" s="420" t="s">
        <v>111</v>
      </c>
      <c r="B48" s="441">
        <v>282442</v>
      </c>
      <c r="C48" s="441">
        <v>282442</v>
      </c>
      <c r="D48" s="441">
        <v>0</v>
      </c>
      <c r="E48" s="441">
        <v>0</v>
      </c>
      <c r="F48" s="470">
        <f t="shared" si="0"/>
        <v>0</v>
      </c>
    </row>
    <row r="49" spans="1:6" ht="18" customHeight="1">
      <c r="A49" s="420" t="s">
        <v>112</v>
      </c>
      <c r="B49" s="441">
        <v>1223913</v>
      </c>
      <c r="C49" s="441">
        <v>1223913</v>
      </c>
      <c r="D49" s="441">
        <v>0</v>
      </c>
      <c r="E49" s="441">
        <v>0</v>
      </c>
      <c r="F49" s="470">
        <f t="shared" si="0"/>
        <v>0</v>
      </c>
    </row>
    <row r="50" spans="1:6" ht="18" customHeight="1">
      <c r="A50" s="420" t="s">
        <v>113</v>
      </c>
      <c r="B50" s="441">
        <v>759454</v>
      </c>
      <c r="C50" s="441">
        <v>759454</v>
      </c>
      <c r="D50" s="441">
        <v>0</v>
      </c>
      <c r="E50" s="441">
        <v>0</v>
      </c>
      <c r="F50" s="470">
        <f t="shared" si="0"/>
        <v>0</v>
      </c>
    </row>
    <row r="51" spans="1:6" ht="18" customHeight="1">
      <c r="A51" s="420" t="s">
        <v>114</v>
      </c>
      <c r="B51" s="441">
        <v>677860</v>
      </c>
      <c r="C51" s="441">
        <v>677860</v>
      </c>
      <c r="D51" s="441">
        <v>0</v>
      </c>
      <c r="E51" s="441">
        <v>0</v>
      </c>
      <c r="F51" s="470">
        <f t="shared" si="0"/>
        <v>0</v>
      </c>
    </row>
    <row r="52" spans="1:6" ht="18" customHeight="1">
      <c r="A52" s="420" t="s">
        <v>115</v>
      </c>
      <c r="B52" s="441">
        <v>0</v>
      </c>
      <c r="C52" s="441">
        <v>0</v>
      </c>
      <c r="D52" s="441">
        <v>0</v>
      </c>
      <c r="E52" s="441">
        <v>0</v>
      </c>
      <c r="F52" s="470">
        <f t="shared" si="0"/>
        <v>0</v>
      </c>
    </row>
    <row r="53" spans="1:6" ht="18" customHeight="1">
      <c r="A53" s="420" t="s">
        <v>187</v>
      </c>
      <c r="B53" s="441">
        <v>0</v>
      </c>
      <c r="C53" s="441">
        <v>0</v>
      </c>
      <c r="D53" s="441">
        <v>0</v>
      </c>
      <c r="E53" s="441">
        <v>0</v>
      </c>
      <c r="F53" s="470">
        <f t="shared" si="0"/>
        <v>0</v>
      </c>
    </row>
    <row r="54" spans="1:6" ht="18" customHeight="1">
      <c r="A54" s="420" t="s">
        <v>117</v>
      </c>
      <c r="B54" s="441">
        <v>784560</v>
      </c>
      <c r="C54" s="441">
        <v>784560</v>
      </c>
      <c r="D54" s="441">
        <v>0</v>
      </c>
      <c r="E54" s="441">
        <v>0</v>
      </c>
      <c r="F54" s="470">
        <f t="shared" si="0"/>
        <v>0</v>
      </c>
    </row>
    <row r="55" spans="1:6" ht="18" customHeight="1">
      <c r="A55" s="420" t="s">
        <v>118</v>
      </c>
      <c r="B55" s="441">
        <v>119253</v>
      </c>
      <c r="C55" s="441">
        <v>119253</v>
      </c>
      <c r="D55" s="441">
        <v>0</v>
      </c>
      <c r="E55" s="441">
        <v>0</v>
      </c>
      <c r="F55" s="470">
        <f t="shared" si="0"/>
        <v>0</v>
      </c>
    </row>
    <row r="56" spans="1:6" ht="18" customHeight="1">
      <c r="A56" s="420" t="s">
        <v>119</v>
      </c>
      <c r="B56" s="441">
        <v>3050369</v>
      </c>
      <c r="C56" s="441">
        <v>3050369</v>
      </c>
      <c r="D56" s="441">
        <v>0</v>
      </c>
      <c r="E56" s="441">
        <v>0</v>
      </c>
      <c r="F56" s="470">
        <f t="shared" si="0"/>
        <v>0</v>
      </c>
    </row>
    <row r="57" spans="1:6" ht="18" customHeight="1">
      <c r="A57" s="420" t="s">
        <v>120</v>
      </c>
      <c r="B57" s="441">
        <v>13333333</v>
      </c>
      <c r="C57" s="441">
        <v>13333333</v>
      </c>
      <c r="D57" s="441">
        <v>0</v>
      </c>
      <c r="E57" s="441">
        <v>0</v>
      </c>
      <c r="F57" s="470">
        <f t="shared" si="0"/>
        <v>0</v>
      </c>
    </row>
    <row r="58" spans="1:6" ht="18" customHeight="1" thickBot="1">
      <c r="A58" s="426" t="s">
        <v>121</v>
      </c>
      <c r="B58" s="441">
        <v>0</v>
      </c>
      <c r="C58" s="441">
        <v>0</v>
      </c>
      <c r="D58" s="441">
        <v>0</v>
      </c>
      <c r="E58" s="441">
        <v>0</v>
      </c>
      <c r="F58" s="470">
        <f t="shared" si="0"/>
        <v>0</v>
      </c>
    </row>
    <row r="59" spans="1:6" ht="20.25" customHeight="1" thickBot="1">
      <c r="A59" s="471" t="s">
        <v>124</v>
      </c>
      <c r="B59" s="472">
        <f>SUM(B8:B58)</f>
        <v>53308224</v>
      </c>
      <c r="C59" s="472">
        <f>SUM(C8:C58)</f>
        <v>46930898</v>
      </c>
      <c r="D59" s="472">
        <f>SUM(D8:D58)</f>
        <v>0</v>
      </c>
      <c r="E59" s="472">
        <f>SUM(E8:E58)</f>
        <v>0</v>
      </c>
      <c r="F59" s="473">
        <f>SUM(F8:F58)</f>
        <v>6377326</v>
      </c>
    </row>
    <row r="60" spans="1:6" ht="15.75" customHeight="1">
      <c r="A60" s="476"/>
      <c r="B60" s="476" t="s">
        <v>126</v>
      </c>
      <c r="C60" s="476" t="s">
        <v>126</v>
      </c>
      <c r="D60" s="476" t="s">
        <v>126</v>
      </c>
      <c r="E60" s="476" t="s">
        <v>126</v>
      </c>
      <c r="F60" s="476" t="s">
        <v>126</v>
      </c>
    </row>
    <row r="61" spans="1:6" ht="15.75" customHeight="1">
      <c r="F61" s="7"/>
    </row>
    <row r="63" spans="1:6">
      <c r="A63" s="211" t="s">
        <v>240</v>
      </c>
      <c r="B63" s="211"/>
      <c r="C63" s="211"/>
      <c r="D63" s="211"/>
      <c r="E63" s="2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2DAA6-4D38-47BB-B421-4059D907E3F1}">
  <sheetPr>
    <pageSetUpPr fitToPage="1"/>
  </sheetPr>
  <dimension ref="A1:M66"/>
  <sheetViews>
    <sheetView topLeftCell="A37" zoomScaleNormal="100" workbookViewId="0">
      <selection activeCell="C64" sqref="C64"/>
    </sheetView>
  </sheetViews>
  <sheetFormatPr defaultRowHeight="14.5"/>
  <cols>
    <col min="1" max="1" width="30.7265625" customWidth="1"/>
    <col min="2" max="6" width="20.7265625" customWidth="1"/>
    <col min="8" max="8" width="16.54296875" customWidth="1"/>
    <col min="9" max="9" width="10.26953125" bestFit="1" customWidth="1"/>
    <col min="12" max="12" width="13.7265625" bestFit="1" customWidth="1"/>
  </cols>
  <sheetData>
    <row r="1" spans="1:7" ht="18">
      <c r="A1" s="738"/>
      <c r="B1" s="738"/>
      <c r="C1" s="62"/>
      <c r="D1" s="62"/>
      <c r="E1" s="63"/>
      <c r="F1" s="64" t="str">
        <f>Status!C1</f>
        <v>UNEP/OzL.Pro/ExCom/94/3</v>
      </c>
    </row>
    <row r="2" spans="1:7" ht="18">
      <c r="A2" s="95"/>
      <c r="B2" s="62"/>
      <c r="C2" s="62"/>
      <c r="D2" s="62"/>
      <c r="E2" s="63"/>
      <c r="F2" s="64" t="s">
        <v>0</v>
      </c>
    </row>
    <row r="3" spans="1:7" ht="18">
      <c r="A3" s="23"/>
      <c r="B3" s="62"/>
      <c r="C3" s="62"/>
      <c r="D3" s="62"/>
      <c r="E3" s="64"/>
      <c r="F3" s="64" t="s">
        <v>140</v>
      </c>
    </row>
    <row r="4" spans="1:7" ht="15.5">
      <c r="A4" s="1"/>
      <c r="B4" s="62"/>
      <c r="C4" s="62"/>
      <c r="D4" s="62"/>
      <c r="E4" s="62"/>
      <c r="F4" s="62"/>
    </row>
    <row r="5" spans="1:7" ht="19.5" customHeight="1">
      <c r="A5" s="735" t="s">
        <v>2</v>
      </c>
      <c r="B5" s="735"/>
      <c r="C5" s="735"/>
      <c r="D5" s="735"/>
      <c r="E5" s="735"/>
      <c r="F5" s="735"/>
    </row>
    <row r="6" spans="1:7" ht="15.5">
      <c r="A6" s="729" t="s">
        <v>273</v>
      </c>
      <c r="B6" s="729"/>
      <c r="C6" s="729"/>
      <c r="D6" s="729"/>
      <c r="E6" s="729"/>
      <c r="F6" s="729"/>
    </row>
    <row r="7" spans="1:7" ht="16.5" thickBot="1">
      <c r="A7" s="728" t="str">
        <f>Status!A6</f>
        <v>As at 24/05/2024</v>
      </c>
      <c r="B7" s="728"/>
      <c r="C7" s="728"/>
      <c r="D7" s="728"/>
      <c r="E7" s="728"/>
      <c r="F7" s="728"/>
    </row>
    <row r="8" spans="1:7" ht="27" thickBot="1">
      <c r="A8" s="68" t="s">
        <v>60</v>
      </c>
      <c r="B8" s="69" t="s">
        <v>61</v>
      </c>
      <c r="C8" s="69" t="s">
        <v>62</v>
      </c>
      <c r="D8" s="629" t="s">
        <v>63</v>
      </c>
      <c r="E8" s="69" t="s">
        <v>64</v>
      </c>
      <c r="F8" s="70" t="s">
        <v>65</v>
      </c>
    </row>
    <row r="9" spans="1:7">
      <c r="A9" s="501" t="s">
        <v>67</v>
      </c>
      <c r="B9" s="619">
        <v>14842</v>
      </c>
      <c r="C9" s="619">
        <f>10817+4025</f>
        <v>14842</v>
      </c>
      <c r="D9" s="635"/>
      <c r="E9" s="620"/>
      <c r="F9" s="618">
        <f t="shared" ref="F9:F59" si="0">B9-C9-D9-E9</f>
        <v>0</v>
      </c>
      <c r="G9" s="516"/>
    </row>
    <row r="10" spans="1:7">
      <c r="A10" s="506" t="s">
        <v>130</v>
      </c>
      <c r="B10" s="503">
        <v>6266282</v>
      </c>
      <c r="C10" s="503">
        <f>8225550.168</f>
        <v>8225550.1679999996</v>
      </c>
      <c r="D10" s="503"/>
      <c r="E10" s="503"/>
      <c r="F10" s="515">
        <f t="shared" si="0"/>
        <v>-1959268.1679999996</v>
      </c>
      <c r="G10" s="516"/>
    </row>
    <row r="11" spans="1:7">
      <c r="A11" s="506" t="s">
        <v>69</v>
      </c>
      <c r="B11" s="503">
        <v>2015540</v>
      </c>
      <c r="C11" s="503"/>
      <c r="D11" s="503"/>
      <c r="E11" s="503"/>
      <c r="F11" s="515">
        <f t="shared" si="0"/>
        <v>2015540</v>
      </c>
      <c r="G11" s="516"/>
    </row>
    <row r="12" spans="1:7">
      <c r="A12" s="517" t="s">
        <v>70</v>
      </c>
      <c r="B12" s="503">
        <v>89052</v>
      </c>
      <c r="C12" s="503"/>
      <c r="D12" s="503"/>
      <c r="E12" s="503"/>
      <c r="F12" s="515">
        <f t="shared" si="0"/>
        <v>89052</v>
      </c>
      <c r="G12" s="516"/>
    </row>
    <row r="13" spans="1:7">
      <c r="A13" s="506" t="s">
        <v>71</v>
      </c>
      <c r="B13" s="503">
        <v>121704</v>
      </c>
      <c r="C13" s="503"/>
      <c r="D13" s="503"/>
      <c r="E13" s="503"/>
      <c r="F13" s="515">
        <f t="shared" si="0"/>
        <v>121704</v>
      </c>
      <c r="G13" s="516"/>
    </row>
    <row r="14" spans="1:7">
      <c r="A14" s="506" t="s">
        <v>72</v>
      </c>
      <c r="B14" s="503">
        <v>2457831</v>
      </c>
      <c r="C14" s="503">
        <v>2457831</v>
      </c>
      <c r="D14" s="503"/>
      <c r="E14" s="503"/>
      <c r="F14" s="515">
        <f t="shared" si="0"/>
        <v>0</v>
      </c>
      <c r="G14" s="516"/>
    </row>
    <row r="15" spans="1:7">
      <c r="A15" s="506" t="s">
        <v>73</v>
      </c>
      <c r="B15" s="503">
        <v>166230</v>
      </c>
      <c r="C15" s="503"/>
      <c r="D15" s="503"/>
      <c r="E15" s="503"/>
      <c r="F15" s="515">
        <f t="shared" si="0"/>
        <v>166230</v>
      </c>
      <c r="G15" s="516"/>
    </row>
    <row r="16" spans="1:7">
      <c r="A16" s="506" t="s">
        <v>131</v>
      </c>
      <c r="B16" s="503">
        <v>7800942</v>
      </c>
      <c r="C16" s="534"/>
      <c r="D16" s="503"/>
      <c r="E16" s="503"/>
      <c r="F16" s="515">
        <f t="shared" si="0"/>
        <v>7800942</v>
      </c>
      <c r="G16" s="516"/>
    </row>
    <row r="17" spans="1:13">
      <c r="A17" s="506" t="s">
        <v>75</v>
      </c>
      <c r="B17" s="503">
        <v>270124</v>
      </c>
      <c r="C17" s="503"/>
      <c r="D17" s="503"/>
      <c r="E17" s="503"/>
      <c r="F17" s="515">
        <f t="shared" si="0"/>
        <v>270124</v>
      </c>
      <c r="G17" s="516"/>
    </row>
    <row r="18" spans="1:13">
      <c r="A18" s="506" t="s">
        <v>76</v>
      </c>
      <c r="B18" s="503">
        <v>106862</v>
      </c>
      <c r="C18" s="503"/>
      <c r="D18" s="503"/>
      <c r="E18" s="503"/>
      <c r="F18" s="515">
        <f t="shared" si="0"/>
        <v>106862</v>
      </c>
      <c r="G18" s="516"/>
    </row>
    <row r="19" spans="1:13">
      <c r="A19" s="506" t="s">
        <v>77</v>
      </c>
      <c r="B19" s="503">
        <v>1009254</v>
      </c>
      <c r="C19" s="503">
        <v>1009254</v>
      </c>
      <c r="D19" s="503"/>
      <c r="E19" s="503"/>
      <c r="F19" s="515">
        <f t="shared" si="0"/>
        <v>0</v>
      </c>
      <c r="G19" s="516"/>
    </row>
    <row r="20" spans="1:13">
      <c r="A20" s="506" t="s">
        <v>78</v>
      </c>
      <c r="B20" s="503">
        <v>1641522</v>
      </c>
      <c r="C20" s="503"/>
      <c r="D20" s="503"/>
      <c r="E20" s="503"/>
      <c r="F20" s="515">
        <f t="shared" si="0"/>
        <v>1641522</v>
      </c>
      <c r="G20" s="516"/>
    </row>
    <row r="21" spans="1:13">
      <c r="A21" s="506" t="s">
        <v>79</v>
      </c>
      <c r="B21" s="503">
        <v>130609</v>
      </c>
      <c r="C21" s="503">
        <v>130609</v>
      </c>
      <c r="D21" s="503"/>
      <c r="E21" s="503"/>
      <c r="F21" s="515">
        <f t="shared" si="0"/>
        <v>0</v>
      </c>
      <c r="G21" s="516"/>
    </row>
    <row r="22" spans="1:13">
      <c r="A22" s="506" t="s">
        <v>80</v>
      </c>
      <c r="B22" s="503">
        <v>1237821</v>
      </c>
      <c r="C22" s="503"/>
      <c r="D22" s="503"/>
      <c r="E22" s="503"/>
      <c r="F22" s="515">
        <f t="shared" si="0"/>
        <v>1237821</v>
      </c>
      <c r="G22" s="516"/>
    </row>
    <row r="23" spans="1:13">
      <c r="A23" s="506" t="s">
        <v>132</v>
      </c>
      <c r="B23" s="503">
        <v>12817530</v>
      </c>
      <c r="C23" s="503"/>
      <c r="D23" s="503"/>
      <c r="E23" s="503"/>
      <c r="F23" s="515">
        <f t="shared" si="0"/>
        <v>12817530</v>
      </c>
      <c r="G23" s="516"/>
    </row>
    <row r="24" spans="1:13">
      <c r="A24" s="506" t="s">
        <v>133</v>
      </c>
      <c r="B24" s="503">
        <v>18139862</v>
      </c>
      <c r="C24" s="503"/>
      <c r="D24" s="503"/>
      <c r="E24" s="503"/>
      <c r="F24" s="515">
        <f>B24-C24-D24-E24</f>
        <v>18139862</v>
      </c>
      <c r="G24" s="516"/>
      <c r="H24" s="112"/>
      <c r="I24" s="112" t="s">
        <v>257</v>
      </c>
      <c r="L24" s="494">
        <f>H24*20%</f>
        <v>0</v>
      </c>
      <c r="M24" t="s">
        <v>258</v>
      </c>
    </row>
    <row r="25" spans="1:13">
      <c r="A25" s="506" t="s">
        <v>83</v>
      </c>
      <c r="B25" s="503">
        <v>964728</v>
      </c>
      <c r="C25" s="503">
        <v>964728</v>
      </c>
      <c r="D25" s="503"/>
      <c r="E25" s="503"/>
      <c r="F25" s="515">
        <f t="shared" si="0"/>
        <v>0</v>
      </c>
      <c r="G25" s="516"/>
    </row>
    <row r="26" spans="1:13">
      <c r="A26" s="506" t="s">
        <v>84</v>
      </c>
      <c r="B26" s="503">
        <v>2968</v>
      </c>
      <c r="C26" s="503">
        <v>2968</v>
      </c>
      <c r="D26" s="503"/>
      <c r="E26" s="503"/>
      <c r="F26" s="515">
        <f t="shared" si="0"/>
        <v>0</v>
      </c>
      <c r="G26" s="516"/>
      <c r="L26" s="494"/>
    </row>
    <row r="27" spans="1:13">
      <c r="A27" s="506" t="s">
        <v>85</v>
      </c>
      <c r="B27" s="503">
        <v>676794</v>
      </c>
      <c r="C27" s="503">
        <v>676794</v>
      </c>
      <c r="D27" s="503"/>
      <c r="E27" s="503"/>
      <c r="F27" s="515">
        <f t="shared" si="0"/>
        <v>0</v>
      </c>
      <c r="G27" s="516"/>
      <c r="I27" s="516">
        <f>D24+'YR2022'!D24+'YR2021'!D24</f>
        <v>8569769</v>
      </c>
    </row>
    <row r="28" spans="1:13">
      <c r="A28" s="506" t="s">
        <v>86</v>
      </c>
      <c r="B28" s="503">
        <v>106862</v>
      </c>
      <c r="C28" s="503"/>
      <c r="D28" s="503"/>
      <c r="E28" s="503"/>
      <c r="F28" s="515">
        <f t="shared" si="0"/>
        <v>106862</v>
      </c>
      <c r="G28" s="516"/>
    </row>
    <row r="29" spans="1:13">
      <c r="A29" s="506" t="s">
        <v>134</v>
      </c>
      <c r="B29" s="503">
        <v>1303125</v>
      </c>
      <c r="C29" s="503">
        <v>1303125</v>
      </c>
      <c r="D29" s="503"/>
      <c r="E29" s="503"/>
      <c r="F29" s="515">
        <f t="shared" si="0"/>
        <v>0</v>
      </c>
      <c r="G29" s="516"/>
    </row>
    <row r="30" spans="1:13">
      <c r="A30" s="506" t="s">
        <v>88</v>
      </c>
      <c r="B30" s="503">
        <v>1665270</v>
      </c>
      <c r="C30" s="503"/>
      <c r="D30" s="503"/>
      <c r="E30" s="503"/>
      <c r="F30" s="515">
        <f t="shared" si="0"/>
        <v>1665270</v>
      </c>
      <c r="G30" s="516"/>
    </row>
    <row r="31" spans="1:13">
      <c r="A31" s="506" t="s">
        <v>89</v>
      </c>
      <c r="B31" s="503">
        <v>9466212</v>
      </c>
      <c r="C31" s="503">
        <v>9466212</v>
      </c>
      <c r="D31" s="503"/>
      <c r="E31" s="503"/>
      <c r="F31" s="515">
        <f t="shared" si="0"/>
        <v>0</v>
      </c>
      <c r="G31" s="516"/>
    </row>
    <row r="32" spans="1:13">
      <c r="A32" s="506" t="s">
        <v>135</v>
      </c>
      <c r="B32" s="503">
        <v>23845117</v>
      </c>
      <c r="C32" s="503"/>
      <c r="D32" s="503"/>
      <c r="E32" s="503"/>
      <c r="F32" s="515">
        <f t="shared" si="0"/>
        <v>23845117</v>
      </c>
      <c r="G32" s="516"/>
    </row>
    <row r="33" spans="1:7">
      <c r="A33" s="506" t="s">
        <v>91</v>
      </c>
      <c r="B33" s="503">
        <v>394797</v>
      </c>
      <c r="C33" s="503"/>
      <c r="D33" s="503"/>
      <c r="E33" s="503"/>
      <c r="F33" s="515">
        <f t="shared" si="0"/>
        <v>394797</v>
      </c>
      <c r="G33" s="516"/>
    </row>
    <row r="34" spans="1:7">
      <c r="A34" s="506" t="s">
        <v>93</v>
      </c>
      <c r="B34" s="503">
        <v>148420</v>
      </c>
      <c r="C34" s="503">
        <v>148420</v>
      </c>
      <c r="D34" s="503"/>
      <c r="E34" s="503"/>
      <c r="F34" s="515">
        <f t="shared" si="0"/>
        <v>0</v>
      </c>
      <c r="G34" s="516"/>
    </row>
    <row r="35" spans="1:7">
      <c r="A35" s="506" t="s">
        <v>94</v>
      </c>
      <c r="B35" s="503">
        <v>29684</v>
      </c>
      <c r="C35" s="503">
        <v>29684</v>
      </c>
      <c r="D35" s="503"/>
      <c r="E35" s="503"/>
      <c r="F35" s="515">
        <f t="shared" si="0"/>
        <v>0</v>
      </c>
      <c r="G35" s="516"/>
    </row>
    <row r="36" spans="1:7">
      <c r="A36" s="506" t="s">
        <v>95</v>
      </c>
      <c r="B36" s="503">
        <v>228566</v>
      </c>
      <c r="C36" s="503"/>
      <c r="D36" s="503"/>
      <c r="E36" s="503"/>
      <c r="F36" s="515">
        <f t="shared" si="0"/>
        <v>228566</v>
      </c>
      <c r="G36" s="516"/>
    </row>
    <row r="37" spans="1:7">
      <c r="A37" s="506" t="s">
        <v>96</v>
      </c>
      <c r="B37" s="503">
        <v>201851</v>
      </c>
      <c r="C37" s="503"/>
      <c r="D37" s="503"/>
      <c r="E37" s="503"/>
      <c r="F37" s="515">
        <f t="shared" si="0"/>
        <v>201851</v>
      </c>
      <c r="G37" s="516"/>
    </row>
    <row r="38" spans="1:7">
      <c r="A38" s="506" t="s">
        <v>97</v>
      </c>
      <c r="B38" s="503">
        <v>56400</v>
      </c>
      <c r="C38" s="503"/>
      <c r="D38" s="503"/>
      <c r="E38" s="503"/>
      <c r="F38" s="515">
        <f t="shared" si="0"/>
        <v>56400</v>
      </c>
      <c r="G38" s="516"/>
    </row>
    <row r="39" spans="1:7">
      <c r="A39" s="506" t="s">
        <v>98</v>
      </c>
      <c r="B39" s="503">
        <v>32652</v>
      </c>
      <c r="C39" s="503">
        <v>32652</v>
      </c>
      <c r="D39" s="503"/>
      <c r="E39" s="503"/>
      <c r="F39" s="515">
        <f t="shared" si="0"/>
        <v>0</v>
      </c>
      <c r="G39" s="516"/>
    </row>
    <row r="40" spans="1:7">
      <c r="A40" s="506" t="s">
        <v>99</v>
      </c>
      <c r="B40" s="503">
        <v>4087480</v>
      </c>
      <c r="C40" s="503"/>
      <c r="D40" s="503"/>
      <c r="E40" s="503"/>
      <c r="F40" s="515">
        <f t="shared" si="0"/>
        <v>4087480</v>
      </c>
      <c r="G40" s="516"/>
    </row>
    <row r="41" spans="1:7">
      <c r="A41" s="506" t="s">
        <v>100</v>
      </c>
      <c r="B41" s="503">
        <v>917234</v>
      </c>
      <c r="C41" s="503"/>
      <c r="D41" s="503"/>
      <c r="E41" s="503"/>
      <c r="F41" s="515">
        <f t="shared" si="0"/>
        <v>917234</v>
      </c>
      <c r="G41" s="516"/>
    </row>
    <row r="42" spans="1:7">
      <c r="A42" s="506" t="s">
        <v>101</v>
      </c>
      <c r="B42" s="503">
        <v>2015540</v>
      </c>
      <c r="C42" s="503"/>
      <c r="D42" s="503"/>
      <c r="E42" s="503"/>
      <c r="F42" s="515">
        <f t="shared" si="0"/>
        <v>2015540</v>
      </c>
      <c r="G42" s="516"/>
    </row>
    <row r="43" spans="1:7">
      <c r="A43" s="506" t="s">
        <v>103</v>
      </c>
      <c r="B43" s="503">
        <v>2484547</v>
      </c>
      <c r="C43" s="503">
        <v>2484547</v>
      </c>
      <c r="D43" s="503"/>
      <c r="E43" s="503"/>
      <c r="F43" s="515">
        <f t="shared" si="0"/>
        <v>0</v>
      </c>
      <c r="G43" s="516"/>
    </row>
    <row r="44" spans="1:7">
      <c r="A44" s="506" t="s">
        <v>104</v>
      </c>
      <c r="B44" s="503">
        <v>1047843</v>
      </c>
      <c r="C44" s="503">
        <v>1047843</v>
      </c>
      <c r="D44" s="503"/>
      <c r="E44" s="503"/>
      <c r="F44" s="515">
        <f t="shared" si="0"/>
        <v>0</v>
      </c>
      <c r="G44" s="516"/>
    </row>
    <row r="45" spans="1:7">
      <c r="A45" s="506" t="s">
        <v>105</v>
      </c>
      <c r="B45" s="503">
        <v>926139</v>
      </c>
      <c r="C45" s="503"/>
      <c r="D45" s="503"/>
      <c r="E45" s="503"/>
      <c r="F45" s="515">
        <f t="shared" si="0"/>
        <v>926139</v>
      </c>
      <c r="G45" s="516"/>
    </row>
    <row r="46" spans="1:7">
      <c r="A46" s="506" t="s">
        <v>106</v>
      </c>
      <c r="B46" s="503">
        <v>5539025</v>
      </c>
      <c r="C46" s="503">
        <v>1500000</v>
      </c>
      <c r="D46" s="503"/>
      <c r="E46" s="503"/>
      <c r="F46" s="515">
        <f t="shared" si="0"/>
        <v>4039025</v>
      </c>
      <c r="G46" s="516"/>
    </row>
    <row r="47" spans="1:7">
      <c r="A47" s="506" t="s">
        <v>107</v>
      </c>
      <c r="B47" s="503">
        <v>5937</v>
      </c>
      <c r="C47" s="503">
        <v>5937</v>
      </c>
      <c r="D47" s="503"/>
      <c r="E47" s="503"/>
      <c r="F47" s="515">
        <f t="shared" si="0"/>
        <v>0</v>
      </c>
      <c r="G47" s="516"/>
    </row>
    <row r="48" spans="1:7">
      <c r="A48" s="506" t="s">
        <v>109</v>
      </c>
      <c r="B48" s="503">
        <v>460101</v>
      </c>
      <c r="C48" s="503">
        <v>460101</v>
      </c>
      <c r="D48" s="503"/>
      <c r="E48" s="503"/>
      <c r="F48" s="515">
        <f t="shared" si="0"/>
        <v>0</v>
      </c>
      <c r="G48" s="516"/>
    </row>
    <row r="49" spans="1:10">
      <c r="A49" s="506" t="s">
        <v>110</v>
      </c>
      <c r="B49" s="503">
        <v>234503</v>
      </c>
      <c r="C49" s="503"/>
      <c r="D49" s="503"/>
      <c r="E49" s="503"/>
      <c r="F49" s="515">
        <f t="shared" si="0"/>
        <v>234503</v>
      </c>
      <c r="G49" s="516"/>
    </row>
    <row r="50" spans="1:10">
      <c r="A50" s="506" t="s">
        <v>112</v>
      </c>
      <c r="B50" s="503">
        <v>6334555</v>
      </c>
      <c r="C50" s="503">
        <v>6334555</v>
      </c>
      <c r="D50" s="503"/>
      <c r="E50" s="503"/>
      <c r="F50" s="515">
        <f t="shared" si="0"/>
        <v>0</v>
      </c>
      <c r="G50" s="516"/>
    </row>
    <row r="51" spans="1:10">
      <c r="A51" s="506" t="s">
        <v>136</v>
      </c>
      <c r="B51" s="503">
        <v>2585472</v>
      </c>
      <c r="C51" s="503">
        <v>2585472</v>
      </c>
      <c r="D51" s="503"/>
      <c r="E51" s="503"/>
      <c r="F51" s="515">
        <f t="shared" si="0"/>
        <v>0</v>
      </c>
      <c r="G51" s="516"/>
    </row>
    <row r="52" spans="1:10">
      <c r="A52" s="506" t="s">
        <v>114</v>
      </c>
      <c r="B52" s="503">
        <v>3366160</v>
      </c>
      <c r="C52" s="503">
        <v>3366160</v>
      </c>
      <c r="D52" s="503"/>
      <c r="E52" s="503"/>
      <c r="F52" s="515">
        <f t="shared" si="0"/>
        <v>0</v>
      </c>
      <c r="G52" s="516"/>
    </row>
    <row r="53" spans="1:10" ht="18" customHeight="1">
      <c r="A53" s="506" t="s">
        <v>115</v>
      </c>
      <c r="B53" s="503">
        <v>8905</v>
      </c>
      <c r="C53" s="503"/>
      <c r="D53" s="503"/>
      <c r="E53" s="503"/>
      <c r="F53" s="515">
        <f t="shared" si="0"/>
        <v>8905</v>
      </c>
      <c r="G53" s="516"/>
    </row>
    <row r="54" spans="1:10">
      <c r="A54" s="506" t="s">
        <v>117</v>
      </c>
      <c r="B54" s="503">
        <v>166230</v>
      </c>
      <c r="C54" s="503"/>
      <c r="D54" s="503"/>
      <c r="E54" s="503"/>
      <c r="F54" s="515">
        <f t="shared" si="0"/>
        <v>166230</v>
      </c>
      <c r="G54" s="516"/>
    </row>
    <row r="55" spans="1:10">
      <c r="A55" s="506" t="s">
        <v>119</v>
      </c>
      <c r="B55" s="503">
        <v>12986728</v>
      </c>
      <c r="C55" s="503"/>
      <c r="D55" s="503"/>
      <c r="E55" s="503"/>
      <c r="F55" s="515">
        <f t="shared" si="0"/>
        <v>12986728</v>
      </c>
      <c r="G55" s="516"/>
    </row>
    <row r="56" spans="1:10">
      <c r="A56" s="506" t="s">
        <v>120</v>
      </c>
      <c r="B56" s="503">
        <v>38544000</v>
      </c>
      <c r="C56" s="503">
        <f>88012896-49468896</f>
        <v>38544000</v>
      </c>
      <c r="D56" s="503"/>
      <c r="E56" s="503"/>
      <c r="F56" s="515">
        <f t="shared" si="0"/>
        <v>0</v>
      </c>
      <c r="G56" s="516"/>
      <c r="H56" s="482"/>
      <c r="I56" s="482"/>
      <c r="J56" s="482"/>
    </row>
    <row r="57" spans="1:10" ht="15" thickBot="1">
      <c r="A57" s="507" t="s">
        <v>121</v>
      </c>
      <c r="B57" s="535">
        <v>80147</v>
      </c>
      <c r="C57" s="535"/>
      <c r="D57" s="535"/>
      <c r="E57" s="535"/>
      <c r="F57" s="540">
        <f t="shared" si="0"/>
        <v>80147</v>
      </c>
      <c r="G57" s="516"/>
    </row>
    <row r="58" spans="1:10" ht="15" thickBot="1">
      <c r="A58" s="514" t="s">
        <v>124</v>
      </c>
      <c r="B58" s="548">
        <f>SUM(B9:B57)</f>
        <v>175199999</v>
      </c>
      <c r="C58" s="548">
        <f>SUM(C9:C57)</f>
        <v>80791284.167999998</v>
      </c>
      <c r="D58" s="548">
        <f>SUM(D9:D57)</f>
        <v>0</v>
      </c>
      <c r="E58" s="553">
        <f>SUM(E9:E57)</f>
        <v>0</v>
      </c>
      <c r="F58" s="549">
        <f>SUM(F9:F57)</f>
        <v>94408714.832000002</v>
      </c>
      <c r="G58" s="516"/>
      <c r="H58" s="498">
        <f>C58/B58</f>
        <v>0.46113746934439193</v>
      </c>
    </row>
    <row r="59" spans="1:10" ht="15" thickBot="1">
      <c r="A59" s="521" t="s">
        <v>137</v>
      </c>
      <c r="B59" s="169"/>
      <c r="C59" s="169"/>
      <c r="D59" s="169"/>
      <c r="E59" s="169"/>
      <c r="F59" s="554">
        <f t="shared" si="0"/>
        <v>0</v>
      </c>
      <c r="G59" s="516"/>
    </row>
    <row r="60" spans="1:10" ht="15" thickBot="1">
      <c r="A60" s="555" t="s">
        <v>138</v>
      </c>
      <c r="B60" s="556">
        <f>B58+B59</f>
        <v>175199999</v>
      </c>
      <c r="C60" s="556">
        <f t="shared" ref="C60:F60" si="1">C58+C59</f>
        <v>80791284.167999998</v>
      </c>
      <c r="D60" s="556">
        <f t="shared" si="1"/>
        <v>0</v>
      </c>
      <c r="E60" s="557">
        <f t="shared" si="1"/>
        <v>0</v>
      </c>
      <c r="F60" s="558">
        <f t="shared" si="1"/>
        <v>94408714.832000002</v>
      </c>
      <c r="G60" s="516"/>
      <c r="I60" s="495"/>
    </row>
    <row r="61" spans="1:10">
      <c r="A61" s="546"/>
      <c r="B61" s="525"/>
      <c r="C61" s="525"/>
      <c r="D61" s="525"/>
      <c r="E61" s="525"/>
      <c r="F61" s="525"/>
      <c r="G61" s="516"/>
    </row>
    <row r="62" spans="1:10" ht="15" thickBot="1">
      <c r="A62" s="546"/>
      <c r="B62" s="525"/>
      <c r="C62" s="525"/>
      <c r="D62" s="525"/>
      <c r="E62" s="525"/>
      <c r="F62" s="525"/>
      <c r="G62" s="516"/>
    </row>
    <row r="63" spans="1:10" ht="15" thickBot="1">
      <c r="A63" s="550" t="s">
        <v>139</v>
      </c>
      <c r="B63" s="551">
        <f>B12+B13+B15+B19+B21+B27+B33+B36+B43+B46+B48+B49+B53+B54+B57</f>
        <v>11790464</v>
      </c>
      <c r="C63" s="551">
        <f>C12+C13+C15+C19+C21+C27+C33+C36+C43+C46+C48+C49+C53+C54+C57</f>
        <v>6261305</v>
      </c>
      <c r="D63" s="551">
        <f>D12+D13+D15+D19+D21+D26+D34+D36+D43+D46+D48+D49+D53+D54+D57</f>
        <v>0</v>
      </c>
      <c r="E63" s="559">
        <f>E12+E13+E15+E19+E21+E26+E34+E36+E43+E46+E48+E49+E53+E54+E57</f>
        <v>0</v>
      </c>
      <c r="F63" s="552">
        <f>B63-C63-D63-E63</f>
        <v>5529159</v>
      </c>
      <c r="G63" s="516"/>
    </row>
    <row r="64" spans="1:10">
      <c r="A64" s="516"/>
      <c r="B64" s="516"/>
      <c r="C64" s="516"/>
      <c r="D64" s="516"/>
      <c r="E64" s="516"/>
      <c r="F64" s="516"/>
      <c r="G64" s="516"/>
    </row>
    <row r="65" spans="1:7">
      <c r="A65" s="516"/>
      <c r="B65" s="516"/>
      <c r="C65" s="516"/>
      <c r="D65" s="516"/>
      <c r="E65" s="516"/>
      <c r="F65" s="516"/>
      <c r="G65" s="516"/>
    </row>
    <row r="66" spans="1:7">
      <c r="A66" s="516"/>
      <c r="B66" s="516"/>
      <c r="C66" s="516"/>
      <c r="D66" s="516"/>
      <c r="E66" s="516"/>
      <c r="F66" s="516"/>
      <c r="G66" s="516"/>
    </row>
  </sheetData>
  <mergeCells count="4">
    <mergeCell ref="A1:B1"/>
    <mergeCell ref="A5:F5"/>
    <mergeCell ref="A6:F6"/>
    <mergeCell ref="A7:F7"/>
  </mergeCells>
  <printOptions horizontalCentered="1"/>
  <pageMargins left="0.11811023622047245" right="0.11811023622047245" top="0.27559055118110237" bottom="0.19685039370078741" header="0.27559055118110237" footer="0.11811023622047245"/>
  <pageSetup scale="77"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FE1A5-D2E0-41E1-B816-359E90B3A520}">
  <sheetPr>
    <pageSetUpPr fitToPage="1"/>
  </sheetPr>
  <dimension ref="A1:H70"/>
  <sheetViews>
    <sheetView topLeftCell="A40" zoomScale="106" zoomScaleNormal="106" workbookViewId="0">
      <selection activeCell="C71" sqref="C71"/>
    </sheetView>
  </sheetViews>
  <sheetFormatPr defaultRowHeight="14.5"/>
  <cols>
    <col min="1" max="1" width="30.7265625" customWidth="1"/>
    <col min="2" max="6" width="20.7265625" customWidth="1"/>
    <col min="7" max="7" width="13.7265625" bestFit="1" customWidth="1"/>
    <col min="8" max="8" width="14.26953125" style="112" bestFit="1" customWidth="1"/>
    <col min="11" max="11" width="9.81640625" bestFit="1" customWidth="1"/>
  </cols>
  <sheetData>
    <row r="1" spans="1:8" ht="18">
      <c r="A1" s="738" t="str">
        <f>Status!C1</f>
        <v>UNEP/OzL.Pro/ExCom/94/3</v>
      </c>
      <c r="B1" s="738"/>
      <c r="C1" s="62"/>
      <c r="D1" s="62"/>
      <c r="E1" s="62"/>
      <c r="F1" s="62"/>
    </row>
    <row r="2" spans="1:8" ht="18">
      <c r="A2" s="95" t="s">
        <v>0</v>
      </c>
      <c r="B2" s="62"/>
      <c r="C2" s="62"/>
      <c r="D2" s="62"/>
      <c r="E2" s="62"/>
      <c r="F2" s="62"/>
    </row>
    <row r="3" spans="1:8" ht="18">
      <c r="A3" s="23" t="s">
        <v>262</v>
      </c>
      <c r="B3" s="62"/>
      <c r="C3" s="62"/>
      <c r="D3" s="62"/>
      <c r="E3" s="62"/>
      <c r="F3" s="62"/>
    </row>
    <row r="4" spans="1:8" ht="15.5">
      <c r="A4" s="1"/>
      <c r="B4" s="62"/>
      <c r="C4" s="62"/>
      <c r="D4" s="62"/>
      <c r="E4" s="62"/>
      <c r="F4" s="62"/>
    </row>
    <row r="5" spans="1:8" ht="22.5" customHeight="1">
      <c r="A5" s="735" t="s">
        <v>2</v>
      </c>
      <c r="B5" s="735"/>
      <c r="C5" s="735"/>
      <c r="D5" s="735"/>
      <c r="E5" s="735"/>
      <c r="F5" s="735"/>
    </row>
    <row r="6" spans="1:8" ht="15.5">
      <c r="A6" s="729" t="s">
        <v>274</v>
      </c>
      <c r="B6" s="729"/>
      <c r="C6" s="729"/>
      <c r="D6" s="729"/>
      <c r="E6" s="729"/>
      <c r="F6" s="729"/>
    </row>
    <row r="7" spans="1:8" ht="16.5" thickBot="1">
      <c r="A7" s="728" t="str">
        <f>Status!A6</f>
        <v>As at 24/05/2024</v>
      </c>
      <c r="B7" s="728"/>
      <c r="C7" s="728"/>
      <c r="D7" s="728"/>
      <c r="E7" s="728"/>
      <c r="F7" s="728"/>
    </row>
    <row r="8" spans="1:8" ht="30.75" customHeight="1" thickBot="1">
      <c r="A8" s="68" t="s">
        <v>60</v>
      </c>
      <c r="B8" s="69" t="s">
        <v>61</v>
      </c>
      <c r="C8" s="69" t="s">
        <v>62</v>
      </c>
      <c r="D8" s="629" t="s">
        <v>63</v>
      </c>
      <c r="E8" s="668" t="s">
        <v>64</v>
      </c>
      <c r="F8" s="70" t="s">
        <v>65</v>
      </c>
    </row>
    <row r="9" spans="1:8">
      <c r="A9" s="520" t="s">
        <v>67</v>
      </c>
      <c r="B9" s="617">
        <f>'YR2021'!B9+'YR2022'!B9+'YR2023'!B9</f>
        <v>38976</v>
      </c>
      <c r="C9" s="623">
        <f>'YR2021'!C9+'YR2022'!C9+'YR2023'!C9</f>
        <v>38976</v>
      </c>
      <c r="D9" s="672">
        <f>'YR2021'!D9+'YR2022'!D9</f>
        <v>0</v>
      </c>
      <c r="E9" s="617"/>
      <c r="F9" s="665">
        <f>B9-C9-D9-E9</f>
        <v>0</v>
      </c>
      <c r="H9"/>
    </row>
    <row r="10" spans="1:8">
      <c r="A10" s="507" t="s">
        <v>130</v>
      </c>
      <c r="B10" s="670">
        <f>'YR2021'!B10+'YR2022'!B10+'YR2023'!B10</f>
        <v>17227482</v>
      </c>
      <c r="C10" s="670">
        <f>'YR2021'!C10+'YR2022'!C10+'YR2023'!C10</f>
        <v>16675094</v>
      </c>
      <c r="D10" s="534">
        <f>'YR2021'!D10+'YR2022'!D10+'YR2023'!D10</f>
        <v>552388</v>
      </c>
      <c r="E10" s="534"/>
      <c r="F10" s="540">
        <f t="shared" ref="F10:F57" si="0">B10-C10-D10-E10</f>
        <v>0</v>
      </c>
      <c r="H10"/>
    </row>
    <row r="11" spans="1:8">
      <c r="A11" s="506" t="s">
        <v>69</v>
      </c>
      <c r="B11" s="534">
        <f>'YR2021'!B11+'YR2022'!B11+'YR2023'!B11</f>
        <v>5277378</v>
      </c>
      <c r="C11" s="534">
        <f>'YR2021'!C11+'YR2022'!C11+'YR2023'!C11</f>
        <v>4590376.47</v>
      </c>
      <c r="D11" s="669">
        <f>'YR2021'!D11+'YR2022'!D11+'YR2023'!D11</f>
        <v>391833</v>
      </c>
      <c r="E11" s="522"/>
      <c r="F11" s="515">
        <f t="shared" si="0"/>
        <v>295168.53000000026</v>
      </c>
      <c r="H11"/>
    </row>
    <row r="12" spans="1:8">
      <c r="A12" s="673" t="s">
        <v>70</v>
      </c>
      <c r="B12" s="619">
        <f>'YR2021'!B12+'YR2022'!B12+'YR2023'!B12</f>
        <v>381967</v>
      </c>
      <c r="C12" s="619">
        <f>'YR2021'!C12+'YR2022'!C12+'YR2023'!C12</f>
        <v>0</v>
      </c>
      <c r="D12" s="669">
        <f>'YR2021'!D12+'YR2022'!D12</f>
        <v>0</v>
      </c>
      <c r="E12" s="522"/>
      <c r="F12" s="618">
        <f t="shared" si="0"/>
        <v>381967</v>
      </c>
      <c r="H12"/>
    </row>
    <row r="13" spans="1:8">
      <c r="A13" s="506" t="s">
        <v>71</v>
      </c>
      <c r="B13" s="503">
        <f>'YR2021'!B13+'YR2022'!B13+'YR2023'!B13</f>
        <v>381967</v>
      </c>
      <c r="C13" s="503">
        <f>'YR2021'!C13+'YR2022'!C13+'YR2023'!C13</f>
        <v>384309</v>
      </c>
      <c r="D13" s="669">
        <f>'YR2021'!D13+'YR2022'!D13</f>
        <v>0</v>
      </c>
      <c r="E13" s="522"/>
      <c r="F13" s="515">
        <f t="shared" si="0"/>
        <v>-2342</v>
      </c>
      <c r="H13"/>
    </row>
    <row r="14" spans="1:8">
      <c r="A14" s="520" t="s">
        <v>72</v>
      </c>
      <c r="B14" s="671">
        <f>'YR2021'!B14+'YR2022'!B14+'YR2023'!B14</f>
        <v>6399893</v>
      </c>
      <c r="C14" s="671">
        <f>'YR2021'!C14+'YR2022'!C14+'YR2023'!C14</f>
        <v>6399893</v>
      </c>
      <c r="D14" s="534">
        <f>'YR2021'!D14+'YR2022'!D14</f>
        <v>0</v>
      </c>
      <c r="E14" s="534"/>
      <c r="F14" s="665">
        <f t="shared" si="0"/>
        <v>0</v>
      </c>
      <c r="H14"/>
    </row>
    <row r="15" spans="1:8">
      <c r="A15" s="507" t="s">
        <v>73</v>
      </c>
      <c r="B15" s="535">
        <f>'YR2021'!B15+'YR2022'!B15+'YR2023'!B15</f>
        <v>358581</v>
      </c>
      <c r="C15" s="535">
        <f>'YR2021'!C15+'YR2022'!C15+'YR2023'!C15</f>
        <v>358581</v>
      </c>
      <c r="D15" s="669">
        <f>'YR2021'!D15+'YR2022'!D15</f>
        <v>0</v>
      </c>
      <c r="E15" s="522"/>
      <c r="F15" s="540">
        <f>B15-C15-D15-E15</f>
        <v>0</v>
      </c>
      <c r="H15"/>
    </row>
    <row r="16" spans="1:8">
      <c r="A16" s="506" t="s">
        <v>131</v>
      </c>
      <c r="B16" s="534">
        <f>'YR2021'!B16+'YR2022'!B16+'YR2023'!B16</f>
        <v>21312188</v>
      </c>
      <c r="C16" s="534">
        <f>'YR2021'!C16+'YR2022'!C16+'YR2023'!C16</f>
        <v>21211314.809999999</v>
      </c>
      <c r="D16" s="669">
        <f>'YR2021'!D16+'YR2022'!D16</f>
        <v>0</v>
      </c>
      <c r="E16" s="522"/>
      <c r="F16" s="674">
        <f t="shared" si="0"/>
        <v>100873.19000000134</v>
      </c>
      <c r="H16"/>
    </row>
    <row r="17" spans="1:8">
      <c r="A17" s="501" t="s">
        <v>75</v>
      </c>
      <c r="B17" s="623">
        <f>'YR2021'!B17+'YR2022'!B17+'YR2023'!B17</f>
        <v>600234</v>
      </c>
      <c r="C17" s="623">
        <f>'YR2021'!C17+'YR2022'!C17+'YR2023'!C17</f>
        <v>600234</v>
      </c>
      <c r="D17" s="534">
        <f>'YR2021'!D17+'YR2022'!D17</f>
        <v>0</v>
      </c>
      <c r="E17" s="534"/>
      <c r="F17" s="618">
        <f t="shared" si="0"/>
        <v>0</v>
      </c>
      <c r="H17"/>
    </row>
    <row r="18" spans="1:8">
      <c r="A18" s="507" t="s">
        <v>76</v>
      </c>
      <c r="B18" s="670">
        <f>'YR2021'!B18+'YR2022'!B18+'YR2023'!B18</f>
        <v>280629</v>
      </c>
      <c r="C18" s="670">
        <f>'YR2021'!C18+'YR2022'!C18+'YR2023'!C18</f>
        <v>280629.02</v>
      </c>
      <c r="D18" s="534">
        <f>'YR2021'!D18+'YR2022'!D18</f>
        <v>0</v>
      </c>
      <c r="E18" s="534"/>
      <c r="F18" s="540">
        <f t="shared" si="0"/>
        <v>-2.0000000018626451E-2</v>
      </c>
      <c r="H18"/>
    </row>
    <row r="19" spans="1:8">
      <c r="A19" s="506" t="s">
        <v>77</v>
      </c>
      <c r="B19" s="503">
        <f>'YR2021'!B19+'YR2022'!B19+'YR2023'!B19</f>
        <v>2424320</v>
      </c>
      <c r="C19" s="503">
        <f>'YR2021'!C19+'YR2022'!C19+'YR2023'!C19</f>
        <v>2424320</v>
      </c>
      <c r="D19" s="669">
        <f>'YR2021'!D19+'YR2022'!D19</f>
        <v>0</v>
      </c>
      <c r="E19" s="522"/>
      <c r="F19" s="515">
        <f t="shared" si="0"/>
        <v>0</v>
      </c>
      <c r="H19"/>
    </row>
    <row r="20" spans="1:8">
      <c r="A20" s="520" t="s">
        <v>78</v>
      </c>
      <c r="B20" s="671">
        <f>'YR2021'!B20+'YR2022'!B20+'YR2023'!B20</f>
        <v>4318563</v>
      </c>
      <c r="C20" s="671">
        <f>'YR2021'!C20+'YR2022'!C20+'YR2023'!C20</f>
        <v>4318563</v>
      </c>
      <c r="D20" s="534">
        <f>'YR2021'!D20+'YR2022'!D20</f>
        <v>0</v>
      </c>
      <c r="E20" s="534"/>
      <c r="F20" s="665">
        <f t="shared" si="0"/>
        <v>0</v>
      </c>
      <c r="H20"/>
    </row>
    <row r="21" spans="1:8">
      <c r="A21" s="507" t="s">
        <v>79</v>
      </c>
      <c r="B21" s="535">
        <f>'YR2021'!B21+'YR2022'!B21+'YR2023'!B21</f>
        <v>304014</v>
      </c>
      <c r="C21" s="535">
        <f>'YR2021'!C21+'YR2022'!C21+'YR2023'!C21</f>
        <v>304013.57</v>
      </c>
      <c r="D21" s="669">
        <f>'YR2021'!D21+'YR2022'!D21</f>
        <v>0</v>
      </c>
      <c r="E21" s="522"/>
      <c r="F21" s="540">
        <f t="shared" si="0"/>
        <v>0.42999999999301508</v>
      </c>
      <c r="H21"/>
    </row>
    <row r="22" spans="1:8">
      <c r="A22" s="506" t="s">
        <v>80</v>
      </c>
      <c r="B22" s="534">
        <f>'YR2021'!B22+'YR2022'!B22+'YR2023'!B22</f>
        <v>3281796</v>
      </c>
      <c r="C22" s="534">
        <f>'YR2021'!C22+'YR2022'!C22+'YR2023'!C22</f>
        <v>3281795.8</v>
      </c>
      <c r="D22" s="669">
        <f>'YR2021'!D22+'YR2022'!D22</f>
        <v>0</v>
      </c>
      <c r="E22" s="522"/>
      <c r="F22" s="515">
        <f t="shared" si="0"/>
        <v>0.20000000018626451</v>
      </c>
      <c r="H22"/>
    </row>
    <row r="23" spans="1:8">
      <c r="A23" s="520" t="s">
        <v>132</v>
      </c>
      <c r="B23" s="671">
        <f>'YR2021'!B23+'YR2022'!B23+'YR2023'!B23</f>
        <v>34509531</v>
      </c>
      <c r="C23" s="671">
        <f>'YR2021'!C23+'YR2022'!C23+'YR2023'!C23</f>
        <v>33819417.269999996</v>
      </c>
      <c r="D23" s="534">
        <f>'YR2021'!D23+'YR2022'!D23+'YR2023'!D23</f>
        <v>690114</v>
      </c>
      <c r="E23" s="534"/>
      <c r="F23" s="665">
        <f t="shared" si="0"/>
        <v>-0.26999999582767487</v>
      </c>
      <c r="H23"/>
    </row>
    <row r="24" spans="1:8">
      <c r="A24" s="506" t="s">
        <v>133</v>
      </c>
      <c r="B24" s="534">
        <f>'YR2021'!B24+'YR2022'!B24+'YR2023'!B24</f>
        <v>47473016</v>
      </c>
      <c r="C24" s="534">
        <f>'YR2021'!C24+'YR2022'!C24+'YR2023'!C24</f>
        <v>37978412.549999997</v>
      </c>
      <c r="D24" s="669">
        <f>'YR2021'!D24+'YR2022'!D24+'YR2023'!D24</f>
        <v>9494603</v>
      </c>
      <c r="E24" s="522"/>
      <c r="F24" s="515">
        <f t="shared" si="0"/>
        <v>0.45000000298023224</v>
      </c>
    </row>
    <row r="25" spans="1:8">
      <c r="A25" s="506" t="s">
        <v>83</v>
      </c>
      <c r="B25" s="534">
        <f>'YR2021'!B25+'YR2022'!B25+'YR2023'!B25</f>
        <v>2853058</v>
      </c>
      <c r="C25" s="534">
        <f>'YR2021'!C25+'YR2022'!C25+'YR2023'!C25</f>
        <v>2853058</v>
      </c>
      <c r="D25" s="669">
        <f>'YR2021'!D25+'YR2022'!D25</f>
        <v>0</v>
      </c>
      <c r="E25" s="522"/>
      <c r="F25" s="515">
        <f t="shared" si="0"/>
        <v>0</v>
      </c>
      <c r="H25"/>
    </row>
    <row r="26" spans="1:8">
      <c r="A26" s="520" t="s">
        <v>84</v>
      </c>
      <c r="B26" s="671">
        <f>'YR2021'!B26+'YR2022'!B26+'YR2023'!B26</f>
        <v>7795</v>
      </c>
      <c r="C26" s="671">
        <f>'YR2021'!C26+'YR2022'!C26+'YR2023'!C26</f>
        <v>7795</v>
      </c>
      <c r="D26" s="534">
        <f>'YR2021'!D26+'YR2022'!D26</f>
        <v>0</v>
      </c>
      <c r="E26" s="534"/>
      <c r="F26" s="665">
        <f t="shared" si="0"/>
        <v>0</v>
      </c>
      <c r="H26"/>
    </row>
    <row r="27" spans="1:8">
      <c r="A27" s="507" t="s">
        <v>85</v>
      </c>
      <c r="B27" s="535">
        <f>'YR2021'!B27+'YR2022'!B27+'YR2023'!B27</f>
        <v>1605820</v>
      </c>
      <c r="C27" s="535">
        <f>'YR2021'!C27+'YR2022'!C27+'YR2023'!C27</f>
        <v>1605820</v>
      </c>
      <c r="D27" s="669">
        <f>'YR2021'!D27+'YR2022'!D27</f>
        <v>0</v>
      </c>
      <c r="E27" s="522"/>
      <c r="F27" s="540">
        <f t="shared" si="0"/>
        <v>0</v>
      </c>
      <c r="H27"/>
    </row>
    <row r="28" spans="1:8">
      <c r="A28" s="506" t="s">
        <v>86</v>
      </c>
      <c r="B28" s="534">
        <f>'YR2021'!B28+'YR2022'!B28+'YR2023'!B28</f>
        <v>218267</v>
      </c>
      <c r="C28" s="534">
        <f>'YR2021'!C28+'YR2022'!C28+'YR2023'!C28</f>
        <v>0</v>
      </c>
      <c r="D28" s="669">
        <f>'YR2021'!D28+'YR2022'!E28</f>
        <v>0</v>
      </c>
      <c r="E28" s="522"/>
      <c r="F28" s="515">
        <f t="shared" si="0"/>
        <v>218267</v>
      </c>
      <c r="H28"/>
    </row>
    <row r="29" spans="1:8">
      <c r="A29" s="520" t="s">
        <v>134</v>
      </c>
      <c r="B29" s="671">
        <f>'YR2021'!B29+'YR2022'!B29+'YR2023'!B29</f>
        <v>2892034</v>
      </c>
      <c r="C29" s="671">
        <f>'YR2021'!C29+'YR2022'!C29+'YR2023'!C29</f>
        <v>2892034</v>
      </c>
      <c r="D29" s="534">
        <f>'YR2021'!D29+'YR2022'!D29</f>
        <v>0</v>
      </c>
      <c r="E29" s="534"/>
      <c r="F29" s="665">
        <f t="shared" si="0"/>
        <v>0</v>
      </c>
      <c r="H29"/>
    </row>
    <row r="30" spans="1:8">
      <c r="A30" s="506" t="s">
        <v>88</v>
      </c>
      <c r="B30" s="534">
        <f>'YR2021'!B30+'YR2022'!B30+'YR2023'!B30</f>
        <v>3819668</v>
      </c>
      <c r="C30" s="534">
        <f>'YR2021'!C30+'YR2022'!C30+'YR2023'!C30</f>
        <v>0</v>
      </c>
      <c r="D30" s="669">
        <f>'YR2021'!D30+'YR2022'!D30</f>
        <v>0</v>
      </c>
      <c r="E30" s="522"/>
      <c r="F30" s="515">
        <f t="shared" si="0"/>
        <v>3819668</v>
      </c>
      <c r="H30"/>
    </row>
    <row r="31" spans="1:8">
      <c r="A31" s="520" t="s">
        <v>89</v>
      </c>
      <c r="B31" s="671">
        <f>'YR2021'!B31+'YR2022'!B31+'YR2023'!B31</f>
        <v>25778861</v>
      </c>
      <c r="C31" s="671">
        <f>'YR2021'!C31+'YR2022'!C31+'YR2023'!C31</f>
        <v>25514021.43</v>
      </c>
      <c r="D31" s="534">
        <f>'YR2021'!D31+'YR2022'!D31+'YR2023'!D31</f>
        <v>264840</v>
      </c>
      <c r="E31" s="534"/>
      <c r="F31" s="665">
        <f t="shared" si="0"/>
        <v>-0.42999999970197678</v>
      </c>
      <c r="H31"/>
    </row>
    <row r="32" spans="1:8">
      <c r="A32" s="506" t="s">
        <v>135</v>
      </c>
      <c r="B32" s="534">
        <f>'YR2021'!B32+'YR2022'!B32+'YR2023'!B32</f>
        <v>66758442</v>
      </c>
      <c r="C32" s="534">
        <f>'YR2021'!C32+'YR2022'!C32+'YR2023'!C32</f>
        <v>66389610</v>
      </c>
      <c r="D32" s="669">
        <f>'YR2021'!D32+'YR2022'!D32+'YR2023'!D32</f>
        <v>368832</v>
      </c>
      <c r="E32" s="522"/>
      <c r="F32" s="515">
        <f t="shared" si="0"/>
        <v>0</v>
      </c>
    </row>
    <row r="33" spans="1:6" customFormat="1">
      <c r="A33" s="501" t="s">
        <v>91</v>
      </c>
      <c r="B33" s="619">
        <f>'YR2021'!B33+'YR2022'!B33+'YR2023'!B33</f>
        <v>1387553</v>
      </c>
      <c r="C33" s="619">
        <f>'YR2021'!C33+'YR2022'!C33+'YR2023'!C33</f>
        <v>100000</v>
      </c>
      <c r="D33" s="669">
        <f>'YR2021'!D33+'YR2022'!D33</f>
        <v>0</v>
      </c>
      <c r="E33" s="522"/>
      <c r="F33" s="618">
        <f t="shared" si="0"/>
        <v>1287553</v>
      </c>
    </row>
    <row r="34" spans="1:6" customFormat="1">
      <c r="A34" s="501" t="s">
        <v>93</v>
      </c>
      <c r="B34" s="623">
        <f>'YR2021'!B34+'YR2022'!B34+'YR2023'!B34</f>
        <v>366376</v>
      </c>
      <c r="C34" s="623">
        <f>'YR2021'!C34+'YR2022'!C34+'YR2023'!C34</f>
        <v>366376.4</v>
      </c>
      <c r="D34" s="534">
        <f>'YR2021'!D34+'YR2022'!D34</f>
        <v>0</v>
      </c>
      <c r="E34" s="534"/>
      <c r="F34" s="618">
        <f t="shared" si="0"/>
        <v>-0.40000000002328306</v>
      </c>
    </row>
    <row r="35" spans="1:6" customFormat="1">
      <c r="A35" s="507" t="s">
        <v>94</v>
      </c>
      <c r="B35" s="670">
        <f>'YR2021'!B35+'YR2022'!B35+'YR2023'!B35</f>
        <v>70157</v>
      </c>
      <c r="C35" s="670">
        <f>'YR2021'!C35+'YR2022'!C35+'YR2023'!C35</f>
        <v>70157</v>
      </c>
      <c r="D35" s="534">
        <f>'YR2021'!D35+'YR2022'!D35</f>
        <v>0</v>
      </c>
      <c r="E35" s="534"/>
      <c r="F35" s="540">
        <f t="shared" si="0"/>
        <v>0</v>
      </c>
    </row>
    <row r="36" spans="1:6" customFormat="1">
      <c r="A36" s="507" t="s">
        <v>95</v>
      </c>
      <c r="B36" s="535">
        <f>'YR2021'!B36+'YR2022'!B36+'YR2023'!B36</f>
        <v>553462</v>
      </c>
      <c r="C36" s="535">
        <f>'YR2021'!C36+'YR2022'!C36+'YR2023'!C36</f>
        <v>553462.28</v>
      </c>
      <c r="D36" s="669">
        <f>'YR2021'!D36+'YR2022'!D36</f>
        <v>0</v>
      </c>
      <c r="E36" s="522"/>
      <c r="F36" s="540">
        <f t="shared" si="0"/>
        <v>-0.28000000002793968</v>
      </c>
    </row>
    <row r="37" spans="1:6" customFormat="1">
      <c r="A37" s="506" t="s">
        <v>96</v>
      </c>
      <c r="B37" s="534">
        <f>'YR2021'!B37+'YR2022'!B37+'YR2023'!B37</f>
        <v>522281</v>
      </c>
      <c r="C37" s="534">
        <f>'YR2021'!C37+'YR2022'!C37+'YR2023'!C37</f>
        <v>522281.36</v>
      </c>
      <c r="D37" s="669">
        <f>'YR2021'!D37+'YR2022'!D37</f>
        <v>0</v>
      </c>
      <c r="E37" s="522"/>
      <c r="F37" s="515">
        <f t="shared" si="0"/>
        <v>-0.35999999998603016</v>
      </c>
    </row>
    <row r="38" spans="1:6" customFormat="1">
      <c r="A38" s="506" t="s">
        <v>97</v>
      </c>
      <c r="B38" s="534">
        <f>'YR2021'!B38+'YR2022'!B38+'YR2023'!B38</f>
        <v>132519</v>
      </c>
      <c r="C38" s="534">
        <f>'YR2021'!C38+'YR2022'!C38+'YR2023'!C38</f>
        <v>0</v>
      </c>
      <c r="D38" s="669">
        <f>'YR2021'!D38+'YR2022'!D38</f>
        <v>0</v>
      </c>
      <c r="E38" s="522"/>
      <c r="F38" s="515">
        <f t="shared" si="0"/>
        <v>132519</v>
      </c>
    </row>
    <row r="39" spans="1:6" customFormat="1">
      <c r="A39" s="501" t="s">
        <v>98</v>
      </c>
      <c r="B39" s="623">
        <f>'YR2021'!B39+'YR2022'!B39+'YR2023'!B39</f>
        <v>85748</v>
      </c>
      <c r="C39" s="623">
        <f>'YR2021'!C39+'YR2022'!C39+'YR2023'!C39</f>
        <v>85748</v>
      </c>
      <c r="D39" s="534">
        <f>'YR2021'!D39+'YR2022'!D39</f>
        <v>0</v>
      </c>
      <c r="E39" s="534"/>
      <c r="F39" s="618">
        <f t="shared" si="0"/>
        <v>0</v>
      </c>
    </row>
    <row r="40" spans="1:6" customFormat="1">
      <c r="A40" s="506" t="s">
        <v>99</v>
      </c>
      <c r="B40" s="534">
        <f>'YR2021'!B40+'YR2022'!B40+'YR2023'!B40</f>
        <v>10570347</v>
      </c>
      <c r="C40" s="534">
        <f>'YR2021'!C40+'YR2022'!C40+'YR2023'!C40</f>
        <v>10570347</v>
      </c>
      <c r="D40" s="534">
        <f>'YR2021'!D40+'YR2022'!D40</f>
        <v>0</v>
      </c>
      <c r="E40" s="534"/>
      <c r="F40" s="515">
        <f t="shared" si="0"/>
        <v>0</v>
      </c>
    </row>
    <row r="41" spans="1:6" customFormat="1">
      <c r="A41" s="506" t="s">
        <v>100</v>
      </c>
      <c r="B41" s="534">
        <f>'YR2021'!B41+'YR2022'!B41+'YR2023'!B41</f>
        <v>2268415</v>
      </c>
      <c r="C41" s="534">
        <f>'YR2021'!C41+'YR2022'!C41+'YR2023'!C41</f>
        <v>2268415</v>
      </c>
      <c r="D41" s="534">
        <f>'YR2021'!D41+'YR2022'!D41</f>
        <v>0</v>
      </c>
      <c r="E41" s="534"/>
      <c r="F41" s="515">
        <f t="shared" si="0"/>
        <v>0</v>
      </c>
    </row>
    <row r="42" spans="1:6" customFormat="1">
      <c r="A42" s="507" t="s">
        <v>101</v>
      </c>
      <c r="B42" s="670">
        <f>'YR2021'!B42+'YR2022'!B42+'YR2023'!B42</f>
        <v>5877612</v>
      </c>
      <c r="C42" s="670">
        <f>'YR2021'!C42+'YR2022'!C42+'YR2023'!C42</f>
        <v>5877612</v>
      </c>
      <c r="D42" s="534">
        <f>'YR2021'!D42+'YR2022'!D42</f>
        <v>0</v>
      </c>
      <c r="E42" s="534"/>
      <c r="F42" s="540">
        <f t="shared" si="0"/>
        <v>0</v>
      </c>
    </row>
    <row r="43" spans="1:6" customFormat="1">
      <c r="A43" s="506" t="s">
        <v>103</v>
      </c>
      <c r="B43" s="503">
        <f>'YR2021'!B43+'YR2022'!B43+'YR2023'!B43</f>
        <v>6251783</v>
      </c>
      <c r="C43" s="503">
        <f>'YR2021'!C43+'YR2022'!C43+'YR2023'!C43</f>
        <v>6251783.0800000001</v>
      </c>
      <c r="D43" s="669">
        <f>'YR2021'!D43+'YR2022'!D43</f>
        <v>0</v>
      </c>
      <c r="E43" s="522"/>
      <c r="F43" s="515">
        <f t="shared" si="0"/>
        <v>-8.0000000074505806E-2</v>
      </c>
    </row>
    <row r="44" spans="1:6" customFormat="1">
      <c r="A44" s="520" t="s">
        <v>104</v>
      </c>
      <c r="B44" s="671">
        <f>'YR2021'!B44+'YR2022'!B44+'YR2023'!B44</f>
        <v>2728334</v>
      </c>
      <c r="C44" s="671">
        <f>'YR2021'!C44+'YR2022'!C44+'YR2023'!C44</f>
        <v>2728334</v>
      </c>
      <c r="D44" s="534">
        <f>'YR2021'!D44+'YR2022'!D44</f>
        <v>0</v>
      </c>
      <c r="E44" s="534"/>
      <c r="F44" s="665">
        <f t="shared" si="0"/>
        <v>0</v>
      </c>
    </row>
    <row r="45" spans="1:6" customFormat="1">
      <c r="A45" s="506" t="s">
        <v>105</v>
      </c>
      <c r="B45" s="534">
        <f>'YR2021'!B45+'YR2022'!B45+'YR2023'!B45</f>
        <v>1543458</v>
      </c>
      <c r="C45" s="534">
        <f>'YR2021'!C45+'YR2022'!C45+'YR2023'!C45</f>
        <v>443942</v>
      </c>
      <c r="D45" s="669">
        <f>'YR2021'!D45+'YR2022'!D45</f>
        <v>0</v>
      </c>
      <c r="E45" s="522"/>
      <c r="F45" s="515">
        <f t="shared" si="0"/>
        <v>1099516</v>
      </c>
    </row>
    <row r="46" spans="1:6" customFormat="1">
      <c r="A46" s="520" t="s">
        <v>106</v>
      </c>
      <c r="B46" s="511">
        <f>'YR2021'!B46+'YR2022'!B46+'YR2023'!B46</f>
        <v>18747554</v>
      </c>
      <c r="C46" s="511">
        <f>'YR2021'!C46+'YR2022'!C46+'YR2023'!C46</f>
        <v>1500000</v>
      </c>
      <c r="D46" s="669">
        <f>'YR2021'!D46+'YR2022'!D46</f>
        <v>0</v>
      </c>
      <c r="E46" s="522"/>
      <c r="F46" s="665">
        <f t="shared" si="0"/>
        <v>17247554</v>
      </c>
    </row>
    <row r="47" spans="1:6" customFormat="1">
      <c r="A47" s="506" t="s">
        <v>107</v>
      </c>
      <c r="B47" s="534">
        <f>'YR2021'!B47+'YR2022'!B47+'YR2023'!B47</f>
        <v>15590</v>
      </c>
      <c r="C47" s="534">
        <f>'YR2021'!C47+'YR2022'!C47+'YR2023'!C47</f>
        <v>15591</v>
      </c>
      <c r="D47" s="669">
        <f>'YR2021'!D47+'YR2022'!D47</f>
        <v>0</v>
      </c>
      <c r="E47" s="522"/>
      <c r="F47" s="515">
        <f t="shared" si="0"/>
        <v>-1</v>
      </c>
    </row>
    <row r="48" spans="1:6" customFormat="1">
      <c r="A48" s="501" t="s">
        <v>109</v>
      </c>
      <c r="B48" s="619">
        <f>'YR2021'!B48+'YR2022'!B48+'YR2023'!B48</f>
        <v>1192672</v>
      </c>
      <c r="C48" s="619">
        <f>'YR2021'!C48+'YR2022'!C48+'YR2023'!C48</f>
        <v>1192672.43</v>
      </c>
      <c r="D48" s="669">
        <f>'YR2021'!D48+'YR2022'!D48</f>
        <v>0</v>
      </c>
      <c r="E48" s="522"/>
      <c r="F48" s="618">
        <f t="shared" si="0"/>
        <v>-0.42999999993480742</v>
      </c>
    </row>
    <row r="49" spans="1:8">
      <c r="A49" s="506" t="s">
        <v>110</v>
      </c>
      <c r="B49" s="503">
        <f>'YR2021'!B49+'YR2022'!B49+'YR2023'!B49</f>
        <v>592438</v>
      </c>
      <c r="C49" s="503">
        <f>'YR2021'!C49+'YR2022'!C49+'YR2023'!C49</f>
        <v>592438.21</v>
      </c>
      <c r="D49" s="669">
        <f>'YR2021'!D49+'YR2022'!D49</f>
        <v>0</v>
      </c>
      <c r="E49" s="522"/>
      <c r="F49" s="515">
        <f t="shared" si="0"/>
        <v>-0.2099999999627471</v>
      </c>
      <c r="H49"/>
    </row>
    <row r="50" spans="1:8">
      <c r="A50" s="501" t="s">
        <v>112</v>
      </c>
      <c r="B50" s="623">
        <f>'YR2021'!B50+'YR2022'!B50+'YR2023'!B50</f>
        <v>16728587</v>
      </c>
      <c r="C50" s="623">
        <f>'YR2021'!C50+'YR2022'!C50+'YR2023'!C50</f>
        <v>16728587</v>
      </c>
      <c r="D50" s="534">
        <f>'YR2021'!D50+'YR2022'!D50</f>
        <v>0</v>
      </c>
      <c r="E50" s="534"/>
      <c r="F50" s="618">
        <f t="shared" si="0"/>
        <v>0</v>
      </c>
      <c r="H50"/>
    </row>
    <row r="51" spans="1:8">
      <c r="A51" s="506" t="s">
        <v>136</v>
      </c>
      <c r="B51" s="534">
        <f>'YR2021'!B51+'YR2022'!B51+'YR2023'!B51</f>
        <v>7062488</v>
      </c>
      <c r="C51" s="534">
        <f>'YR2021'!C51+'YR2022'!C51+'YR2023'!C51</f>
        <v>7062488</v>
      </c>
      <c r="D51" s="534">
        <f>'YR2021'!D51+'YR2022'!D51</f>
        <v>0</v>
      </c>
      <c r="E51" s="534"/>
      <c r="F51" s="515">
        <f t="shared" si="0"/>
        <v>0</v>
      </c>
      <c r="H51"/>
    </row>
    <row r="52" spans="1:8">
      <c r="A52" s="507" t="s">
        <v>114</v>
      </c>
      <c r="B52" s="670">
        <f>'YR2021'!B52+'YR2022'!B52+'YR2023'!B52</f>
        <v>8972322</v>
      </c>
      <c r="C52" s="670">
        <f>'YR2021'!C52+'YR2022'!C52+'YR2023'!C52</f>
        <v>8972321.540000001</v>
      </c>
      <c r="D52" s="534">
        <f>'YR2021'!D52+'YR2022'!D52</f>
        <v>0</v>
      </c>
      <c r="E52" s="534"/>
      <c r="F52" s="540">
        <f t="shared" si="0"/>
        <v>0.45999999903142452</v>
      </c>
      <c r="H52"/>
    </row>
    <row r="53" spans="1:8" ht="14.25" customHeight="1">
      <c r="A53" s="74" t="s">
        <v>115</v>
      </c>
      <c r="B53" s="503">
        <f>'YR2021'!B53+'YR2022'!B53+'YR2023'!B53</f>
        <v>31181</v>
      </c>
      <c r="C53" s="503">
        <f>'YR2021'!C53+'YR2022'!C53+'YR2023'!C53</f>
        <v>0</v>
      </c>
      <c r="D53" s="669">
        <f>'YR2021'!D53+'YR2022'!D53</f>
        <v>0</v>
      </c>
      <c r="E53" s="522"/>
      <c r="F53" s="515">
        <f t="shared" si="0"/>
        <v>31181</v>
      </c>
      <c r="H53"/>
    </row>
    <row r="54" spans="1:8">
      <c r="A54" s="506" t="s">
        <v>117</v>
      </c>
      <c r="B54" s="503">
        <f>'YR2021'!B54+'YR2022'!B54+'YR2023'!B54</f>
        <v>444329</v>
      </c>
      <c r="C54" s="503">
        <f>'YR2021'!C54+'YR2022'!C54+'YR2023'!C54</f>
        <v>0</v>
      </c>
      <c r="D54" s="669">
        <f>'YR2021'!D54+'YR2022'!D54</f>
        <v>0</v>
      </c>
      <c r="E54" s="522"/>
      <c r="F54" s="515">
        <f t="shared" si="0"/>
        <v>444329</v>
      </c>
      <c r="H54"/>
    </row>
    <row r="55" spans="1:8">
      <c r="A55" s="501" t="s">
        <v>119</v>
      </c>
      <c r="B55" s="623">
        <f>'YR2021'!B55+'YR2022'!B55+'YR2023'!B55</f>
        <v>35600865</v>
      </c>
      <c r="C55" s="623">
        <f>'YR2021'!C55+'YR2022'!C55+'YR2023'!C55</f>
        <v>35600864.810000002</v>
      </c>
      <c r="D55" s="534">
        <f>'YR2021'!D55+'YR2022'!D55</f>
        <v>0</v>
      </c>
      <c r="E55" s="534"/>
      <c r="F55" s="618">
        <f t="shared" si="0"/>
        <v>0.18999999761581421</v>
      </c>
      <c r="H55"/>
    </row>
    <row r="56" spans="1:8">
      <c r="A56" s="507" t="s">
        <v>120</v>
      </c>
      <c r="B56" s="670">
        <f>'YR2021'!B56+'YR2022'!B56+'YR2023'!B56</f>
        <v>103214767.9999999</v>
      </c>
      <c r="C56" s="670">
        <f>'YR2021'!C56+'YR2022'!C56+'YR2023'!C56</f>
        <v>103214767</v>
      </c>
      <c r="D56" s="534">
        <f>'YR2021'!D56+'YR2022'!D56</f>
        <v>0</v>
      </c>
      <c r="E56" s="534"/>
      <c r="F56" s="540">
        <f>B56-C56-D56-E56</f>
        <v>0.99999989569187164</v>
      </c>
      <c r="H56"/>
    </row>
    <row r="57" spans="1:8" ht="15" thickBot="1">
      <c r="A57" s="506" t="s">
        <v>121</v>
      </c>
      <c r="B57" s="503">
        <f>'YR2021'!B57+'YR2022'!B57+'YR2023'!B57</f>
        <v>249448</v>
      </c>
      <c r="C57" s="503">
        <f>'YR2021'!C57+'YR2022'!C57+'YR2023'!C57</f>
        <v>167900</v>
      </c>
      <c r="D57" s="672">
        <f>'YR2021'!D57+'YR2022'!D57</f>
        <v>0</v>
      </c>
      <c r="E57" s="617"/>
      <c r="F57" s="515">
        <f t="shared" si="0"/>
        <v>81548</v>
      </c>
      <c r="H57"/>
    </row>
    <row r="58" spans="1:8" ht="15" thickBot="1">
      <c r="A58" s="514" t="s">
        <v>124</v>
      </c>
      <c r="B58" s="548">
        <f>SUM(B9:B57)</f>
        <v>473714766.99999988</v>
      </c>
      <c r="C58" s="548">
        <f>SUM(C9:C57)</f>
        <v>436814356.03000009</v>
      </c>
      <c r="D58" s="548">
        <f>SUM(D9:D57)</f>
        <v>11762610</v>
      </c>
      <c r="E58" s="553">
        <f>SUM(E9:E57)</f>
        <v>0</v>
      </c>
      <c r="F58" s="549">
        <f>SUM(F9:F57)</f>
        <v>25137800.969999902</v>
      </c>
      <c r="H58" s="675">
        <f>F58-D58</f>
        <v>13375190.969999902</v>
      </c>
    </row>
    <row r="59" spans="1:8" ht="15" thickBot="1">
      <c r="A59" s="521" t="s">
        <v>137</v>
      </c>
      <c r="B59" s="169">
        <f>'YR2021'!B59+'YR2022'!B59+'YR2023'!B59</f>
        <v>1285232</v>
      </c>
      <c r="C59" s="522">
        <v>0</v>
      </c>
      <c r="D59" s="522">
        <v>0</v>
      </c>
      <c r="E59" s="560">
        <v>0</v>
      </c>
      <c r="F59" s="170">
        <f>B59-C59-D59-E59</f>
        <v>1285232</v>
      </c>
      <c r="H59"/>
    </row>
    <row r="60" spans="1:8" ht="15" thickBot="1">
      <c r="A60" s="523" t="s">
        <v>138</v>
      </c>
      <c r="B60" s="83">
        <f>B58+B59</f>
        <v>474999998.99999988</v>
      </c>
      <c r="C60" s="83">
        <f>C58+C59</f>
        <v>436814356.03000009</v>
      </c>
      <c r="D60" s="83">
        <f>D58+D59</f>
        <v>11762610</v>
      </c>
      <c r="E60" s="561">
        <f>E58+E59</f>
        <v>0</v>
      </c>
      <c r="F60" s="171">
        <f>F58+F59</f>
        <v>26423032.969999902</v>
      </c>
      <c r="H60"/>
    </row>
    <row r="61" spans="1:8">
      <c r="A61" s="666" t="s">
        <v>255</v>
      </c>
      <c r="B61" s="525"/>
      <c r="C61" s="525"/>
      <c r="D61" s="525"/>
      <c r="E61" s="525"/>
      <c r="F61" s="525"/>
      <c r="H61"/>
    </row>
    <row r="62" spans="1:8" ht="15" thickBot="1">
      <c r="A62" s="667"/>
      <c r="B62" s="516"/>
      <c r="C62" s="516"/>
      <c r="D62" s="516"/>
      <c r="E62" s="516"/>
      <c r="F62" s="516"/>
    </row>
    <row r="63" spans="1:8" ht="15" thickBot="1">
      <c r="A63" s="526" t="s">
        <v>139</v>
      </c>
      <c r="B63" s="527">
        <f>B12+B13+B15+B19+B21+B27+B33+B34+B36+B43+B46+B48+B49+B53+B54+B57</f>
        <v>35273465</v>
      </c>
      <c r="C63" s="527">
        <f>C12+C13+C15+C19+C21+C27+C33+C36+C43+C46+C48+C49+C53+C54+C57</f>
        <v>15435299.57</v>
      </c>
      <c r="D63" s="527">
        <f>D12+D13+D15+D19+D21+D26+D34+D36+D43+D46+D48+D49+D53+D54+D57</f>
        <v>0</v>
      </c>
      <c r="E63" s="562">
        <f>E12+E13+E15+E19+E21+E26+E34+E36+E43+E46+E48+E49+E53+E54+E57</f>
        <v>0</v>
      </c>
      <c r="F63" s="528">
        <f>B63-C63-D63-E63</f>
        <v>19838165.43</v>
      </c>
    </row>
    <row r="64" spans="1:8">
      <c r="B64" s="482"/>
      <c r="C64" s="482"/>
      <c r="D64" s="482"/>
    </row>
    <row r="66" spans="5:7">
      <c r="G66" s="112"/>
    </row>
    <row r="69" spans="5:7">
      <c r="E69" s="112"/>
      <c r="F69" s="112"/>
      <c r="G69" s="112"/>
    </row>
    <row r="70" spans="5:7">
      <c r="E70" s="112"/>
      <c r="F70" s="112"/>
      <c r="G70" s="112"/>
    </row>
  </sheetData>
  <autoFilter ref="A8:F61" xr:uid="{F84FE1A5-D2E0-41E1-B816-359E90B3A520}"/>
  <mergeCells count="4">
    <mergeCell ref="A1:B1"/>
    <mergeCell ref="A5:F5"/>
    <mergeCell ref="A6:F6"/>
    <mergeCell ref="A7:F7"/>
  </mergeCells>
  <printOptions horizontalCentered="1"/>
  <pageMargins left="0.118110236220472" right="0.118110236220472" top="0.27559055118110198" bottom="0.196850393700787" header="0.27559055118110198" footer="0.118110236220472"/>
  <pageSetup scale="77"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AF83-A94A-4374-BD75-694C78BF034D}">
  <sheetPr>
    <pageSetUpPr fitToPage="1"/>
  </sheetPr>
  <dimension ref="A1:M66"/>
  <sheetViews>
    <sheetView topLeftCell="A41" zoomScaleNormal="100" workbookViewId="0">
      <selection activeCell="C25" sqref="C25"/>
    </sheetView>
  </sheetViews>
  <sheetFormatPr defaultRowHeight="14.5"/>
  <cols>
    <col min="1" max="1" width="30.7265625" customWidth="1"/>
    <col min="2" max="6" width="20.7265625" customWidth="1"/>
    <col min="8" max="8" width="16.54296875" customWidth="1"/>
    <col min="9" max="9" width="10.26953125" bestFit="1" customWidth="1"/>
    <col min="12" max="12" width="13.7265625" bestFit="1" customWidth="1"/>
  </cols>
  <sheetData>
    <row r="1" spans="1:7" ht="18">
      <c r="A1" s="738"/>
      <c r="B1" s="738"/>
      <c r="C1" s="62"/>
      <c r="D1" s="62"/>
      <c r="E1" s="63"/>
      <c r="F1" s="64" t="str">
        <f>Status!C1</f>
        <v>UNEP/OzL.Pro/ExCom/94/3</v>
      </c>
    </row>
    <row r="2" spans="1:7" ht="18">
      <c r="A2" s="95"/>
      <c r="B2" s="62"/>
      <c r="C2" s="62"/>
      <c r="D2" s="62"/>
      <c r="E2" s="63"/>
      <c r="F2" s="64" t="s">
        <v>0</v>
      </c>
    </row>
    <row r="3" spans="1:7" ht="18">
      <c r="A3" s="23"/>
      <c r="B3" s="62"/>
      <c r="C3" s="62"/>
      <c r="D3" s="62"/>
      <c r="E3" s="64"/>
      <c r="F3" s="64" t="s">
        <v>142</v>
      </c>
    </row>
    <row r="4" spans="1:7" ht="15.5">
      <c r="A4" s="1"/>
      <c r="B4" s="62"/>
      <c r="C4" s="62"/>
      <c r="D4" s="62"/>
      <c r="E4" s="62"/>
      <c r="F4" s="62"/>
    </row>
    <row r="5" spans="1:7" ht="19.5" customHeight="1">
      <c r="A5" s="735" t="s">
        <v>2</v>
      </c>
      <c r="B5" s="735"/>
      <c r="C5" s="735"/>
      <c r="D5" s="735"/>
      <c r="E5" s="735"/>
      <c r="F5" s="735"/>
    </row>
    <row r="6" spans="1:7" ht="15.5">
      <c r="A6" s="729" t="s">
        <v>275</v>
      </c>
      <c r="B6" s="729"/>
      <c r="C6" s="729"/>
      <c r="D6" s="729"/>
      <c r="E6" s="729"/>
      <c r="F6" s="729"/>
    </row>
    <row r="7" spans="1:7" ht="16.5" thickBot="1">
      <c r="A7" s="728" t="str">
        <f>Status!A6</f>
        <v>As at 24/05/2024</v>
      </c>
      <c r="B7" s="728"/>
      <c r="C7" s="728"/>
      <c r="D7" s="728"/>
      <c r="E7" s="728"/>
      <c r="F7" s="728"/>
    </row>
    <row r="8" spans="1:7" ht="27" thickBot="1">
      <c r="A8" s="68" t="s">
        <v>60</v>
      </c>
      <c r="B8" s="69" t="s">
        <v>61</v>
      </c>
      <c r="C8" s="69" t="s">
        <v>62</v>
      </c>
      <c r="D8" s="629" t="s">
        <v>63</v>
      </c>
      <c r="E8" s="69" t="s">
        <v>64</v>
      </c>
      <c r="F8" s="70" t="s">
        <v>65</v>
      </c>
    </row>
    <row r="9" spans="1:7">
      <c r="A9" s="501" t="s">
        <v>67</v>
      </c>
      <c r="B9" s="619">
        <v>12992</v>
      </c>
      <c r="C9" s="619">
        <v>12992</v>
      </c>
      <c r="D9" s="635"/>
      <c r="E9" s="620"/>
      <c r="F9" s="618">
        <f t="shared" ref="F9:F59" si="0">B9-C9-D9-E9</f>
        <v>0</v>
      </c>
      <c r="G9" s="516"/>
    </row>
    <row r="10" spans="1:7">
      <c r="A10" s="506" t="s">
        <v>130</v>
      </c>
      <c r="B10" s="503">
        <v>5742494</v>
      </c>
      <c r="C10" s="503">
        <f>6924274-552388</f>
        <v>6371886</v>
      </c>
      <c r="D10" s="503">
        <v>552388</v>
      </c>
      <c r="E10" s="503"/>
      <c r="F10" s="515">
        <f t="shared" si="0"/>
        <v>-1181780</v>
      </c>
      <c r="G10" s="516"/>
    </row>
    <row r="11" spans="1:7">
      <c r="A11" s="506" t="s">
        <v>69</v>
      </c>
      <c r="B11" s="503">
        <v>1759126</v>
      </c>
      <c r="C11" s="503">
        <v>1415621</v>
      </c>
      <c r="D11" s="503"/>
      <c r="E11" s="503"/>
      <c r="F11" s="515">
        <f t="shared" si="0"/>
        <v>343505</v>
      </c>
      <c r="G11" s="516"/>
    </row>
    <row r="12" spans="1:7">
      <c r="A12" s="517" t="s">
        <v>70</v>
      </c>
      <c r="B12" s="503">
        <v>127322.33333333333</v>
      </c>
      <c r="C12" s="503"/>
      <c r="D12" s="503"/>
      <c r="E12" s="503"/>
      <c r="F12" s="515">
        <f t="shared" si="0"/>
        <v>127322.33333333333</v>
      </c>
      <c r="G12" s="516"/>
    </row>
    <row r="13" spans="1:7">
      <c r="A13" s="506" t="s">
        <v>71</v>
      </c>
      <c r="B13" s="503">
        <v>127322.33333333333</v>
      </c>
      <c r="C13" s="503">
        <v>129665</v>
      </c>
      <c r="D13" s="503"/>
      <c r="E13" s="503"/>
      <c r="F13" s="515">
        <f t="shared" si="0"/>
        <v>-2342.6666666666715</v>
      </c>
      <c r="G13" s="516"/>
    </row>
    <row r="14" spans="1:7">
      <c r="A14" s="506" t="s">
        <v>72</v>
      </c>
      <c r="B14" s="503">
        <v>2133297.6666666665</v>
      </c>
      <c r="C14" s="503">
        <v>1820103</v>
      </c>
      <c r="D14" s="503"/>
      <c r="E14" s="503"/>
      <c r="F14" s="515">
        <f t="shared" si="0"/>
        <v>313194.66666666651</v>
      </c>
      <c r="G14" s="516"/>
    </row>
    <row r="15" spans="1:7">
      <c r="A15" s="506" t="s">
        <v>73</v>
      </c>
      <c r="B15" s="503">
        <v>119527</v>
      </c>
      <c r="C15" s="503">
        <v>131915</v>
      </c>
      <c r="D15" s="503"/>
      <c r="E15" s="503"/>
      <c r="F15" s="515">
        <f t="shared" si="0"/>
        <v>-12388</v>
      </c>
      <c r="G15" s="516"/>
    </row>
    <row r="16" spans="1:7">
      <c r="A16" s="506" t="s">
        <v>131</v>
      </c>
      <c r="B16" s="503">
        <v>7104062.666666667</v>
      </c>
      <c r="C16" s="534">
        <f>1881838.87+3710478.48+1346706.05</f>
        <v>6939023.3999999994</v>
      </c>
      <c r="D16" s="503"/>
      <c r="E16" s="503"/>
      <c r="F16" s="515">
        <f t="shared" si="0"/>
        <v>165039.26666666754</v>
      </c>
      <c r="G16" s="516"/>
    </row>
    <row r="17" spans="1:13">
      <c r="A17" s="506" t="s">
        <v>75</v>
      </c>
      <c r="B17" s="503">
        <v>200078</v>
      </c>
      <c r="C17" s="503">
        <v>97650</v>
      </c>
      <c r="D17" s="503"/>
      <c r="E17" s="503"/>
      <c r="F17" s="515">
        <f t="shared" si="0"/>
        <v>102428</v>
      </c>
      <c r="G17" s="516"/>
    </row>
    <row r="18" spans="1:13">
      <c r="A18" s="506" t="s">
        <v>76</v>
      </c>
      <c r="B18" s="503">
        <v>93543</v>
      </c>
      <c r="C18" s="503">
        <v>58173</v>
      </c>
      <c r="D18" s="503"/>
      <c r="E18" s="503"/>
      <c r="F18" s="515">
        <f t="shared" si="0"/>
        <v>35370</v>
      </c>
      <c r="G18" s="516"/>
    </row>
    <row r="19" spans="1:13">
      <c r="A19" s="506" t="s">
        <v>77</v>
      </c>
      <c r="B19" s="503">
        <v>808106.66666666663</v>
      </c>
      <c r="C19" s="503">
        <v>690320</v>
      </c>
      <c r="D19" s="503"/>
      <c r="E19" s="503"/>
      <c r="F19" s="515">
        <f t="shared" si="0"/>
        <v>117786.66666666663</v>
      </c>
      <c r="G19" s="516"/>
    </row>
    <row r="20" spans="1:13">
      <c r="A20" s="506" t="s">
        <v>78</v>
      </c>
      <c r="B20" s="503">
        <v>1439521</v>
      </c>
      <c r="C20" s="503">
        <v>1306566</v>
      </c>
      <c r="D20" s="503"/>
      <c r="E20" s="503"/>
      <c r="F20" s="515">
        <f t="shared" si="0"/>
        <v>132955</v>
      </c>
      <c r="G20" s="516"/>
    </row>
    <row r="21" spans="1:13">
      <c r="A21" s="506" t="s">
        <v>79</v>
      </c>
      <c r="B21" s="503">
        <v>101338</v>
      </c>
      <c r="C21" s="503">
        <v>58241</v>
      </c>
      <c r="D21" s="503"/>
      <c r="E21" s="503"/>
      <c r="F21" s="515">
        <f t="shared" si="0"/>
        <v>43097</v>
      </c>
      <c r="G21" s="516"/>
    </row>
    <row r="22" spans="1:13">
      <c r="A22" s="506" t="s">
        <v>80</v>
      </c>
      <c r="B22" s="503">
        <v>1093932</v>
      </c>
      <c r="C22" s="503">
        <f>1093936.8-14</f>
        <v>1093922.8</v>
      </c>
      <c r="D22" s="503"/>
      <c r="E22" s="503"/>
      <c r="F22" s="515">
        <f t="shared" si="0"/>
        <v>9.1999999999534339</v>
      </c>
      <c r="G22" s="516"/>
    </row>
    <row r="23" spans="1:13">
      <c r="A23" s="506" t="s">
        <v>132</v>
      </c>
      <c r="B23" s="503">
        <v>11503177</v>
      </c>
      <c r="C23" s="503">
        <v>11503177</v>
      </c>
      <c r="D23" s="503"/>
      <c r="E23" s="503"/>
      <c r="F23" s="515">
        <f t="shared" si="0"/>
        <v>0</v>
      </c>
      <c r="G23" s="516"/>
    </row>
    <row r="24" spans="1:13">
      <c r="A24" s="506" t="s">
        <v>133</v>
      </c>
      <c r="B24" s="503">
        <v>15824338.666666666</v>
      </c>
      <c r="C24" s="503">
        <f>5540534.55+7320474</f>
        <v>12861008.550000001</v>
      </c>
      <c r="D24" s="503">
        <f>305100-895306-33900+1548940</f>
        <v>924834</v>
      </c>
      <c r="E24" s="503"/>
      <c r="F24" s="515">
        <f>B24-C24-D24-E24</f>
        <v>2038496.1166666653</v>
      </c>
      <c r="G24" s="516"/>
      <c r="H24" s="112"/>
      <c r="I24" s="112" t="s">
        <v>257</v>
      </c>
      <c r="L24" s="494">
        <f>H24*20%</f>
        <v>0</v>
      </c>
      <c r="M24" t="s">
        <v>258</v>
      </c>
    </row>
    <row r="25" spans="1:13">
      <c r="A25" s="506" t="s">
        <v>83</v>
      </c>
      <c r="B25" s="503">
        <v>951019.33333333337</v>
      </c>
      <c r="C25" s="503">
        <f>683322-14</f>
        <v>683308</v>
      </c>
      <c r="D25" s="503"/>
      <c r="E25" s="503"/>
      <c r="F25" s="515">
        <f t="shared" si="0"/>
        <v>267711.33333333337</v>
      </c>
      <c r="G25" s="516"/>
    </row>
    <row r="26" spans="1:13">
      <c r="A26" s="506" t="s">
        <v>84</v>
      </c>
      <c r="B26" s="503">
        <v>2598.3333333333335</v>
      </c>
      <c r="C26" s="503">
        <v>2599</v>
      </c>
      <c r="D26" s="503"/>
      <c r="E26" s="503"/>
      <c r="F26" s="515">
        <f t="shared" si="0"/>
        <v>-0.66666666666651508</v>
      </c>
      <c r="G26" s="516"/>
      <c r="L26" s="494"/>
    </row>
    <row r="27" spans="1:13">
      <c r="A27" s="506" t="s">
        <v>85</v>
      </c>
      <c r="B27" s="503">
        <v>535273.33333333337</v>
      </c>
      <c r="C27" s="503">
        <v>757369</v>
      </c>
      <c r="D27" s="503"/>
      <c r="E27" s="503"/>
      <c r="F27" s="515">
        <f t="shared" si="0"/>
        <v>-222095.66666666663</v>
      </c>
      <c r="G27" s="516"/>
      <c r="I27" s="516">
        <f>D24+'YR2022'!D24+'YR2021'!D24</f>
        <v>9494603</v>
      </c>
    </row>
    <row r="28" spans="1:13">
      <c r="A28" s="506" t="s">
        <v>86</v>
      </c>
      <c r="B28" s="503">
        <v>72755.666666666672</v>
      </c>
      <c r="C28" s="503"/>
      <c r="D28" s="503"/>
      <c r="E28" s="503"/>
      <c r="F28" s="515">
        <f t="shared" si="0"/>
        <v>72755.666666666672</v>
      </c>
      <c r="G28" s="516"/>
    </row>
    <row r="29" spans="1:13">
      <c r="A29" s="506" t="s">
        <v>134</v>
      </c>
      <c r="B29" s="503">
        <v>964011.33333333337</v>
      </c>
      <c r="C29" s="503">
        <v>964003</v>
      </c>
      <c r="D29" s="503"/>
      <c r="E29" s="503"/>
      <c r="F29" s="515">
        <f t="shared" si="0"/>
        <v>8.3333333333721384</v>
      </c>
      <c r="G29" s="516"/>
    </row>
    <row r="30" spans="1:13">
      <c r="A30" s="506" t="s">
        <v>88</v>
      </c>
      <c r="B30" s="503">
        <v>1273222.6666666667</v>
      </c>
      <c r="C30" s="503"/>
      <c r="D30" s="503"/>
      <c r="E30" s="503"/>
      <c r="F30" s="515">
        <f t="shared" si="0"/>
        <v>1273222.6666666667</v>
      </c>
      <c r="G30" s="516"/>
    </row>
    <row r="31" spans="1:13">
      <c r="A31" s="506" t="s">
        <v>89</v>
      </c>
      <c r="B31" s="503">
        <v>8592953.666666666</v>
      </c>
      <c r="C31" s="503">
        <v>8592877</v>
      </c>
      <c r="D31" s="503"/>
      <c r="E31" s="503"/>
      <c r="F31" s="515">
        <f t="shared" si="0"/>
        <v>76.666666666045785</v>
      </c>
      <c r="G31" s="516"/>
    </row>
    <row r="32" spans="1:13">
      <c r="A32" s="506" t="s">
        <v>135</v>
      </c>
      <c r="B32" s="503">
        <v>22252814</v>
      </c>
      <c r="C32" s="503">
        <f>16029773+431802+220216+8257344-67800</f>
        <v>24871335</v>
      </c>
      <c r="D32" s="503">
        <v>67800</v>
      </c>
      <c r="E32" s="503"/>
      <c r="F32" s="515">
        <f t="shared" si="0"/>
        <v>-2686321</v>
      </c>
      <c r="G32" s="516"/>
    </row>
    <row r="33" spans="1:7">
      <c r="A33" s="506" t="s">
        <v>91</v>
      </c>
      <c r="B33" s="503">
        <v>462517.66666666669</v>
      </c>
      <c r="C33" s="503"/>
      <c r="D33" s="503"/>
      <c r="E33" s="503"/>
      <c r="F33" s="515">
        <f t="shared" si="0"/>
        <v>462517.66666666669</v>
      </c>
      <c r="G33" s="516"/>
    </row>
    <row r="34" spans="1:7">
      <c r="A34" s="506" t="s">
        <v>93</v>
      </c>
      <c r="B34" s="503">
        <v>122125.33333333333</v>
      </c>
      <c r="C34" s="503">
        <v>107640.4</v>
      </c>
      <c r="D34" s="503"/>
      <c r="E34" s="503"/>
      <c r="F34" s="515">
        <f t="shared" si="0"/>
        <v>14484.933333333334</v>
      </c>
      <c r="G34" s="516"/>
    </row>
    <row r="35" spans="1:7">
      <c r="A35" s="506" t="s">
        <v>94</v>
      </c>
      <c r="B35" s="503">
        <v>23385.666666666668</v>
      </c>
      <c r="C35" s="503">
        <v>23385</v>
      </c>
      <c r="D35" s="503"/>
      <c r="E35" s="503"/>
      <c r="F35" s="515">
        <f t="shared" si="0"/>
        <v>0.66666666666787933</v>
      </c>
      <c r="G35" s="516"/>
    </row>
    <row r="36" spans="1:7">
      <c r="A36" s="506" t="s">
        <v>95</v>
      </c>
      <c r="B36" s="503">
        <v>184487.33333333334</v>
      </c>
      <c r="C36" s="503">
        <f>76248+104515.28-3</f>
        <v>180760.28</v>
      </c>
      <c r="D36" s="503"/>
      <c r="E36" s="503"/>
      <c r="F36" s="515">
        <f t="shared" si="0"/>
        <v>3727.0533333333442</v>
      </c>
      <c r="G36" s="516"/>
    </row>
    <row r="37" spans="1:7">
      <c r="A37" s="506" t="s">
        <v>96</v>
      </c>
      <c r="B37" s="503">
        <v>174093.66666666666</v>
      </c>
      <c r="C37" s="503">
        <v>190991</v>
      </c>
      <c r="D37" s="503"/>
      <c r="E37" s="503"/>
      <c r="F37" s="515">
        <f t="shared" si="0"/>
        <v>-16897.333333333343</v>
      </c>
      <c r="G37" s="516"/>
    </row>
    <row r="38" spans="1:7">
      <c r="A38" s="506" t="s">
        <v>97</v>
      </c>
      <c r="B38" s="503">
        <v>44173</v>
      </c>
      <c r="C38" s="503"/>
      <c r="D38" s="503"/>
      <c r="E38" s="503"/>
      <c r="F38" s="515">
        <f t="shared" si="0"/>
        <v>44173</v>
      </c>
      <c r="G38" s="516"/>
    </row>
    <row r="39" spans="1:7">
      <c r="A39" s="506" t="s">
        <v>98</v>
      </c>
      <c r="B39" s="503">
        <v>28582.666666666668</v>
      </c>
      <c r="C39" s="503">
        <v>28582</v>
      </c>
      <c r="D39" s="503"/>
      <c r="E39" s="503"/>
      <c r="F39" s="515">
        <f t="shared" si="0"/>
        <v>0.66666666666787933</v>
      </c>
      <c r="G39" s="516"/>
    </row>
    <row r="40" spans="1:7">
      <c r="A40" s="506" t="s">
        <v>99</v>
      </c>
      <c r="B40" s="503">
        <v>3523449</v>
      </c>
      <c r="C40" s="503">
        <v>3100681</v>
      </c>
      <c r="D40" s="503"/>
      <c r="E40" s="503"/>
      <c r="F40" s="515">
        <f t="shared" si="0"/>
        <v>422768</v>
      </c>
      <c r="G40" s="516"/>
    </row>
    <row r="41" spans="1:7">
      <c r="A41" s="506" t="s">
        <v>100</v>
      </c>
      <c r="B41" s="503">
        <v>756138.33333333337</v>
      </c>
      <c r="C41" s="503">
        <v>1068869</v>
      </c>
      <c r="D41" s="503"/>
      <c r="E41" s="503"/>
      <c r="F41" s="515">
        <f t="shared" si="0"/>
        <v>-312730.66666666663</v>
      </c>
      <c r="G41" s="516"/>
    </row>
    <row r="42" spans="1:7">
      <c r="A42" s="506" t="s">
        <v>101</v>
      </c>
      <c r="B42" s="503">
        <v>1959204</v>
      </c>
      <c r="C42" s="503">
        <v>2178456</v>
      </c>
      <c r="D42" s="503"/>
      <c r="E42" s="503"/>
      <c r="F42" s="515">
        <f t="shared" si="0"/>
        <v>-219252</v>
      </c>
      <c r="G42" s="516"/>
    </row>
    <row r="43" spans="1:7">
      <c r="A43" s="506" t="s">
        <v>103</v>
      </c>
      <c r="B43" s="503">
        <v>2083927.6666666667</v>
      </c>
      <c r="C43" s="503">
        <v>2083927.69</v>
      </c>
      <c r="D43" s="503"/>
      <c r="E43" s="503"/>
      <c r="F43" s="515">
        <f t="shared" si="0"/>
        <v>-2.3333333199843764E-2</v>
      </c>
      <c r="G43" s="516"/>
    </row>
    <row r="44" spans="1:7">
      <c r="A44" s="506" t="s">
        <v>104</v>
      </c>
      <c r="B44" s="503">
        <v>909444.66666666663</v>
      </c>
      <c r="C44" s="503">
        <v>700180</v>
      </c>
      <c r="D44" s="503"/>
      <c r="E44" s="503"/>
      <c r="F44" s="515">
        <f t="shared" si="0"/>
        <v>209264.66666666663</v>
      </c>
      <c r="G44" s="516"/>
    </row>
    <row r="45" spans="1:7">
      <c r="A45" s="506" t="s">
        <v>105</v>
      </c>
      <c r="B45" s="503">
        <v>514486</v>
      </c>
      <c r="C45" s="503"/>
      <c r="D45" s="503"/>
      <c r="E45" s="503"/>
      <c r="F45" s="515">
        <f t="shared" si="0"/>
        <v>514486</v>
      </c>
      <c r="G45" s="516"/>
    </row>
    <row r="46" spans="1:7">
      <c r="A46" s="506" t="s">
        <v>106</v>
      </c>
      <c r="B46" s="503">
        <v>6249184.666666667</v>
      </c>
      <c r="C46" s="503"/>
      <c r="D46" s="503"/>
      <c r="E46" s="503"/>
      <c r="F46" s="515">
        <f t="shared" si="0"/>
        <v>6249184.666666667</v>
      </c>
      <c r="G46" s="516"/>
    </row>
    <row r="47" spans="1:7">
      <c r="A47" s="506" t="s">
        <v>107</v>
      </c>
      <c r="B47" s="503">
        <v>5196.666666666667</v>
      </c>
      <c r="C47" s="503">
        <v>5197</v>
      </c>
      <c r="D47" s="503"/>
      <c r="E47" s="503"/>
      <c r="F47" s="515">
        <f t="shared" si="0"/>
        <v>-0.33333333333303017</v>
      </c>
      <c r="G47" s="516"/>
    </row>
    <row r="48" spans="1:7">
      <c r="A48" s="506" t="s">
        <v>109</v>
      </c>
      <c r="B48" s="503">
        <v>397557.33333333331</v>
      </c>
      <c r="C48" s="503">
        <v>364788.23</v>
      </c>
      <c r="D48" s="503"/>
      <c r="E48" s="503"/>
      <c r="F48" s="515">
        <f t="shared" si="0"/>
        <v>32769.103333333333</v>
      </c>
      <c r="G48" s="516"/>
    </row>
    <row r="49" spans="1:10">
      <c r="A49" s="506" t="s">
        <v>110</v>
      </c>
      <c r="B49" s="503">
        <v>197479.33333333334</v>
      </c>
      <c r="C49" s="503">
        <v>157790.21</v>
      </c>
      <c r="D49" s="503"/>
      <c r="E49" s="503"/>
      <c r="F49" s="515">
        <f t="shared" si="0"/>
        <v>39689.123333333351</v>
      </c>
      <c r="G49" s="516"/>
    </row>
    <row r="50" spans="1:10">
      <c r="A50" s="506" t="s">
        <v>112</v>
      </c>
      <c r="B50" s="503">
        <v>5576195.666666667</v>
      </c>
      <c r="C50" s="503">
        <v>4085805</v>
      </c>
      <c r="D50" s="503"/>
      <c r="E50" s="503"/>
      <c r="F50" s="515">
        <f t="shared" si="0"/>
        <v>1490390.666666667</v>
      </c>
      <c r="G50" s="516"/>
    </row>
    <row r="51" spans="1:10">
      <c r="A51" s="506" t="s">
        <v>136</v>
      </c>
      <c r="B51" s="503">
        <v>2354162.6666666665</v>
      </c>
      <c r="C51" s="503">
        <v>2354186</v>
      </c>
      <c r="D51" s="503"/>
      <c r="E51" s="503"/>
      <c r="F51" s="515">
        <f t="shared" si="0"/>
        <v>-23.333333333488554</v>
      </c>
      <c r="G51" s="516"/>
    </row>
    <row r="52" spans="1:10">
      <c r="A52" s="506" t="s">
        <v>114</v>
      </c>
      <c r="B52" s="503">
        <v>2990774</v>
      </c>
      <c r="C52" s="503">
        <v>1919582.14</v>
      </c>
      <c r="D52" s="503"/>
      <c r="E52" s="503"/>
      <c r="F52" s="515">
        <f t="shared" si="0"/>
        <v>1071191.8600000001</v>
      </c>
      <c r="G52" s="516"/>
    </row>
    <row r="53" spans="1:10" ht="18" customHeight="1">
      <c r="A53" s="506" t="s">
        <v>115</v>
      </c>
      <c r="B53" s="503">
        <v>10393.666666666666</v>
      </c>
      <c r="C53" s="503"/>
      <c r="D53" s="503"/>
      <c r="E53" s="503"/>
      <c r="F53" s="515">
        <f t="shared" si="0"/>
        <v>10393.666666666666</v>
      </c>
      <c r="G53" s="516"/>
    </row>
    <row r="54" spans="1:10">
      <c r="A54" s="506" t="s">
        <v>117</v>
      </c>
      <c r="B54" s="503">
        <v>148109.66666666666</v>
      </c>
      <c r="C54" s="503"/>
      <c r="D54" s="503"/>
      <c r="E54" s="503"/>
      <c r="F54" s="515">
        <f t="shared" si="0"/>
        <v>148109.66666666666</v>
      </c>
      <c r="G54" s="516"/>
    </row>
    <row r="55" spans="1:10">
      <c r="A55" s="506" t="s">
        <v>119</v>
      </c>
      <c r="B55" s="503">
        <v>11866955</v>
      </c>
      <c r="C55" s="503">
        <v>12792602.810000001</v>
      </c>
      <c r="D55" s="503"/>
      <c r="E55" s="503"/>
      <c r="F55" s="515">
        <f t="shared" si="0"/>
        <v>-925647.81000000052</v>
      </c>
      <c r="G55" s="516"/>
    </row>
    <row r="56" spans="1:10">
      <c r="A56" s="506" t="s">
        <v>120</v>
      </c>
      <c r="B56" s="503">
        <f>34833333.3333333-318459</f>
        <v>34514874.333333299</v>
      </c>
      <c r="C56" s="503">
        <f>64498573+8326000+303197+49400000-88012896</f>
        <v>34514874</v>
      </c>
      <c r="D56" s="503"/>
      <c r="E56" s="503"/>
      <c r="F56" s="515">
        <f t="shared" si="0"/>
        <v>0.33333329856395721</v>
      </c>
      <c r="G56" s="516"/>
      <c r="H56" s="482"/>
      <c r="I56" s="482"/>
      <c r="J56" s="482"/>
    </row>
    <row r="57" spans="1:10" ht="15" thickBot="1">
      <c r="A57" s="507" t="s">
        <v>121</v>
      </c>
      <c r="B57" s="535">
        <v>83149.333333333328</v>
      </c>
      <c r="C57" s="535">
        <v>55200</v>
      </c>
      <c r="D57" s="535"/>
      <c r="E57" s="535"/>
      <c r="F57" s="540">
        <f t="shared" si="0"/>
        <v>27949.333333333328</v>
      </c>
      <c r="G57" s="516"/>
    </row>
    <row r="58" spans="1:10" ht="15" thickBot="1">
      <c r="A58" s="514" t="s">
        <v>124</v>
      </c>
      <c r="B58" s="548">
        <f>SUM(B9:B57)</f>
        <v>158014874.00000003</v>
      </c>
      <c r="C58" s="548">
        <f>SUM(C9:C57)</f>
        <v>146275252.50999999</v>
      </c>
      <c r="D58" s="548">
        <f>SUM(D9:D57)</f>
        <v>1545022</v>
      </c>
      <c r="E58" s="553">
        <f>SUM(E9:E57)</f>
        <v>0</v>
      </c>
      <c r="F58" s="549">
        <f>SUM(F9:F57)</f>
        <v>10194599.489999963</v>
      </c>
      <c r="G58" s="516"/>
      <c r="H58" s="498">
        <f>C58/B58</f>
        <v>0.92570559218368242</v>
      </c>
    </row>
    <row r="59" spans="1:10" ht="15" thickBot="1">
      <c r="A59" s="521" t="s">
        <v>137</v>
      </c>
      <c r="B59" s="169">
        <f>318459</f>
        <v>318459</v>
      </c>
      <c r="C59" s="169"/>
      <c r="D59" s="169"/>
      <c r="E59" s="169"/>
      <c r="F59" s="554">
        <f t="shared" si="0"/>
        <v>318459</v>
      </c>
      <c r="G59" s="516"/>
    </row>
    <row r="60" spans="1:10" ht="15" thickBot="1">
      <c r="A60" s="555" t="s">
        <v>138</v>
      </c>
      <c r="B60" s="556">
        <f>B58+B59</f>
        <v>158333333.00000003</v>
      </c>
      <c r="C60" s="556">
        <f t="shared" ref="C60:F60" si="1">C58+C59</f>
        <v>146275252.50999999</v>
      </c>
      <c r="D60" s="556">
        <f t="shared" si="1"/>
        <v>1545022</v>
      </c>
      <c r="E60" s="557">
        <f t="shared" si="1"/>
        <v>0</v>
      </c>
      <c r="F60" s="558">
        <f t="shared" si="1"/>
        <v>10513058.489999963</v>
      </c>
      <c r="G60" s="516"/>
      <c r="I60" s="495"/>
    </row>
    <row r="61" spans="1:10">
      <c r="A61" s="546" t="s">
        <v>255</v>
      </c>
      <c r="B61" s="525"/>
      <c r="C61" s="525"/>
      <c r="D61" s="525"/>
      <c r="E61" s="525"/>
      <c r="F61" s="525"/>
      <c r="G61" s="516"/>
    </row>
    <row r="62" spans="1:10" ht="15" thickBot="1">
      <c r="A62" s="546"/>
      <c r="B62" s="525"/>
      <c r="C62" s="525"/>
      <c r="D62" s="525"/>
      <c r="E62" s="525"/>
      <c r="F62" s="525"/>
      <c r="G62" s="516"/>
    </row>
    <row r="63" spans="1:10" ht="15" thickBot="1">
      <c r="A63" s="550" t="s">
        <v>139</v>
      </c>
      <c r="B63" s="551">
        <f>B12+B13+B15+B19+B21+B27+B33+B36+B43+B46+B48+B49+B53+B54+B57</f>
        <v>11635696.333333334</v>
      </c>
      <c r="C63" s="551">
        <f>C12+C13+C15+C19+C21+C27+C33+C36+C43+C46+C48+C49+C53+C54+C57</f>
        <v>4609976.4099999992</v>
      </c>
      <c r="D63" s="551">
        <f>D12+D13+D15+D19+D21+D26+D34+D36+D43+D46+D48+D49+D53+D54+D57</f>
        <v>0</v>
      </c>
      <c r="E63" s="559">
        <f>E12+E13+E15+E19+E21+E26+E34+E36+E43+E46+E48+E49+E53+E54+E57</f>
        <v>0</v>
      </c>
      <c r="F63" s="552">
        <f>B63-C63-D63-E63</f>
        <v>7025719.9233333347</v>
      </c>
      <c r="G63" s="516"/>
    </row>
    <row r="64" spans="1:10">
      <c r="A64" s="516"/>
      <c r="B64" s="516"/>
      <c r="C64" s="516"/>
      <c r="D64" s="516"/>
      <c r="E64" s="516"/>
      <c r="F64" s="516"/>
      <c r="G64" s="516"/>
    </row>
    <row r="65" spans="1:7">
      <c r="A65" s="516"/>
      <c r="B65" s="516"/>
      <c r="C65" s="516"/>
      <c r="D65" s="516"/>
      <c r="E65" s="516"/>
      <c r="F65" s="516"/>
      <c r="G65" s="516"/>
    </row>
    <row r="66" spans="1:7">
      <c r="A66" s="516"/>
      <c r="B66" s="516"/>
      <c r="C66" s="516"/>
      <c r="D66" s="516"/>
      <c r="E66" s="516"/>
      <c r="F66" s="516"/>
      <c r="G66" s="516"/>
    </row>
  </sheetData>
  <mergeCells count="4">
    <mergeCell ref="A1:B1"/>
    <mergeCell ref="A5:F5"/>
    <mergeCell ref="A6:F6"/>
    <mergeCell ref="A7:F7"/>
  </mergeCells>
  <printOptions horizontalCentered="1"/>
  <pageMargins left="0.11811023622047245" right="0.11811023622047245" top="0.27559055118110237" bottom="0.19685039370078741" header="0.27559055118110237" footer="0.11811023622047245"/>
  <pageSetup scale="77"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35770-AD7A-4A88-A8ED-099CB133E18E}">
  <sheetPr>
    <pageSetUpPr fitToPage="1"/>
  </sheetPr>
  <dimension ref="A1:M66"/>
  <sheetViews>
    <sheetView zoomScale="114" zoomScaleNormal="114" workbookViewId="0">
      <selection activeCell="A3" sqref="A3"/>
    </sheetView>
  </sheetViews>
  <sheetFormatPr defaultRowHeight="14.5"/>
  <cols>
    <col min="1" max="1" width="30.7265625" customWidth="1"/>
    <col min="2" max="6" width="20.7265625" customWidth="1"/>
    <col min="8" max="8" width="16.54296875" hidden="1" customWidth="1"/>
    <col min="9" max="9" width="10.26953125" hidden="1" customWidth="1"/>
    <col min="10" max="11" width="0" hidden="1" customWidth="1"/>
    <col min="12" max="12" width="13.7265625" hidden="1" customWidth="1"/>
    <col min="13" max="21" width="0" hidden="1" customWidth="1"/>
  </cols>
  <sheetData>
    <row r="1" spans="1:7" ht="18">
      <c r="A1" s="63" t="str">
        <f>Status!C1</f>
        <v>UNEP/OzL.Pro/ExCom/94/3</v>
      </c>
      <c r="B1" s="63"/>
      <c r="C1" s="62"/>
      <c r="D1" s="62"/>
      <c r="F1" s="64"/>
    </row>
    <row r="2" spans="1:7" ht="18">
      <c r="A2" s="492" t="s">
        <v>0</v>
      </c>
      <c r="B2" s="63"/>
      <c r="C2" s="62"/>
      <c r="D2" s="62"/>
      <c r="E2" s="63"/>
      <c r="F2" s="64"/>
    </row>
    <row r="3" spans="1:7" ht="18">
      <c r="A3" s="492" t="s">
        <v>143</v>
      </c>
      <c r="B3" s="63"/>
      <c r="C3" s="62"/>
      <c r="D3" s="62"/>
      <c r="E3" s="64"/>
      <c r="F3" s="64"/>
    </row>
    <row r="4" spans="1:7" ht="15.5">
      <c r="A4" s="1"/>
      <c r="B4" s="62"/>
      <c r="C4" s="62"/>
      <c r="D4" s="62"/>
      <c r="E4" s="62"/>
      <c r="F4" s="62"/>
    </row>
    <row r="5" spans="1:7" ht="17.25" customHeight="1">
      <c r="A5" s="735" t="s">
        <v>2</v>
      </c>
      <c r="B5" s="735"/>
      <c r="C5" s="735"/>
      <c r="D5" s="735"/>
      <c r="E5" s="735"/>
      <c r="F5" s="735"/>
    </row>
    <row r="6" spans="1:7" ht="15.5">
      <c r="A6" s="729" t="s">
        <v>276</v>
      </c>
      <c r="B6" s="729"/>
      <c r="C6" s="729"/>
      <c r="D6" s="729"/>
      <c r="E6" s="729"/>
      <c r="F6" s="729"/>
    </row>
    <row r="7" spans="1:7" ht="16.5" thickBot="1">
      <c r="A7" s="728" t="str">
        <f>Status!A6</f>
        <v>As at 24/05/2024</v>
      </c>
      <c r="B7" s="728"/>
      <c r="C7" s="728"/>
      <c r="D7" s="728"/>
      <c r="E7" s="728"/>
      <c r="F7" s="728"/>
    </row>
    <row r="8" spans="1:7" ht="27" thickBot="1">
      <c r="A8" s="68" t="s">
        <v>60</v>
      </c>
      <c r="B8" s="69" t="s">
        <v>61</v>
      </c>
      <c r="C8" s="69" t="s">
        <v>62</v>
      </c>
      <c r="D8" s="629" t="s">
        <v>63</v>
      </c>
      <c r="E8" s="69" t="s">
        <v>64</v>
      </c>
      <c r="F8" s="70" t="s">
        <v>65</v>
      </c>
    </row>
    <row r="9" spans="1:7">
      <c r="A9" s="501" t="s">
        <v>67</v>
      </c>
      <c r="B9" s="619">
        <v>12992</v>
      </c>
      <c r="C9" s="619">
        <v>10817</v>
      </c>
      <c r="D9" s="620"/>
      <c r="E9" s="620"/>
      <c r="F9" s="618">
        <f t="shared" ref="F9:F57" si="0">B9-C9-D9-E9</f>
        <v>2175</v>
      </c>
      <c r="G9" s="516"/>
    </row>
    <row r="10" spans="1:7">
      <c r="A10" s="506" t="s">
        <v>130</v>
      </c>
      <c r="B10" s="503">
        <v>5742494</v>
      </c>
      <c r="C10" s="503">
        <v>5151604</v>
      </c>
      <c r="D10" s="503"/>
      <c r="E10" s="503"/>
      <c r="F10" s="515">
        <f t="shared" si="0"/>
        <v>590890</v>
      </c>
      <c r="G10" s="516"/>
    </row>
    <row r="11" spans="1:7">
      <c r="A11" s="506" t="s">
        <v>69</v>
      </c>
      <c r="B11" s="503">
        <v>1759126</v>
      </c>
      <c r="C11" s="503">
        <v>1415620.98</v>
      </c>
      <c r="D11" s="503">
        <f>28933+362900</f>
        <v>391833</v>
      </c>
      <c r="E11" s="503"/>
      <c r="F11" s="515">
        <f t="shared" si="0"/>
        <v>-48327.979999999981</v>
      </c>
      <c r="G11" s="516"/>
    </row>
    <row r="12" spans="1:7">
      <c r="A12" s="517" t="s">
        <v>70</v>
      </c>
      <c r="B12" s="503">
        <v>127322.33333333333</v>
      </c>
      <c r="C12" s="503"/>
      <c r="D12" s="503"/>
      <c r="E12" s="503"/>
      <c r="F12" s="515">
        <f t="shared" si="0"/>
        <v>127322.33333333333</v>
      </c>
      <c r="G12" s="516"/>
    </row>
    <row r="13" spans="1:7">
      <c r="A13" s="506" t="s">
        <v>71</v>
      </c>
      <c r="B13" s="503">
        <v>127322.33333333333</v>
      </c>
      <c r="C13" s="503">
        <v>113477</v>
      </c>
      <c r="D13" s="503"/>
      <c r="E13" s="503"/>
      <c r="F13" s="515">
        <f t="shared" si="0"/>
        <v>13845.333333333328</v>
      </c>
      <c r="G13" s="516"/>
    </row>
    <row r="14" spans="1:7">
      <c r="A14" s="506" t="s">
        <v>72</v>
      </c>
      <c r="B14" s="503">
        <v>2133297.6666666665</v>
      </c>
      <c r="C14" s="503">
        <v>2289845</v>
      </c>
      <c r="D14" s="503"/>
      <c r="E14" s="503"/>
      <c r="F14" s="515">
        <f t="shared" si="0"/>
        <v>-156547.33333333349</v>
      </c>
      <c r="G14" s="516"/>
    </row>
    <row r="15" spans="1:7">
      <c r="A15" s="506" t="s">
        <v>73</v>
      </c>
      <c r="B15" s="503">
        <v>119527</v>
      </c>
      <c r="C15" s="503">
        <v>113333</v>
      </c>
      <c r="D15" s="503"/>
      <c r="E15" s="503"/>
      <c r="F15" s="515">
        <f t="shared" si="0"/>
        <v>6194</v>
      </c>
      <c r="G15" s="516"/>
    </row>
    <row r="16" spans="1:7">
      <c r="A16" s="506" t="s">
        <v>131</v>
      </c>
      <c r="B16" s="503">
        <v>7104062.666666667</v>
      </c>
      <c r="C16" s="534">
        <f>5728716.99+1382678</f>
        <v>7111394.9900000002</v>
      </c>
      <c r="D16" s="503"/>
      <c r="E16" s="503"/>
      <c r="F16" s="515">
        <f t="shared" si="0"/>
        <v>-7332.3233333332464</v>
      </c>
      <c r="G16" s="516"/>
    </row>
    <row r="17" spans="1:13">
      <c r="A17" s="506" t="s">
        <v>75</v>
      </c>
      <c r="B17" s="503">
        <v>200078</v>
      </c>
      <c r="C17" s="503">
        <v>251292</v>
      </c>
      <c r="D17" s="503"/>
      <c r="E17" s="503"/>
      <c r="F17" s="515">
        <f t="shared" si="0"/>
        <v>-51214</v>
      </c>
      <c r="G17" s="516"/>
    </row>
    <row r="18" spans="1:13">
      <c r="A18" s="506" t="s">
        <v>76</v>
      </c>
      <c r="B18" s="503">
        <v>93543</v>
      </c>
      <c r="C18" s="503">
        <v>111228</v>
      </c>
      <c r="D18" s="503"/>
      <c r="E18" s="503"/>
      <c r="F18" s="515">
        <f t="shared" si="0"/>
        <v>-17685</v>
      </c>
      <c r="G18" s="516"/>
    </row>
    <row r="19" spans="1:13">
      <c r="A19" s="506" t="s">
        <v>77</v>
      </c>
      <c r="B19" s="503">
        <v>808106.66666666663</v>
      </c>
      <c r="C19" s="503">
        <v>867000</v>
      </c>
      <c r="D19" s="503"/>
      <c r="E19" s="503"/>
      <c r="F19" s="515">
        <f t="shared" si="0"/>
        <v>-58893.333333333372</v>
      </c>
      <c r="G19" s="516"/>
    </row>
    <row r="20" spans="1:13">
      <c r="A20" s="506" t="s">
        <v>78</v>
      </c>
      <c r="B20" s="503">
        <v>1439521</v>
      </c>
      <c r="C20" s="503">
        <v>1505998.5</v>
      </c>
      <c r="D20" s="503"/>
      <c r="E20" s="503"/>
      <c r="F20" s="515">
        <f t="shared" si="0"/>
        <v>-66477.5</v>
      </c>
      <c r="G20" s="516"/>
    </row>
    <row r="21" spans="1:13">
      <c r="A21" s="506" t="s">
        <v>79</v>
      </c>
      <c r="B21" s="503">
        <v>101338</v>
      </c>
      <c r="C21" s="503">
        <v>98394.35</v>
      </c>
      <c r="D21" s="503"/>
      <c r="E21" s="503"/>
      <c r="F21" s="515">
        <f t="shared" si="0"/>
        <v>2943.6499999999942</v>
      </c>
      <c r="G21" s="516"/>
    </row>
    <row r="22" spans="1:13">
      <c r="A22" s="506" t="s">
        <v>80</v>
      </c>
      <c r="B22" s="503">
        <v>1093932</v>
      </c>
      <c r="C22" s="503">
        <v>1007992</v>
      </c>
      <c r="D22" s="503"/>
      <c r="E22" s="503"/>
      <c r="F22" s="515">
        <f t="shared" si="0"/>
        <v>85940</v>
      </c>
      <c r="G22" s="516"/>
    </row>
    <row r="23" spans="1:13">
      <c r="A23" s="506" t="s">
        <v>132</v>
      </c>
      <c r="B23" s="503">
        <v>11503177</v>
      </c>
      <c r="C23" s="503">
        <v>10433663</v>
      </c>
      <c r="D23" s="503"/>
      <c r="E23" s="503"/>
      <c r="F23" s="515">
        <f t="shared" si="0"/>
        <v>1069514</v>
      </c>
      <c r="G23" s="516"/>
    </row>
    <row r="24" spans="1:13">
      <c r="A24" s="506" t="s">
        <v>133</v>
      </c>
      <c r="B24" s="503">
        <v>15824338.666666666</v>
      </c>
      <c r="C24" s="503">
        <v>5540479</v>
      </c>
      <c r="D24" s="503">
        <f>721388+3531749</f>
        <v>4253137</v>
      </c>
      <c r="E24" s="503"/>
      <c r="F24" s="515">
        <f>B24-C24-D24-E24</f>
        <v>6030722.666666666</v>
      </c>
      <c r="G24" s="516"/>
      <c r="H24" s="112">
        <f>B24*3</f>
        <v>47473016</v>
      </c>
      <c r="I24" s="112" t="s">
        <v>257</v>
      </c>
      <c r="L24" s="494">
        <f>H24*20%</f>
        <v>9494603.2000000011</v>
      </c>
      <c r="M24" t="s">
        <v>258</v>
      </c>
    </row>
    <row r="25" spans="1:13">
      <c r="A25" s="506" t="s">
        <v>83</v>
      </c>
      <c r="B25" s="503">
        <v>951019.33333333337</v>
      </c>
      <c r="C25" s="503">
        <v>951024</v>
      </c>
      <c r="D25" s="503"/>
      <c r="E25" s="503"/>
      <c r="F25" s="515">
        <f t="shared" si="0"/>
        <v>-4.6666666666278616</v>
      </c>
      <c r="G25" s="516"/>
    </row>
    <row r="26" spans="1:13">
      <c r="A26" s="506" t="s">
        <v>84</v>
      </c>
      <c r="B26" s="503">
        <v>2598.3333333333335</v>
      </c>
      <c r="C26" s="503">
        <v>2598</v>
      </c>
      <c r="D26" s="503"/>
      <c r="E26" s="503"/>
      <c r="F26" s="515">
        <f t="shared" si="0"/>
        <v>0.33333333333348492</v>
      </c>
      <c r="G26" s="516"/>
      <c r="L26" s="494"/>
    </row>
    <row r="27" spans="1:13">
      <c r="A27" s="506" t="s">
        <v>85</v>
      </c>
      <c r="B27" s="503">
        <v>535273.33333333337</v>
      </c>
      <c r="C27" s="503">
        <v>428657</v>
      </c>
      <c r="D27" s="503"/>
      <c r="E27" s="503"/>
      <c r="F27" s="515">
        <f t="shared" si="0"/>
        <v>106616.33333333337</v>
      </c>
      <c r="G27" s="516"/>
    </row>
    <row r="28" spans="1:13">
      <c r="A28" s="506" t="s">
        <v>86</v>
      </c>
      <c r="B28" s="503">
        <v>72755.666666666672</v>
      </c>
      <c r="C28" s="503"/>
      <c r="D28" s="503"/>
      <c r="E28" s="503"/>
      <c r="F28" s="515">
        <f t="shared" si="0"/>
        <v>72755.666666666672</v>
      </c>
      <c r="G28" s="516"/>
    </row>
    <row r="29" spans="1:13">
      <c r="A29" s="506" t="s">
        <v>134</v>
      </c>
      <c r="B29" s="503">
        <v>964011.33333333337</v>
      </c>
      <c r="C29" s="503">
        <f>866900+194231</f>
        <v>1061131</v>
      </c>
      <c r="D29" s="503"/>
      <c r="E29" s="503"/>
      <c r="F29" s="515">
        <f t="shared" si="0"/>
        <v>-97119.666666666628</v>
      </c>
      <c r="G29" s="516"/>
    </row>
    <row r="30" spans="1:13">
      <c r="A30" s="506" t="s">
        <v>88</v>
      </c>
      <c r="B30" s="503">
        <v>1273222.6666666667</v>
      </c>
      <c r="C30" s="503"/>
      <c r="D30" s="503"/>
      <c r="E30" s="503"/>
      <c r="F30" s="515">
        <f t="shared" si="0"/>
        <v>1273222.6666666667</v>
      </c>
      <c r="G30" s="516"/>
    </row>
    <row r="31" spans="1:13">
      <c r="A31" s="506" t="s">
        <v>89</v>
      </c>
      <c r="B31" s="503">
        <v>8592953.666666666</v>
      </c>
      <c r="C31" s="503">
        <f>6773573+714457</f>
        <v>7488030</v>
      </c>
      <c r="D31" s="503"/>
      <c r="E31" s="503"/>
      <c r="F31" s="515">
        <f t="shared" si="0"/>
        <v>1104923.666666666</v>
      </c>
      <c r="G31" s="516"/>
    </row>
    <row r="32" spans="1:13">
      <c r="A32" s="506" t="s">
        <v>135</v>
      </c>
      <c r="B32" s="503">
        <v>22252814</v>
      </c>
      <c r="C32" s="503">
        <f>23743153+431796+220216</f>
        <v>24395165</v>
      </c>
      <c r="D32" s="503"/>
      <c r="E32" s="503"/>
      <c r="F32" s="515">
        <f t="shared" si="0"/>
        <v>-2142351</v>
      </c>
      <c r="G32" s="516"/>
    </row>
    <row r="33" spans="1:7">
      <c r="A33" s="506" t="s">
        <v>91</v>
      </c>
      <c r="B33" s="503">
        <v>462517.66666666669</v>
      </c>
      <c r="C33" s="503"/>
      <c r="D33" s="503"/>
      <c r="E33" s="503"/>
      <c r="F33" s="515">
        <f t="shared" si="0"/>
        <v>462517.66666666669</v>
      </c>
      <c r="G33" s="516"/>
    </row>
    <row r="34" spans="1:7">
      <c r="A34" s="506" t="s">
        <v>93</v>
      </c>
      <c r="B34" s="503">
        <v>122125.33333333333</v>
      </c>
      <c r="C34" s="503">
        <v>129368</v>
      </c>
      <c r="D34" s="503"/>
      <c r="E34" s="503"/>
      <c r="F34" s="515">
        <f t="shared" si="0"/>
        <v>-7242.6666666666715</v>
      </c>
      <c r="G34" s="516"/>
    </row>
    <row r="35" spans="1:7">
      <c r="A35" s="506" t="s">
        <v>94</v>
      </c>
      <c r="B35" s="503">
        <v>23385.666666666668</v>
      </c>
      <c r="C35" s="503">
        <v>23386</v>
      </c>
      <c r="D35" s="503"/>
      <c r="E35" s="503"/>
      <c r="F35" s="515">
        <f t="shared" si="0"/>
        <v>-0.33333333333212067</v>
      </c>
      <c r="G35" s="516"/>
    </row>
    <row r="36" spans="1:7">
      <c r="A36" s="506" t="s">
        <v>95</v>
      </c>
      <c r="B36" s="503">
        <v>184487.33333333334</v>
      </c>
      <c r="C36" s="503">
        <v>186351</v>
      </c>
      <c r="D36" s="503"/>
      <c r="E36" s="503"/>
      <c r="F36" s="515">
        <f t="shared" si="0"/>
        <v>-1863.666666666657</v>
      </c>
      <c r="G36" s="516"/>
    </row>
    <row r="37" spans="1:7">
      <c r="A37" s="506" t="s">
        <v>96</v>
      </c>
      <c r="B37" s="503">
        <v>174093.66666666666</v>
      </c>
      <c r="C37" s="503">
        <v>165645</v>
      </c>
      <c r="D37" s="503"/>
      <c r="E37" s="503"/>
      <c r="F37" s="515">
        <f t="shared" si="0"/>
        <v>8448.666666666657</v>
      </c>
      <c r="G37" s="516"/>
    </row>
    <row r="38" spans="1:7">
      <c r="A38" s="506" t="s">
        <v>97</v>
      </c>
      <c r="B38" s="503">
        <v>44173</v>
      </c>
      <c r="C38" s="503"/>
      <c r="D38" s="503"/>
      <c r="E38" s="503"/>
      <c r="F38" s="515">
        <f t="shared" si="0"/>
        <v>44173</v>
      </c>
      <c r="G38" s="516"/>
    </row>
    <row r="39" spans="1:7">
      <c r="A39" s="506" t="s">
        <v>98</v>
      </c>
      <c r="B39" s="503">
        <v>28582.666666666668</v>
      </c>
      <c r="C39" s="503">
        <v>28583</v>
      </c>
      <c r="D39" s="503"/>
      <c r="E39" s="503"/>
      <c r="F39" s="515">
        <f t="shared" si="0"/>
        <v>-0.33333333333212067</v>
      </c>
      <c r="G39" s="516"/>
    </row>
    <row r="40" spans="1:7">
      <c r="A40" s="506" t="s">
        <v>99</v>
      </c>
      <c r="B40" s="503">
        <v>3523449</v>
      </c>
      <c r="C40" s="503">
        <v>3734833</v>
      </c>
      <c r="D40" s="503"/>
      <c r="E40" s="503"/>
      <c r="F40" s="515">
        <f t="shared" si="0"/>
        <v>-211384</v>
      </c>
      <c r="G40" s="516"/>
    </row>
    <row r="41" spans="1:7">
      <c r="A41" s="506" t="s">
        <v>100</v>
      </c>
      <c r="B41" s="503">
        <v>756138.33333333337</v>
      </c>
      <c r="C41" s="503">
        <v>599773</v>
      </c>
      <c r="D41" s="503"/>
      <c r="E41" s="503"/>
      <c r="F41" s="515">
        <f t="shared" si="0"/>
        <v>156365.33333333337</v>
      </c>
      <c r="G41" s="516"/>
    </row>
    <row r="42" spans="1:7">
      <c r="A42" s="506" t="s">
        <v>101</v>
      </c>
      <c r="B42" s="503">
        <v>1959204</v>
      </c>
      <c r="C42" s="503">
        <v>1849578</v>
      </c>
      <c r="D42" s="503"/>
      <c r="E42" s="503"/>
      <c r="F42" s="515">
        <f t="shared" si="0"/>
        <v>109626</v>
      </c>
      <c r="G42" s="516"/>
    </row>
    <row r="43" spans="1:7">
      <c r="A43" s="506" t="s">
        <v>103</v>
      </c>
      <c r="B43" s="503">
        <v>2083927.6666666667</v>
      </c>
      <c r="C43" s="503">
        <v>2217357.14</v>
      </c>
      <c r="D43" s="503"/>
      <c r="E43" s="503"/>
      <c r="F43" s="515">
        <f t="shared" si="0"/>
        <v>-133429.47333333339</v>
      </c>
      <c r="G43" s="516"/>
    </row>
    <row r="44" spans="1:7">
      <c r="A44" s="506" t="s">
        <v>104</v>
      </c>
      <c r="B44" s="503">
        <v>909444.66666666663</v>
      </c>
      <c r="C44" s="503">
        <v>1014236</v>
      </c>
      <c r="D44" s="503"/>
      <c r="E44" s="503"/>
      <c r="F44" s="515">
        <f t="shared" si="0"/>
        <v>-104791.33333333337</v>
      </c>
      <c r="G44" s="516"/>
    </row>
    <row r="45" spans="1:7">
      <c r="A45" s="506" t="s">
        <v>105</v>
      </c>
      <c r="B45" s="503">
        <v>514486</v>
      </c>
      <c r="C45" s="503"/>
      <c r="D45" s="503"/>
      <c r="E45" s="503"/>
      <c r="F45" s="515">
        <f t="shared" si="0"/>
        <v>514486</v>
      </c>
      <c r="G45" s="516"/>
    </row>
    <row r="46" spans="1:7">
      <c r="A46" s="506" t="s">
        <v>106</v>
      </c>
      <c r="B46" s="503">
        <v>6249184.666666667</v>
      </c>
      <c r="C46" s="503"/>
      <c r="D46" s="503"/>
      <c r="E46" s="503"/>
      <c r="F46" s="515">
        <f t="shared" si="0"/>
        <v>6249184.666666667</v>
      </c>
      <c r="G46" s="516"/>
    </row>
    <row r="47" spans="1:7">
      <c r="A47" s="506" t="s">
        <v>107</v>
      </c>
      <c r="B47" s="503">
        <v>5196.666666666667</v>
      </c>
      <c r="C47" s="503">
        <v>5197</v>
      </c>
      <c r="D47" s="503"/>
      <c r="E47" s="503"/>
      <c r="F47" s="515">
        <f t="shared" si="0"/>
        <v>-0.33333333333303017</v>
      </c>
      <c r="G47" s="516"/>
    </row>
    <row r="48" spans="1:7">
      <c r="A48" s="506" t="s">
        <v>109</v>
      </c>
      <c r="B48" s="503">
        <v>397557.33333333331</v>
      </c>
      <c r="C48" s="503">
        <v>413942.2</v>
      </c>
      <c r="D48" s="503"/>
      <c r="E48" s="503"/>
      <c r="F48" s="515">
        <f t="shared" si="0"/>
        <v>-16384.866666666698</v>
      </c>
      <c r="G48" s="516"/>
    </row>
    <row r="49" spans="1:10">
      <c r="A49" s="506" t="s">
        <v>110</v>
      </c>
      <c r="B49" s="503">
        <v>197479.33333333334</v>
      </c>
      <c r="C49" s="503">
        <v>217324</v>
      </c>
      <c r="D49" s="503"/>
      <c r="E49" s="503"/>
      <c r="F49" s="515">
        <f t="shared" si="0"/>
        <v>-19844.666666666657</v>
      </c>
      <c r="G49" s="516"/>
    </row>
    <row r="50" spans="1:10">
      <c r="A50" s="506" t="s">
        <v>112</v>
      </c>
      <c r="B50" s="503">
        <v>5576195.666666667</v>
      </c>
      <c r="C50" s="503">
        <v>6321391</v>
      </c>
      <c r="D50" s="503"/>
      <c r="E50" s="503"/>
      <c r="F50" s="515">
        <f t="shared" si="0"/>
        <v>-745195.33333333302</v>
      </c>
      <c r="G50" s="516"/>
    </row>
    <row r="51" spans="1:10">
      <c r="A51" s="506" t="s">
        <v>136</v>
      </c>
      <c r="B51" s="503">
        <v>2354162.6666666665</v>
      </c>
      <c r="C51" s="503">
        <v>2493780</v>
      </c>
      <c r="D51" s="503"/>
      <c r="E51" s="503"/>
      <c r="F51" s="515">
        <f t="shared" si="0"/>
        <v>-139617.33333333349</v>
      </c>
      <c r="G51" s="516"/>
    </row>
    <row r="52" spans="1:10">
      <c r="A52" s="506" t="s">
        <v>114</v>
      </c>
      <c r="B52" s="503">
        <v>2990774</v>
      </c>
      <c r="C52" s="503">
        <v>2990774</v>
      </c>
      <c r="D52" s="503"/>
      <c r="E52" s="503"/>
      <c r="F52" s="515">
        <f t="shared" si="0"/>
        <v>0</v>
      </c>
      <c r="G52" s="516"/>
    </row>
    <row r="53" spans="1:10" ht="18" customHeight="1">
      <c r="A53" s="506" t="s">
        <v>115</v>
      </c>
      <c r="B53" s="503">
        <v>10393.666666666666</v>
      </c>
      <c r="C53" s="503"/>
      <c r="D53" s="503"/>
      <c r="E53" s="503"/>
      <c r="F53" s="515">
        <f t="shared" si="0"/>
        <v>10393.666666666666</v>
      </c>
      <c r="G53" s="516"/>
    </row>
    <row r="54" spans="1:10">
      <c r="A54" s="506" t="s">
        <v>117</v>
      </c>
      <c r="B54" s="503">
        <v>148109.66666666666</v>
      </c>
      <c r="C54" s="503"/>
      <c r="D54" s="503"/>
      <c r="E54" s="503"/>
      <c r="F54" s="515">
        <f t="shared" si="0"/>
        <v>148109.66666666666</v>
      </c>
      <c r="G54" s="516"/>
    </row>
    <row r="55" spans="1:10">
      <c r="A55" s="506" t="s">
        <v>119</v>
      </c>
      <c r="B55" s="503">
        <v>11866955</v>
      </c>
      <c r="C55" s="503">
        <v>12610340</v>
      </c>
      <c r="D55" s="503"/>
      <c r="E55" s="503"/>
      <c r="F55" s="515">
        <f t="shared" si="0"/>
        <v>-743385</v>
      </c>
      <c r="G55" s="516"/>
    </row>
    <row r="56" spans="1:10">
      <c r="A56" s="506" t="s">
        <v>120</v>
      </c>
      <c r="B56" s="503">
        <f>34833333.3333333-362134-608906+138586</f>
        <v>34000879.333333299</v>
      </c>
      <c r="C56" s="503">
        <f>39247184+8326000+776268+50150000-64498573</f>
        <v>34000879</v>
      </c>
      <c r="D56" s="503"/>
      <c r="E56" s="503"/>
      <c r="F56" s="515">
        <f t="shared" si="0"/>
        <v>0.33333329856395721</v>
      </c>
      <c r="G56" s="516"/>
      <c r="H56" s="482"/>
      <c r="I56" s="482"/>
      <c r="J56" s="482"/>
    </row>
    <row r="57" spans="1:10" ht="15" thickBot="1">
      <c r="A57" s="507" t="s">
        <v>121</v>
      </c>
      <c r="B57" s="535">
        <v>83149.333333333328</v>
      </c>
      <c r="C57" s="535">
        <v>54700</v>
      </c>
      <c r="D57" s="535"/>
      <c r="E57" s="535"/>
      <c r="F57" s="540">
        <f t="shared" si="0"/>
        <v>28449.333333333328</v>
      </c>
      <c r="G57" s="516"/>
      <c r="H57" s="176"/>
    </row>
    <row r="58" spans="1:10" ht="15" thickBot="1">
      <c r="A58" s="514" t="s">
        <v>124</v>
      </c>
      <c r="B58" s="548">
        <f>SUM(B9:B57)</f>
        <v>157500879.00000003</v>
      </c>
      <c r="C58" s="548">
        <f>SUM(C9:C57)</f>
        <v>139406181.16</v>
      </c>
      <c r="D58" s="548">
        <f>SUM(D9:D57)</f>
        <v>4644970</v>
      </c>
      <c r="E58" s="553">
        <f>SUM(E9:E57)</f>
        <v>0</v>
      </c>
      <c r="F58" s="549">
        <f>SUM(F9:F57)</f>
        <v>13449727.839999963</v>
      </c>
      <c r="G58" s="516"/>
      <c r="H58" s="497">
        <f>(C58+D58)/B58</f>
        <v>0.91460537918648677</v>
      </c>
      <c r="I58" s="176">
        <f>C58/B58</f>
        <v>0.88511367076243408</v>
      </c>
    </row>
    <row r="59" spans="1:10" ht="15" thickBot="1">
      <c r="A59" s="521" t="s">
        <v>137</v>
      </c>
      <c r="B59" s="169">
        <f>362134+608906-138586</f>
        <v>832454</v>
      </c>
      <c r="C59" s="169"/>
      <c r="D59" s="169"/>
      <c r="E59" s="169"/>
      <c r="F59" s="554">
        <f>B59-C59-D59-E59</f>
        <v>832454</v>
      </c>
      <c r="G59" s="516"/>
      <c r="H59" s="497"/>
      <c r="I59" s="176"/>
    </row>
    <row r="60" spans="1:10" ht="15" thickBot="1">
      <c r="A60" s="555" t="s">
        <v>138</v>
      </c>
      <c r="B60" s="556">
        <f>B58+B59</f>
        <v>158333333.00000003</v>
      </c>
      <c r="C60" s="556">
        <f>C58+C59</f>
        <v>139406181.16</v>
      </c>
      <c r="D60" s="556">
        <f>D58+D59</f>
        <v>4644970</v>
      </c>
      <c r="E60" s="557">
        <f>E58+E59</f>
        <v>0</v>
      </c>
      <c r="F60" s="558">
        <f>F58+F59</f>
        <v>14282181.839999963</v>
      </c>
      <c r="G60" s="516"/>
      <c r="H60" s="497">
        <f t="shared" ref="H60" si="1">(C60+D60)/B60</f>
        <v>0.90979674608378247</v>
      </c>
      <c r="I60" s="176">
        <f t="shared" ref="I60" si="2">C60/B60</f>
        <v>0.88046009339044207</v>
      </c>
    </row>
    <row r="61" spans="1:10">
      <c r="A61" s="546" t="s">
        <v>255</v>
      </c>
      <c r="B61" s="525"/>
      <c r="C61" s="525"/>
      <c r="D61" s="525"/>
      <c r="E61" s="525"/>
      <c r="F61" s="525"/>
      <c r="G61" s="516"/>
    </row>
    <row r="62" spans="1:10" ht="15" thickBot="1">
      <c r="A62" s="546"/>
      <c r="B62" s="525"/>
      <c r="C62" s="525"/>
      <c r="D62" s="525"/>
      <c r="E62" s="525"/>
      <c r="F62" s="525"/>
      <c r="G62" s="516"/>
    </row>
    <row r="63" spans="1:10" ht="15" thickBot="1">
      <c r="A63" s="550" t="s">
        <v>139</v>
      </c>
      <c r="B63" s="551">
        <f>B12+B13+B15+B19+B21+B27+B33+B36+B43+B46+B48+B49+B53+B54+B57</f>
        <v>11635696.333333334</v>
      </c>
      <c r="C63" s="551">
        <f>C12+C13+C15+C19+C21+C27+C33+C36+C43+C46+C48+C49+C53+C54+C57</f>
        <v>4710535.6900000004</v>
      </c>
      <c r="D63" s="551">
        <f>D12+D13+D15+D19+D21+D26+D34+D36+D43+D46+D48+D49+D53+D54+D57</f>
        <v>0</v>
      </c>
      <c r="E63" s="559">
        <f>E12+E13+E15+E19+E21+E26+E34+E36+E43+E46+E48+E49+E53+E54+E57</f>
        <v>0</v>
      </c>
      <c r="F63" s="552">
        <f>B63-C63-D63-E63</f>
        <v>6925160.6433333335</v>
      </c>
      <c r="G63" s="516"/>
    </row>
    <row r="64" spans="1:10">
      <c r="A64" s="516"/>
      <c r="B64" s="516"/>
      <c r="C64" s="516"/>
      <c r="D64" s="516"/>
      <c r="E64" s="516"/>
      <c r="F64" s="516"/>
      <c r="G64" s="516"/>
    </row>
    <row r="65" spans="1:7">
      <c r="A65" s="516"/>
      <c r="B65" s="516"/>
      <c r="C65" s="516"/>
      <c r="D65" s="516"/>
      <c r="E65" s="516"/>
      <c r="F65" s="516"/>
      <c r="G65" s="516"/>
    </row>
    <row r="66" spans="1:7">
      <c r="A66" s="516"/>
      <c r="B66" s="516"/>
      <c r="C66" s="516"/>
      <c r="D66" s="516"/>
      <c r="E66" s="516"/>
      <c r="F66" s="516"/>
      <c r="G66" s="516"/>
    </row>
  </sheetData>
  <autoFilter ref="A8:F63" xr:uid="{B2635770-AD7A-4A88-A8ED-099CB133E18E}"/>
  <mergeCells count="3">
    <mergeCell ref="A5:F5"/>
    <mergeCell ref="A6:F6"/>
    <mergeCell ref="A7:F7"/>
  </mergeCells>
  <printOptions horizontalCentered="1"/>
  <pageMargins left="0.11811023622047245" right="0.11811023622047245" top="0.27559055118110237" bottom="0.19685039370078741" header="0.27559055118110237" footer="0.11811023622047245"/>
  <pageSetup scale="77"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54DB4-FAA8-493C-870C-BE2432457240}">
  <sheetPr>
    <pageSetUpPr fitToPage="1"/>
  </sheetPr>
  <dimension ref="A1:K66"/>
  <sheetViews>
    <sheetView topLeftCell="A16" zoomScale="120" zoomScaleNormal="120" workbookViewId="0">
      <selection activeCell="D33" sqref="D33"/>
    </sheetView>
  </sheetViews>
  <sheetFormatPr defaultRowHeight="14.5"/>
  <cols>
    <col min="1" max="1" width="30.7265625" customWidth="1"/>
    <col min="2" max="6" width="20.7265625" customWidth="1"/>
    <col min="8" max="8" width="13.7265625" bestFit="1" customWidth="1"/>
    <col min="10" max="10" width="14.7265625" bestFit="1" customWidth="1"/>
  </cols>
  <sheetData>
    <row r="1" spans="1:8" ht="18">
      <c r="A1" s="739"/>
      <c r="B1" s="739"/>
      <c r="C1" s="62"/>
      <c r="D1" s="62"/>
      <c r="E1" s="63"/>
      <c r="F1" s="64" t="s">
        <v>260</v>
      </c>
    </row>
    <row r="2" spans="1:8" ht="18">
      <c r="B2" s="62"/>
      <c r="C2" s="62"/>
      <c r="D2" s="62"/>
      <c r="E2" s="63"/>
      <c r="F2" s="64" t="s">
        <v>0</v>
      </c>
    </row>
    <row r="3" spans="1:8" ht="18">
      <c r="B3" s="62"/>
      <c r="C3" s="62"/>
      <c r="D3" s="62"/>
      <c r="E3" s="64"/>
      <c r="F3" s="64" t="s">
        <v>144</v>
      </c>
    </row>
    <row r="4" spans="1:8" ht="15.5">
      <c r="A4" s="1"/>
      <c r="B4" s="62"/>
      <c r="C4" s="62"/>
      <c r="D4" s="62"/>
      <c r="E4" s="62"/>
      <c r="F4" s="62"/>
    </row>
    <row r="5" spans="1:8" ht="21" customHeight="1">
      <c r="A5" s="735" t="s">
        <v>2</v>
      </c>
      <c r="B5" s="735"/>
      <c r="C5" s="735"/>
      <c r="D5" s="735"/>
      <c r="E5" s="735"/>
      <c r="F5" s="735"/>
    </row>
    <row r="6" spans="1:8" ht="15.5">
      <c r="A6" s="729" t="s">
        <v>277</v>
      </c>
      <c r="B6" s="729"/>
      <c r="C6" s="729"/>
      <c r="D6" s="729"/>
      <c r="E6" s="729"/>
      <c r="F6" s="729"/>
    </row>
    <row r="7" spans="1:8" ht="16.5" thickBot="1">
      <c r="A7" s="728" t="str">
        <f>Status!A6</f>
        <v>As at 24/05/2024</v>
      </c>
      <c r="B7" s="728"/>
      <c r="C7" s="728"/>
      <c r="D7" s="728"/>
      <c r="E7" s="728"/>
      <c r="F7" s="728"/>
    </row>
    <row r="8" spans="1:8" ht="29.75" customHeight="1" thickBot="1">
      <c r="A8" s="68" t="s">
        <v>60</v>
      </c>
      <c r="B8" s="69" t="s">
        <v>61</v>
      </c>
      <c r="C8" s="69" t="s">
        <v>62</v>
      </c>
      <c r="D8" s="629" t="s">
        <v>63</v>
      </c>
      <c r="E8" s="69" t="s">
        <v>64</v>
      </c>
      <c r="F8" s="70" t="s">
        <v>65</v>
      </c>
    </row>
    <row r="9" spans="1:8">
      <c r="A9" s="501" t="s">
        <v>67</v>
      </c>
      <c r="B9" s="619">
        <v>12992</v>
      </c>
      <c r="C9" s="619">
        <v>15167</v>
      </c>
      <c r="D9" s="620"/>
      <c r="E9" s="620"/>
      <c r="F9" s="618">
        <f t="shared" ref="F9:F59" si="0">B9-C9-D9-E9</f>
        <v>-2175</v>
      </c>
      <c r="G9" s="516"/>
    </row>
    <row r="10" spans="1:8">
      <c r="A10" s="506" t="s">
        <v>130</v>
      </c>
      <c r="B10" s="503">
        <v>5742494</v>
      </c>
      <c r="C10" s="503">
        <v>5151604</v>
      </c>
      <c r="D10" s="503"/>
      <c r="E10" s="503"/>
      <c r="F10" s="515">
        <f t="shared" si="0"/>
        <v>590890</v>
      </c>
      <c r="G10" s="516"/>
    </row>
    <row r="11" spans="1:8">
      <c r="A11" s="506" t="s">
        <v>69</v>
      </c>
      <c r="B11" s="503">
        <v>1759126</v>
      </c>
      <c r="C11" s="503">
        <f>1385134+374000.49</f>
        <v>1759134.49</v>
      </c>
      <c r="D11" s="503">
        <f>362900-362900</f>
        <v>0</v>
      </c>
      <c r="E11" s="503"/>
      <c r="F11" s="515">
        <f t="shared" si="0"/>
        <v>-8.4899999999906868</v>
      </c>
      <c r="G11" s="516" t="s">
        <v>259</v>
      </c>
    </row>
    <row r="12" spans="1:8">
      <c r="A12" s="517" t="s">
        <v>70</v>
      </c>
      <c r="B12" s="503">
        <v>127322.33333333333</v>
      </c>
      <c r="C12" s="503"/>
      <c r="D12" s="503"/>
      <c r="E12" s="503"/>
      <c r="F12" s="515">
        <f t="shared" si="0"/>
        <v>127322.33333333333</v>
      </c>
      <c r="G12" s="516"/>
    </row>
    <row r="13" spans="1:8">
      <c r="A13" s="506" t="s">
        <v>71</v>
      </c>
      <c r="B13" s="503">
        <v>127322.33333333333</v>
      </c>
      <c r="C13" s="503">
        <v>141167</v>
      </c>
      <c r="D13" s="503"/>
      <c r="E13" s="503"/>
      <c r="F13" s="515">
        <f t="shared" si="0"/>
        <v>-13844.666666666672</v>
      </c>
      <c r="G13" s="516"/>
    </row>
    <row r="14" spans="1:8">
      <c r="A14" s="506" t="s">
        <v>72</v>
      </c>
      <c r="B14" s="503">
        <v>2133297.6666666665</v>
      </c>
      <c r="C14" s="503">
        <v>2289945</v>
      </c>
      <c r="D14" s="503"/>
      <c r="E14" s="503"/>
      <c r="F14" s="515">
        <f t="shared" si="0"/>
        <v>-156647.33333333349</v>
      </c>
      <c r="G14" s="516"/>
      <c r="H14" s="482"/>
    </row>
    <row r="15" spans="1:8">
      <c r="A15" s="506" t="s">
        <v>73</v>
      </c>
      <c r="B15" s="503">
        <v>119527</v>
      </c>
      <c r="C15" s="503">
        <v>113333</v>
      </c>
      <c r="D15" s="503"/>
      <c r="E15" s="503"/>
      <c r="F15" s="515">
        <f t="shared" si="0"/>
        <v>6194</v>
      </c>
      <c r="G15" s="516"/>
    </row>
    <row r="16" spans="1:8">
      <c r="A16" s="506" t="s">
        <v>131</v>
      </c>
      <c r="B16" s="503">
        <v>7104062.666666667</v>
      </c>
      <c r="C16" s="503">
        <f>5728716.99+1432179.43</f>
        <v>7160896.4199999999</v>
      </c>
      <c r="D16" s="503"/>
      <c r="E16" s="503"/>
      <c r="F16" s="515">
        <f t="shared" si="0"/>
        <v>-56833.753333332948</v>
      </c>
      <c r="G16" s="516"/>
    </row>
    <row r="17" spans="1:7">
      <c r="A17" s="506" t="s">
        <v>75</v>
      </c>
      <c r="B17" s="503">
        <v>200078</v>
      </c>
      <c r="C17" s="503">
        <v>251292</v>
      </c>
      <c r="D17" s="503"/>
      <c r="E17" s="503"/>
      <c r="F17" s="515">
        <f t="shared" si="0"/>
        <v>-51214</v>
      </c>
      <c r="G17" s="516"/>
    </row>
    <row r="18" spans="1:7">
      <c r="A18" s="506" t="s">
        <v>76</v>
      </c>
      <c r="B18" s="503">
        <v>93543</v>
      </c>
      <c r="C18" s="503">
        <v>111228.02</v>
      </c>
      <c r="D18" s="503"/>
      <c r="E18" s="503"/>
      <c r="F18" s="515">
        <f t="shared" si="0"/>
        <v>-17685.020000000004</v>
      </c>
      <c r="G18" s="516"/>
    </row>
    <row r="19" spans="1:7">
      <c r="A19" s="506" t="s">
        <v>77</v>
      </c>
      <c r="B19" s="503">
        <v>808106.66666666663</v>
      </c>
      <c r="C19" s="503">
        <v>867000</v>
      </c>
      <c r="D19" s="503"/>
      <c r="E19" s="503"/>
      <c r="F19" s="515">
        <f t="shared" si="0"/>
        <v>-58893.333333333372</v>
      </c>
      <c r="G19" s="516"/>
    </row>
    <row r="20" spans="1:7">
      <c r="A20" s="506" t="s">
        <v>78</v>
      </c>
      <c r="B20" s="503">
        <v>1439521</v>
      </c>
      <c r="C20" s="503">
        <v>1505998.5</v>
      </c>
      <c r="D20" s="503"/>
      <c r="E20" s="503"/>
      <c r="F20" s="515">
        <f t="shared" si="0"/>
        <v>-66477.5</v>
      </c>
      <c r="G20" s="516"/>
    </row>
    <row r="21" spans="1:7">
      <c r="A21" s="506" t="s">
        <v>79</v>
      </c>
      <c r="B21" s="503">
        <v>101338</v>
      </c>
      <c r="C21" s="503">
        <v>147378.22</v>
      </c>
      <c r="D21" s="503"/>
      <c r="E21" s="503"/>
      <c r="F21" s="515">
        <f t="shared" si="0"/>
        <v>-46040.22</v>
      </c>
      <c r="G21" s="516"/>
    </row>
    <row r="22" spans="1:7">
      <c r="A22" s="506" t="s">
        <v>80</v>
      </c>
      <c r="B22" s="503">
        <v>1093932</v>
      </c>
      <c r="C22" s="503">
        <v>1179881</v>
      </c>
      <c r="D22" s="503"/>
      <c r="E22" s="503"/>
      <c r="F22" s="515">
        <f t="shared" si="0"/>
        <v>-85949</v>
      </c>
      <c r="G22" s="516"/>
    </row>
    <row r="23" spans="1:7">
      <c r="A23" s="506" t="s">
        <v>132</v>
      </c>
      <c r="B23" s="503">
        <v>11503177</v>
      </c>
      <c r="C23" s="503">
        <f>11861378.27+21199</f>
        <v>11882577.27</v>
      </c>
      <c r="D23" s="503">
        <f>687810-6747+30250-21199</f>
        <v>690114</v>
      </c>
      <c r="E23" s="503"/>
      <c r="F23" s="515">
        <f t="shared" si="0"/>
        <v>-1069514.2699999996</v>
      </c>
      <c r="G23" s="516"/>
    </row>
    <row r="24" spans="1:7">
      <c r="A24" s="506" t="s">
        <v>133</v>
      </c>
      <c r="B24" s="503">
        <v>15824338.666666666</v>
      </c>
      <c r="C24" s="503">
        <v>19576925</v>
      </c>
      <c r="D24" s="503">
        <f>1102511+3214121</f>
        <v>4316632</v>
      </c>
      <c r="E24" s="503"/>
      <c r="F24" s="515">
        <f>B24-C24-D24-E24</f>
        <v>-8069218.333333334</v>
      </c>
      <c r="G24" s="516"/>
    </row>
    <row r="25" spans="1:7">
      <c r="A25" s="506" t="s">
        <v>83</v>
      </c>
      <c r="B25" s="503">
        <v>951019.33333333337</v>
      </c>
      <c r="C25" s="503">
        <v>1218726</v>
      </c>
      <c r="D25" s="503"/>
      <c r="E25" s="503"/>
      <c r="F25" s="515">
        <f t="shared" si="0"/>
        <v>-267706.66666666663</v>
      </c>
      <c r="G25" s="516"/>
    </row>
    <row r="26" spans="1:7">
      <c r="A26" s="506" t="s">
        <v>84</v>
      </c>
      <c r="B26" s="503">
        <v>2598.3333333333335</v>
      </c>
      <c r="C26" s="503">
        <v>2598</v>
      </c>
      <c r="D26" s="503"/>
      <c r="E26" s="503"/>
      <c r="F26" s="515">
        <f t="shared" si="0"/>
        <v>0.33333333333348492</v>
      </c>
      <c r="G26" s="516"/>
    </row>
    <row r="27" spans="1:7">
      <c r="A27" s="506" t="s">
        <v>85</v>
      </c>
      <c r="B27" s="503">
        <v>535273.33333333337</v>
      </c>
      <c r="C27" s="503">
        <v>419794</v>
      </c>
      <c r="D27" s="503"/>
      <c r="E27" s="503"/>
      <c r="F27" s="515">
        <f t="shared" si="0"/>
        <v>115479.33333333337</v>
      </c>
      <c r="G27" s="516"/>
    </row>
    <row r="28" spans="1:7">
      <c r="A28" s="506" t="s">
        <v>86</v>
      </c>
      <c r="B28" s="503">
        <v>72755.666666666672</v>
      </c>
      <c r="C28" s="503"/>
      <c r="D28" s="503"/>
      <c r="E28" s="503"/>
      <c r="F28" s="515">
        <f t="shared" si="0"/>
        <v>72755.666666666672</v>
      </c>
      <c r="G28" s="516"/>
    </row>
    <row r="29" spans="1:7">
      <c r="A29" s="506" t="s">
        <v>134</v>
      </c>
      <c r="B29" s="503">
        <v>964011.33333333337</v>
      </c>
      <c r="C29" s="503">
        <v>866900</v>
      </c>
      <c r="D29" s="503"/>
      <c r="E29" s="503"/>
      <c r="F29" s="515">
        <f t="shared" si="0"/>
        <v>97111.333333333372</v>
      </c>
      <c r="G29" s="516"/>
    </row>
    <row r="30" spans="1:7">
      <c r="A30" s="506" t="s">
        <v>88</v>
      </c>
      <c r="B30" s="503">
        <v>1273222.6666666667</v>
      </c>
      <c r="C30" s="503"/>
      <c r="D30" s="503"/>
      <c r="E30" s="503"/>
      <c r="F30" s="515">
        <f t="shared" si="0"/>
        <v>1273222.6666666667</v>
      </c>
      <c r="G30" s="516"/>
    </row>
    <row r="31" spans="1:7">
      <c r="A31" s="506" t="s">
        <v>89</v>
      </c>
      <c r="B31" s="503">
        <v>8592953.666666666</v>
      </c>
      <c r="C31" s="503">
        <f>9697954.43-264840</f>
        <v>9433114.4299999997</v>
      </c>
      <c r="D31" s="503">
        <v>264840</v>
      </c>
      <c r="E31" s="503"/>
      <c r="F31" s="515">
        <f t="shared" si="0"/>
        <v>-1105000.7633333337</v>
      </c>
      <c r="G31" s="516"/>
    </row>
    <row r="32" spans="1:7">
      <c r="A32" s="506" t="s">
        <v>135</v>
      </c>
      <c r="B32" s="503">
        <v>22252814</v>
      </c>
      <c r="C32" s="503">
        <f>16772130+220216+431796-271200-29832</f>
        <v>17123110</v>
      </c>
      <c r="D32" s="503">
        <f>29832+271200</f>
        <v>301032</v>
      </c>
      <c r="E32" s="503"/>
      <c r="F32" s="515">
        <f t="shared" si="0"/>
        <v>4828672</v>
      </c>
      <c r="G32" s="516"/>
    </row>
    <row r="33" spans="1:7">
      <c r="A33" s="506" t="s">
        <v>91</v>
      </c>
      <c r="B33" s="503">
        <v>462517.66666666669</v>
      </c>
      <c r="C33" s="503">
        <v>100000</v>
      </c>
      <c r="D33" s="503"/>
      <c r="E33" s="503"/>
      <c r="F33" s="515">
        <f t="shared" si="0"/>
        <v>362517.66666666669</v>
      </c>
      <c r="G33" s="516"/>
    </row>
    <row r="34" spans="1:7">
      <c r="A34" s="506" t="s">
        <v>93</v>
      </c>
      <c r="B34" s="503">
        <v>122125.33333333333</v>
      </c>
      <c r="C34" s="503">
        <v>129368</v>
      </c>
      <c r="D34" s="503"/>
      <c r="E34" s="503"/>
      <c r="F34" s="515">
        <f t="shared" si="0"/>
        <v>-7242.6666666666715</v>
      </c>
      <c r="G34" s="516"/>
    </row>
    <row r="35" spans="1:7">
      <c r="A35" s="506" t="s">
        <v>94</v>
      </c>
      <c r="B35" s="503">
        <v>23385.666666666668</v>
      </c>
      <c r="C35" s="503">
        <v>23386</v>
      </c>
      <c r="D35" s="503"/>
      <c r="E35" s="503"/>
      <c r="F35" s="515">
        <f t="shared" si="0"/>
        <v>-0.33333333333212067</v>
      </c>
      <c r="G35" s="516"/>
    </row>
    <row r="36" spans="1:7">
      <c r="A36" s="547" t="s">
        <v>95</v>
      </c>
      <c r="B36" s="503">
        <v>184487.33333333334</v>
      </c>
      <c r="C36" s="503">
        <v>186351</v>
      </c>
      <c r="D36" s="503"/>
      <c r="E36" s="503"/>
      <c r="F36" s="515">
        <f t="shared" si="0"/>
        <v>-1863.666666666657</v>
      </c>
      <c r="G36" s="516"/>
    </row>
    <row r="37" spans="1:7">
      <c r="A37" s="506" t="s">
        <v>96</v>
      </c>
      <c r="B37" s="503">
        <v>174093.66666666666</v>
      </c>
      <c r="C37" s="503">
        <v>165645.35999999999</v>
      </c>
      <c r="D37" s="503"/>
      <c r="E37" s="503"/>
      <c r="F37" s="515">
        <f t="shared" si="0"/>
        <v>8448.3066666666709</v>
      </c>
      <c r="G37" s="516"/>
    </row>
    <row r="38" spans="1:7">
      <c r="A38" s="506" t="s">
        <v>97</v>
      </c>
      <c r="B38" s="503">
        <v>44173</v>
      </c>
      <c r="C38" s="503"/>
      <c r="D38" s="503"/>
      <c r="E38" s="503"/>
      <c r="F38" s="515">
        <f t="shared" si="0"/>
        <v>44173</v>
      </c>
      <c r="G38" s="516"/>
    </row>
    <row r="39" spans="1:7">
      <c r="A39" s="506" t="s">
        <v>98</v>
      </c>
      <c r="B39" s="503">
        <v>28582.666666666668</v>
      </c>
      <c r="C39" s="503">
        <v>28583</v>
      </c>
      <c r="D39" s="503"/>
      <c r="E39" s="503"/>
      <c r="F39" s="515">
        <f t="shared" si="0"/>
        <v>-0.33333333333212067</v>
      </c>
      <c r="G39" s="516"/>
    </row>
    <row r="40" spans="1:7">
      <c r="A40" s="506" t="s">
        <v>99</v>
      </c>
      <c r="B40" s="503">
        <v>3523449</v>
      </c>
      <c r="C40" s="503">
        <v>3734833</v>
      </c>
      <c r="D40" s="503"/>
      <c r="E40" s="503"/>
      <c r="F40" s="515">
        <f t="shared" si="0"/>
        <v>-211384</v>
      </c>
      <c r="G40" s="516"/>
    </row>
    <row r="41" spans="1:7">
      <c r="A41" s="506" t="s">
        <v>100</v>
      </c>
      <c r="B41" s="503">
        <v>756138.33333333337</v>
      </c>
      <c r="C41" s="503">
        <v>599773</v>
      </c>
      <c r="D41" s="503"/>
      <c r="E41" s="503"/>
      <c r="F41" s="515">
        <f t="shared" si="0"/>
        <v>156365.33333333337</v>
      </c>
      <c r="G41" s="516"/>
    </row>
    <row r="42" spans="1:7">
      <c r="A42" s="506" t="s">
        <v>101</v>
      </c>
      <c r="B42" s="503">
        <v>1959204</v>
      </c>
      <c r="C42" s="503">
        <v>1849578</v>
      </c>
      <c r="D42" s="503"/>
      <c r="E42" s="503"/>
      <c r="F42" s="515">
        <f t="shared" si="0"/>
        <v>109626</v>
      </c>
      <c r="G42" s="516"/>
    </row>
    <row r="43" spans="1:7">
      <c r="A43" s="506" t="s">
        <v>103</v>
      </c>
      <c r="B43" s="503">
        <v>2083927.6666666667</v>
      </c>
      <c r="C43" s="503">
        <v>1950498.25</v>
      </c>
      <c r="D43" s="503"/>
      <c r="E43" s="503"/>
      <c r="F43" s="515">
        <f t="shared" si="0"/>
        <v>133429.41666666674</v>
      </c>
      <c r="G43" s="516"/>
    </row>
    <row r="44" spans="1:7">
      <c r="A44" s="506" t="s">
        <v>104</v>
      </c>
      <c r="B44" s="503">
        <v>909444.66666666663</v>
      </c>
      <c r="C44" s="503">
        <v>1013918</v>
      </c>
      <c r="D44" s="503"/>
      <c r="E44" s="503"/>
      <c r="F44" s="515">
        <f t="shared" si="0"/>
        <v>-104473.33333333337</v>
      </c>
      <c r="G44" s="516"/>
    </row>
    <row r="45" spans="1:7">
      <c r="A45" s="506" t="s">
        <v>105</v>
      </c>
      <c r="B45" s="503">
        <v>514486</v>
      </c>
      <c r="C45" s="503">
        <v>443942</v>
      </c>
      <c r="D45" s="503"/>
      <c r="E45" s="503"/>
      <c r="F45" s="515">
        <f t="shared" si="0"/>
        <v>70544</v>
      </c>
      <c r="G45" s="516"/>
    </row>
    <row r="46" spans="1:7">
      <c r="A46" s="506" t="s">
        <v>106</v>
      </c>
      <c r="B46" s="503">
        <v>6249184.666666667</v>
      </c>
      <c r="C46" s="503">
        <v>1500000</v>
      </c>
      <c r="D46" s="503"/>
      <c r="E46" s="503"/>
      <c r="F46" s="515">
        <f t="shared" si="0"/>
        <v>4749184.666666667</v>
      </c>
      <c r="G46" s="516"/>
    </row>
    <row r="47" spans="1:7">
      <c r="A47" s="506" t="s">
        <v>107</v>
      </c>
      <c r="B47" s="503">
        <v>5196.666666666667</v>
      </c>
      <c r="C47" s="503">
        <v>5197</v>
      </c>
      <c r="D47" s="503"/>
      <c r="E47" s="503"/>
      <c r="F47" s="515">
        <f t="shared" si="0"/>
        <v>-0.33333333333303017</v>
      </c>
      <c r="G47" s="516"/>
    </row>
    <row r="48" spans="1:7">
      <c r="A48" s="506" t="s">
        <v>109</v>
      </c>
      <c r="B48" s="503">
        <v>397557.33333333331</v>
      </c>
      <c r="C48" s="503">
        <v>413942</v>
      </c>
      <c r="D48" s="503"/>
      <c r="E48" s="503"/>
      <c r="F48" s="515">
        <f t="shared" si="0"/>
        <v>-16384.666666666686</v>
      </c>
      <c r="G48" s="516"/>
    </row>
    <row r="49" spans="1:11">
      <c r="A49" s="506" t="s">
        <v>110</v>
      </c>
      <c r="B49" s="503">
        <v>197479.33333333334</v>
      </c>
      <c r="C49" s="503">
        <v>217324</v>
      </c>
      <c r="D49" s="503"/>
      <c r="E49" s="503"/>
      <c r="F49" s="515">
        <f t="shared" si="0"/>
        <v>-19844.666666666657</v>
      </c>
      <c r="G49" s="516"/>
    </row>
    <row r="50" spans="1:11">
      <c r="A50" s="506" t="s">
        <v>112</v>
      </c>
      <c r="B50" s="503">
        <v>5576195.666666667</v>
      </c>
      <c r="C50" s="503">
        <v>6321391</v>
      </c>
      <c r="D50" s="503"/>
      <c r="E50" s="503"/>
      <c r="F50" s="515">
        <f t="shared" si="0"/>
        <v>-745195.33333333302</v>
      </c>
      <c r="G50" s="516"/>
    </row>
    <row r="51" spans="1:11">
      <c r="A51" s="506" t="s">
        <v>136</v>
      </c>
      <c r="B51" s="503">
        <v>2354162.6666666665</v>
      </c>
      <c r="C51" s="503">
        <v>2214522</v>
      </c>
      <c r="D51" s="503"/>
      <c r="E51" s="503"/>
      <c r="F51" s="515">
        <f t="shared" si="0"/>
        <v>139640.66666666651</v>
      </c>
      <c r="G51" s="516"/>
    </row>
    <row r="52" spans="1:11">
      <c r="A52" s="506" t="s">
        <v>114</v>
      </c>
      <c r="B52" s="503">
        <v>2990774</v>
      </c>
      <c r="C52" s="503">
        <v>4061965.4</v>
      </c>
      <c r="D52" s="503"/>
      <c r="E52" s="503"/>
      <c r="F52" s="515">
        <f t="shared" si="0"/>
        <v>-1071191.3999999999</v>
      </c>
      <c r="G52" s="516"/>
    </row>
    <row r="53" spans="1:11" ht="18" customHeight="1">
      <c r="A53" s="506" t="s">
        <v>115</v>
      </c>
      <c r="B53" s="503">
        <v>10393.666666666666</v>
      </c>
      <c r="C53" s="503"/>
      <c r="D53" s="503"/>
      <c r="E53" s="503"/>
      <c r="F53" s="515">
        <f t="shared" si="0"/>
        <v>10393.666666666666</v>
      </c>
      <c r="G53" s="516"/>
    </row>
    <row r="54" spans="1:11">
      <c r="A54" s="506" t="s">
        <v>117</v>
      </c>
      <c r="B54" s="503">
        <v>148109.66666666666</v>
      </c>
      <c r="C54" s="503"/>
      <c r="D54" s="503"/>
      <c r="E54" s="503"/>
      <c r="F54" s="515">
        <f t="shared" si="0"/>
        <v>148109.66666666666</v>
      </c>
      <c r="G54" s="516"/>
    </row>
    <row r="55" spans="1:11">
      <c r="A55" s="506" t="s">
        <v>119</v>
      </c>
      <c r="B55" s="503">
        <v>11866955</v>
      </c>
      <c r="C55" s="503">
        <v>10197922</v>
      </c>
      <c r="D55" s="503"/>
      <c r="E55" s="503"/>
      <c r="F55" s="515">
        <f t="shared" si="0"/>
        <v>1669033</v>
      </c>
      <c r="G55" s="516"/>
    </row>
    <row r="56" spans="1:11">
      <c r="A56" s="506" t="s">
        <v>120</v>
      </c>
      <c r="B56" s="503">
        <f>34833333.3333333-134319</f>
        <v>34699014.333333299</v>
      </c>
      <c r="C56" s="503">
        <f>34041030+8326000+479168+31100000-39247184</f>
        <v>34699014</v>
      </c>
      <c r="D56" s="503"/>
      <c r="E56" s="503"/>
      <c r="F56" s="515">
        <f>B56-C56-D56-E56</f>
        <v>0.33333329856395721</v>
      </c>
      <c r="G56" s="516"/>
      <c r="H56" s="482"/>
    </row>
    <row r="57" spans="1:11" ht="15" thickBot="1">
      <c r="A57" s="507" t="s">
        <v>121</v>
      </c>
      <c r="B57" s="535">
        <v>83149.333333333328</v>
      </c>
      <c r="C57" s="535">
        <v>58000</v>
      </c>
      <c r="D57" s="535"/>
      <c r="E57" s="535"/>
      <c r="F57" s="540">
        <f t="shared" si="0"/>
        <v>25149.333333333328</v>
      </c>
      <c r="G57" s="516"/>
    </row>
    <row r="58" spans="1:11" ht="15" thickBot="1">
      <c r="A58" s="514" t="s">
        <v>124</v>
      </c>
      <c r="B58" s="548">
        <f>SUM(B9:B57)</f>
        <v>158199014.00000003</v>
      </c>
      <c r="C58" s="548">
        <f>SUM(C9:C57)</f>
        <v>151132922.36000001</v>
      </c>
      <c r="D58" s="548">
        <f>SUM(D9:D57)</f>
        <v>5572618</v>
      </c>
      <c r="E58" s="548">
        <f>SUM(E9:E57)</f>
        <v>0</v>
      </c>
      <c r="F58" s="549">
        <f>SUM(F9:F57)</f>
        <v>1493473.6399999692</v>
      </c>
      <c r="G58" s="516"/>
      <c r="I58" s="176"/>
    </row>
    <row r="59" spans="1:11" ht="15" thickBot="1">
      <c r="A59" s="539" t="s">
        <v>137</v>
      </c>
      <c r="B59" s="525">
        <v>134319</v>
      </c>
      <c r="C59" s="525"/>
      <c r="D59" s="525"/>
      <c r="E59" s="525"/>
      <c r="F59" s="515">
        <f t="shared" si="0"/>
        <v>134319</v>
      </c>
      <c r="G59" s="516"/>
      <c r="K59" s="176"/>
    </row>
    <row r="60" spans="1:11" ht="15" thickBot="1">
      <c r="A60" s="523" t="s">
        <v>138</v>
      </c>
      <c r="B60" s="541">
        <f>B58+B59</f>
        <v>158333333.00000003</v>
      </c>
      <c r="C60" s="541">
        <f t="shared" ref="C60:F60" si="1">C58+C59</f>
        <v>151132922.36000001</v>
      </c>
      <c r="D60" s="541">
        <f t="shared" si="1"/>
        <v>5572618</v>
      </c>
      <c r="E60" s="541">
        <f t="shared" si="1"/>
        <v>0</v>
      </c>
      <c r="F60" s="542">
        <f t="shared" si="1"/>
        <v>1627792.6399999692</v>
      </c>
      <c r="G60" s="516"/>
      <c r="I60" s="176"/>
    </row>
    <row r="61" spans="1:11">
      <c r="A61" s="546" t="s">
        <v>255</v>
      </c>
      <c r="B61" s="525"/>
      <c r="C61" s="525"/>
      <c r="D61" s="525"/>
      <c r="E61" s="525"/>
      <c r="F61" s="525"/>
      <c r="G61" s="516"/>
    </row>
    <row r="62" spans="1:11" ht="15" thickBot="1">
      <c r="A62" s="546"/>
      <c r="B62" s="525"/>
      <c r="C62" s="525"/>
      <c r="D62" s="525"/>
      <c r="E62" s="525"/>
      <c r="F62" s="525"/>
      <c r="G62" s="516"/>
    </row>
    <row r="63" spans="1:11" ht="15" thickBot="1">
      <c r="A63" s="550" t="s">
        <v>139</v>
      </c>
      <c r="B63" s="551">
        <f>B12+B13+B15+B19+B21+B27+B33+B36+B43+B46+B48+B49+B53+B54+B57</f>
        <v>11635696.333333334</v>
      </c>
      <c r="C63" s="551">
        <f>C12+C13+C15+C19+C21+C27+C33+C36+C43+C46+C48+C49+C53+C54+C57</f>
        <v>6114787.4699999997</v>
      </c>
      <c r="D63" s="551">
        <f>D12+D13+D15+D19+D21+D26+D34+D36+D43+D46+D48+D49+D53+D54+D57</f>
        <v>0</v>
      </c>
      <c r="E63" s="551">
        <f>E12+E13+E15+E19+E21+E26+E34+E36+E43+E46+E48+E49+E53+E54+E57</f>
        <v>0</v>
      </c>
      <c r="F63" s="552">
        <f>B63-C63-D63-E63</f>
        <v>5520908.8633333342</v>
      </c>
      <c r="G63" s="516"/>
      <c r="H63" s="112"/>
      <c r="J63" s="494"/>
      <c r="K63" s="176"/>
    </row>
    <row r="64" spans="1:11">
      <c r="A64" s="516"/>
      <c r="B64" s="516"/>
      <c r="C64" s="516"/>
      <c r="D64" s="516"/>
      <c r="E64" s="516"/>
      <c r="F64" s="516"/>
      <c r="G64" s="516"/>
    </row>
    <row r="65" spans="1:7">
      <c r="A65" s="516"/>
      <c r="B65" s="516"/>
      <c r="C65" s="516"/>
      <c r="D65" s="516"/>
      <c r="E65" s="516"/>
      <c r="F65" s="516"/>
      <c r="G65" s="516"/>
    </row>
    <row r="66" spans="1:7">
      <c r="A66" s="516"/>
      <c r="B66" s="516"/>
      <c r="C66" s="516"/>
      <c r="D66" s="516"/>
      <c r="E66" s="516"/>
      <c r="F66" s="516"/>
      <c r="G66" s="516"/>
    </row>
  </sheetData>
  <autoFilter ref="A8:F61" xr:uid="{78454DB4-FAA8-493C-870C-BE2432457240}"/>
  <mergeCells count="4">
    <mergeCell ref="A1:B1"/>
    <mergeCell ref="A5:F5"/>
    <mergeCell ref="A6:F6"/>
    <mergeCell ref="A7:F7"/>
  </mergeCells>
  <printOptions horizontalCentered="1"/>
  <pageMargins left="0.118110236220472" right="0.118110236220472" top="0.27559055118110198" bottom="0.196850393700787" header="0.27559055118110198" footer="0.118110236220472"/>
  <pageSetup scale="77"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F60F8E60516143877F7AC30EFBB2F3" ma:contentTypeVersion="24" ma:contentTypeDescription="Create a new document." ma:contentTypeScope="" ma:versionID="d03b4f8a530825ba29232d5f849ff460">
  <xsd:schema xmlns:xsd="http://www.w3.org/2001/XMLSchema" xmlns:xs="http://www.w3.org/2001/XMLSchema" xmlns:p="http://schemas.microsoft.com/office/2006/metadata/properties" xmlns:ns2="b93c647f-d63b-431a-95c8-8e00048cff23" xmlns:ns3="eb6c2e4c-3f1c-4103-a37b-37c984dbe58f" targetNamespace="http://schemas.microsoft.com/office/2006/metadata/properties" ma:root="true" ma:fieldsID="9ca01a62ae7a69adec5dae91df9e03ee" ns2:_="" ns3:_="">
    <xsd:import namespace="b93c647f-d63b-431a-95c8-8e00048cff23"/>
    <xsd:import namespace="eb6c2e4c-3f1c-4103-a37b-37c984dbe58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Location" minOccurs="0"/>
                <xsd:element ref="ns3:SharedWithUsers" minOccurs="0"/>
                <xsd:element ref="ns3:SharedWithDetails" minOccurs="0"/>
                <xsd:element ref="ns3:TaxCatchAll" minOccurs="0"/>
                <xsd:element ref="ns2:lcf76f155ced4ddcb4097134ff3c332f" minOccurs="0"/>
                <xsd:element ref="ns2:MediaServiceOCR"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3c647f-d63b-431a-95c8-8e00048cff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b6c2e4c-3f1c-4103-a37b-37c984dbe58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95e02fd8-4a4b-4660-97b2-d99d7ad029f8}" ma:internalName="TaxCatchAll" ma:showField="CatchAllData" ma:web="eb6c2e4c-3f1c-4103-a37b-37c984dbe58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b6c2e4c-3f1c-4103-a37b-37c984dbe58f" xsi:nil="true"/>
    <lcf76f155ced4ddcb4097134ff3c332f xmlns="b93c647f-d63b-431a-95c8-8e00048cff2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2AE339E-9CEC-47EB-8483-514C4A0770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93c647f-d63b-431a-95c8-8e00048cff23"/>
    <ds:schemaRef ds:uri="eb6c2e4c-3f1c-4103-a37b-37c984dbe5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67F408-8666-4932-88CD-A6A528E0BE11}">
  <ds:schemaRefs>
    <ds:schemaRef ds:uri="http://schemas.microsoft.com/sharepoint/v3/contenttype/forms"/>
  </ds:schemaRefs>
</ds:datastoreItem>
</file>

<file path=customXml/itemProps3.xml><?xml version="1.0" encoding="utf-8"?>
<ds:datastoreItem xmlns:ds="http://schemas.openxmlformats.org/officeDocument/2006/customXml" ds:itemID="{0F97F671-0268-4B80-BC7E-949AD4DFF70F}">
  <ds:schemaRefs>
    <ds:schemaRef ds:uri="http://schemas.microsoft.com/office/2006/metadata/properties"/>
    <ds:schemaRef ds:uri="http://schemas.microsoft.com/office/infopath/2007/PartnerControls"/>
    <ds:schemaRef ds:uri="eb6c2e4c-3f1c-4103-a37b-37c984dbe58f"/>
    <ds:schemaRef ds:uri="b93c647f-d63b-431a-95c8-8e00048cff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49</vt:i4>
      </vt:variant>
      <vt:variant>
        <vt:lpstr>Named Ranges</vt:lpstr>
      </vt:variant>
      <vt:variant>
        <vt:i4>13</vt:i4>
      </vt:variant>
    </vt:vector>
  </HeadingPairs>
  <TitlesOfParts>
    <vt:vector size="62" baseType="lpstr">
      <vt:lpstr>Status</vt:lpstr>
      <vt:lpstr>Statistics</vt:lpstr>
      <vt:lpstr>YR91_24</vt:lpstr>
      <vt:lpstr>YR2024_26</vt:lpstr>
      <vt:lpstr>YR2024</vt:lpstr>
      <vt:lpstr>YR2021_23</vt:lpstr>
      <vt:lpstr>YR2023</vt:lpstr>
      <vt:lpstr>YR2022</vt:lpstr>
      <vt:lpstr>YR2021</vt:lpstr>
      <vt:lpstr>YR2018_20</vt:lpstr>
      <vt:lpstr>YR2020</vt:lpstr>
      <vt:lpstr>YR2019</vt:lpstr>
      <vt:lpstr>YR2018</vt:lpstr>
      <vt:lpstr>YR2015_17</vt:lpstr>
      <vt:lpstr>YR2017</vt:lpstr>
      <vt:lpstr>YR2016</vt:lpstr>
      <vt:lpstr>YR2015</vt:lpstr>
      <vt:lpstr>YR2012_14</vt:lpstr>
      <vt:lpstr>YR2014</vt:lpstr>
      <vt:lpstr>YR2013</vt:lpstr>
      <vt:lpstr>YR2012</vt:lpstr>
      <vt:lpstr>YR2009_11</vt:lpstr>
      <vt:lpstr>YR2011</vt:lpstr>
      <vt:lpstr>YR2010</vt:lpstr>
      <vt:lpstr>YR2009</vt:lpstr>
      <vt:lpstr>YR2006_08</vt:lpstr>
      <vt:lpstr>YR2008</vt:lpstr>
      <vt:lpstr>YR2007</vt:lpstr>
      <vt:lpstr>YR2006</vt:lpstr>
      <vt:lpstr>YR2003_05</vt:lpstr>
      <vt:lpstr>YR2005</vt:lpstr>
      <vt:lpstr>YR2004</vt:lpstr>
      <vt:lpstr>YR2003</vt:lpstr>
      <vt:lpstr>YR2000_02</vt:lpstr>
      <vt:lpstr>YR2002</vt:lpstr>
      <vt:lpstr>YR2001</vt:lpstr>
      <vt:lpstr>YR2000</vt:lpstr>
      <vt:lpstr>YR1997_99</vt:lpstr>
      <vt:lpstr>YR1999</vt:lpstr>
      <vt:lpstr>YR1998</vt:lpstr>
      <vt:lpstr>YR1997</vt:lpstr>
      <vt:lpstr>YR1994_96</vt:lpstr>
      <vt:lpstr>YR1996</vt:lpstr>
      <vt:lpstr>YR1995</vt:lpstr>
      <vt:lpstr>YR1994</vt:lpstr>
      <vt:lpstr>YR1991_93</vt:lpstr>
      <vt:lpstr>YR1993</vt:lpstr>
      <vt:lpstr>YR1992</vt:lpstr>
      <vt:lpstr>YR1991</vt:lpstr>
      <vt:lpstr>Statistics!Print_Area</vt:lpstr>
      <vt:lpstr>Status!Print_Area</vt:lpstr>
      <vt:lpstr>'YR2017'!Print_Area</vt:lpstr>
      <vt:lpstr>'YR2021'!Print_Area</vt:lpstr>
      <vt:lpstr>YR2021_23!Print_Area</vt:lpstr>
      <vt:lpstr>'YR2022'!Print_Area</vt:lpstr>
      <vt:lpstr>'YR2023'!Print_Area</vt:lpstr>
      <vt:lpstr>'YR2024'!Print_Area</vt:lpstr>
      <vt:lpstr>YR2024_26!Print_Area</vt:lpstr>
      <vt:lpstr>YR91_24!Print_Area</vt:lpstr>
      <vt:lpstr>'YR2022'!Print_Titles</vt:lpstr>
      <vt:lpstr>'YR2023'!Print_Titles</vt:lpstr>
      <vt:lpstr>'YR2024'!Print_Titles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Girma Gina</dc:creator>
  <cp:lastModifiedBy>Girma Gina</cp:lastModifiedBy>
  <cp:lastPrinted>2024-05-27T13:39:15Z</cp:lastPrinted>
  <dcterms:created xsi:type="dcterms:W3CDTF">2021-04-06T08:18:36Z</dcterms:created>
  <dcterms:modified xsi:type="dcterms:W3CDTF">2024-07-10T06:20:27Z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0x010100C5F60F8E60516143877F7AC30EFBB2F3</vt:lpwstr>
  </property>
  <property fmtid="{D5CDD505-2E9C-101B-9397-08002B2CF9AE}" pid="3" name="MediaServiceImageTags">
    <vt:lpwstr/>
  </property>
</Properties>
</file>